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'місц.-районн.бюджет'!$AV$1:$AV$91</definedName>
    <definedName name="_xlnm.Print_Area" localSheetId="0">'всього'!$B$3:$AX$76</definedName>
    <definedName name="_xlnm.Print_Area" localSheetId="4">'держ.бюджет'!$A$1:$AX$76</definedName>
    <definedName name="_xlnm.Print_Area" localSheetId="7">'інші'!$A$1:$AX$76</definedName>
    <definedName name="_xlnm.Print_Area" localSheetId="5">'місц.-районн.бюджет'!$A$1:$AX$76</definedName>
    <definedName name="_xlnm.Print_Area" localSheetId="1">'насел.'!$B$3:$AX$76</definedName>
    <definedName name="_xlnm.Print_Area" localSheetId="6">'обласний'!$A$1:$AX$76</definedName>
    <definedName name="_xlnm.Print_Area" localSheetId="2">'пільги'!$A$1:$AX$76</definedName>
    <definedName name="_xlnm.Print_Area" localSheetId="3">'субсидії'!$A$1:$AX$76</definedName>
  </definedNames>
  <calcPr fullCalcOnLoad="1"/>
</workbook>
</file>

<file path=xl/sharedStrings.xml><?xml version="1.0" encoding="utf-8"?>
<sst xmlns="http://schemas.openxmlformats.org/spreadsheetml/2006/main" count="1646" uniqueCount="183">
  <si>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</si>
  <si>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</si>
  <si>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</si>
  <si>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</si>
  <si>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</si>
  <si>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</si>
  <si>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</si>
  <si>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</si>
  <si>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</si>
  <si>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</si>
  <si>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</si>
  <si>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</si>
  <si>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</si>
  <si>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</si>
  <si>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</si>
  <si>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</si>
  <si>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</si>
  <si>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</si>
  <si>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</si>
  <si>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</si>
  <si>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</si>
  <si>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</si>
  <si>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</si>
  <si>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</si>
  <si>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</si>
  <si>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</si>
  <si>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</si>
  <si>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</si>
  <si>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</si>
  <si>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</si>
  <si>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</si>
  <si>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</si>
  <si>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</si>
  <si>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</si>
  <si>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</si>
  <si>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</si>
  <si>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</si>
  <si>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</si>
  <si>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</si>
  <si>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</si>
  <si>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</si>
  <si>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</si>
  <si>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</si>
  <si>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</si>
  <si>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</si>
  <si>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</si>
  <si>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</si>
  <si>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</si>
  <si>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>С.В. Магдисюк</t>
  </si>
  <si>
    <t xml:space="preserve">Директор Департамента 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</si>
  <si>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</si>
  <si>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</si>
  <si>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</si>
  <si>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</si>
  <si>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</si>
  <si>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</si>
  <si>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</si>
  <si>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</si>
  <si>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</si>
  <si>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</si>
  <si>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</si>
  <si>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</si>
  <si>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</si>
  <si>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</si>
  <si>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</si>
  <si>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</si>
  <si>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</si>
  <si>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</si>
  <si>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</si>
  <si>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</si>
  <si>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</si>
  <si>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</si>
  <si>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</si>
  <si>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</si>
  <si>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</si>
  <si>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</si>
  <si>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</si>
  <si>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</si>
  <si>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</si>
  <si>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</si>
  <si>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</si>
  <si>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</si>
  <si>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</si>
  <si>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</si>
  <si>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</si>
  <si>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</si>
  <si>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</si>
  <si>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</si>
  <si>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</si>
  <si>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</si>
  <si>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</si>
  <si>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</si>
  <si>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</si>
  <si>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</si>
  <si>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</si>
  <si>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</si>
  <si>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</si>
  <si>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</si>
  <si>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</si>
  <si>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</si>
  <si>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</si>
  <si>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</si>
  <si>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</si>
  <si>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</si>
  <si>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</si>
  <si>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</si>
  <si>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</si>
  <si>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</si>
  <si>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</si>
  <si>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</si>
  <si>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</si>
  <si>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</si>
  <si>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</si>
  <si>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</si>
  <si>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</si>
  <si>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</si>
  <si>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</si>
  <si>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</si>
  <si>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</si>
  <si>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</si>
  <si>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</si>
  <si>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</si>
  <si>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</si>
  <si>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</si>
  <si>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</si>
  <si>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</si>
  <si>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</si>
  <si>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</si>
  <si>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 xml:space="preserve"> Чугуївська ОТГ </t>
  </si>
  <si>
    <t>на 01.01.2021</t>
  </si>
  <si>
    <t>з початку 2021 року</t>
  </si>
  <si>
    <t>Харківська ОТГ</t>
  </si>
  <si>
    <t xml:space="preserve">КП "Харківські теплові мережі" </t>
  </si>
  <si>
    <t xml:space="preserve">ТОВ "Тепоенергоцентр Роганського промвузла" </t>
  </si>
  <si>
    <t xml:space="preserve">ТОВ "Котельні лікарняного комплексу" </t>
  </si>
  <si>
    <t>По районах  області, у т.ч.:</t>
  </si>
  <si>
    <t xml:space="preserve"> Олексіївська ОТГ  (відсутні підпр ЖКГ)</t>
  </si>
  <si>
    <t>КП "Комуненерго"</t>
  </si>
  <si>
    <t xml:space="preserve"> Липецька ОТГ  (ТОВ "КЛК")</t>
  </si>
  <si>
    <t xml:space="preserve"> Липецька ОТГ (ТОВ "КЛК")</t>
  </si>
  <si>
    <t xml:space="preserve"> Малинівська ОТГ (ТОВ "КЛК")</t>
  </si>
  <si>
    <t xml:space="preserve"> Куп'янська ОТГ (Куп'янськтеплоенерго, ОІТЦ)</t>
  </si>
  <si>
    <t xml:space="preserve"> Новопокровська ОТГ </t>
  </si>
  <si>
    <t xml:space="preserve"> Чугуївська ОТГ (Кочеток)</t>
  </si>
  <si>
    <t xml:space="preserve"> Чугуївська ОТГ (Кочетоцьке ВКП ВКГ)</t>
  </si>
  <si>
    <t xml:space="preserve"> Валківська ОТГ (ТОВ КЛК)</t>
  </si>
  <si>
    <t xml:space="preserve"> Краснокутська ОТГ (ТОВ Дівайс)</t>
  </si>
  <si>
    <t xml:space="preserve"> Балаклійська ОТГ (КП БРР Балаклійські ТМ)</t>
  </si>
  <si>
    <t xml:space="preserve"> Барвінківська ОТГ (КП Благоустрій)</t>
  </si>
  <si>
    <t xml:space="preserve"> Борівська ОТГ (Борівське ПТМ)</t>
  </si>
  <si>
    <t xml:space="preserve"> Ізюмська ОТГ (Ізюмське КПТМ)</t>
  </si>
  <si>
    <t xml:space="preserve"> Оскільська ОТГ (Ізюмське КПТМ)</t>
  </si>
  <si>
    <t xml:space="preserve"> Зачепилівська ОТГ (ТОВ ДП КЛК)</t>
  </si>
  <si>
    <t xml:space="preserve"> Кегичівська ОТГ (ТОВ Володар-Кегичівка)</t>
  </si>
  <si>
    <t xml:space="preserve"> Красноградська ОТГ (Красноградське ПТМ)</t>
  </si>
  <si>
    <t xml:space="preserve"> Великобурлуцька ОТГ (ТОВ КЛК)</t>
  </si>
  <si>
    <t xml:space="preserve"> Дворічанська ОТГ (ТОВ Дівайс)</t>
  </si>
  <si>
    <t xml:space="preserve"> Курилівська ОТГ  (ОІТЦ)</t>
  </si>
  <si>
    <t xml:space="preserve"> Шевченківська ОТГ (КП Аква)</t>
  </si>
  <si>
    <t xml:space="preserve"> Первомайська ОТГ (ПКП Тепломережі)</t>
  </si>
  <si>
    <t xml:space="preserve"> Дергачівська ОТГ (ОІТЦ)</t>
  </si>
  <si>
    <t xml:space="preserve"> Нововодолазька ОТГ </t>
  </si>
  <si>
    <t xml:space="preserve"> Роганська ОТГ (КП ТМ РСР)</t>
  </si>
  <si>
    <t xml:space="preserve"> Вовчанська ОТГ (Вовчанське ПТМ)</t>
  </si>
  <si>
    <t xml:space="preserve"> Зміївська ОТГ (ТОВ КЛК, ТОВ ДП КЛК)</t>
  </si>
  <si>
    <t xml:space="preserve"> Лозівська ОТГ (КП Теплоенерго, Тепловодосервіс)</t>
  </si>
  <si>
    <t xml:space="preserve"> Чугуївська ОТГ (Кочетоцьке ВКП ВКГ, ОІТЦ)</t>
  </si>
  <si>
    <t xml:space="preserve"> Чкаловська ОТГ (КП Чкаловське ЖКЕУ-2013, ОІТЦ)</t>
  </si>
  <si>
    <t xml:space="preserve"> Чугуївська ОТГ (Кочетоцьке ВКПВКГ, ОІТЦ)</t>
  </si>
  <si>
    <t xml:space="preserve"> Чугуївська ОТГ (Чугуївтепло, Кочеток КЛК)</t>
  </si>
  <si>
    <t>Вільхуватська ОТГ</t>
  </si>
  <si>
    <t>Богодухівська ТГ (ТОВ Господар, ТОВ КЛК)</t>
  </si>
  <si>
    <t>Заборгованість за 2021 рік станом на 01.07.2021</t>
  </si>
  <si>
    <t>Загальна заборгованість станом на 01.07.2021 (з урахуванням боргів минулих років)</t>
  </si>
  <si>
    <t>Інформація щодо заборгованості споживачів за послуги з теплопостачання станом на 01.07.2021</t>
  </si>
  <si>
    <t>Інформація щодо заборгованості населення за послуги з теплопостачання станом на 01.07.2021</t>
  </si>
  <si>
    <t>Інформація щодо заборгованості по пільгах за послуги з теплопостачання станом на 01.07.2021</t>
  </si>
  <si>
    <t>Інформація щодо заборгованості по субсидіях за послуги з теплопостачання станом на 01.07.2021</t>
  </si>
  <si>
    <t>Інформація щодо заборгованості установ, які фінансуються з державного бюджету, за послуги з теплопостачання станом на 01.07.2021</t>
  </si>
  <si>
    <t>Інформація щодо заборгованості установ, які фінансуються з місцевих бюджетів, за послуги з теплопостачання станом на 01.07.2021</t>
  </si>
  <si>
    <t>Інформація щодо заборгованості установ, які фінансуються з обласного бюджету, за послуги з теплопостачання станом на 01.07.2021</t>
  </si>
  <si>
    <t>Інформація щодо заборгованості інших споживачів за послуги з теплопостачання станом на 01.07.2021</t>
  </si>
  <si>
    <t xml:space="preserve"> Чугуївська ОТГ (Чугуївтепло)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</si>
</sst>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9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b/>
      <sz val="14"/>
      <color theme="0"/>
      <name val="Times New Roman Cyr"/>
      <family val="1"/>
    </font>
    <font>
      <sz val="18"/>
      <color theme="4" tint="-0.24997000396251678"/>
      <name val="Times New Roman"/>
      <family val="1"/>
    </font>
    <font>
      <sz val="18"/>
      <color theme="3"/>
      <name val="Times New Roman"/>
      <family val="1"/>
    </font>
    <font>
      <sz val="1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196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96" fontId="7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200" fontId="75" fillId="0" borderId="0" xfId="0" applyNumberFormat="1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200" fontId="76" fillId="0" borderId="0" xfId="0" applyNumberFormat="1" applyFont="1" applyFill="1" applyBorder="1" applyAlignment="1">
      <alignment/>
    </xf>
    <xf numFmtId="200" fontId="76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1" fontId="16" fillId="33" borderId="10" xfId="0" applyNumberFormat="1" applyFont="1" applyFill="1" applyBorder="1" applyAlignment="1">
      <alignment wrapText="1"/>
    </xf>
    <xf numFmtId="1" fontId="16" fillId="33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200" fontId="17" fillId="33" borderId="10" xfId="0" applyNumberFormat="1" applyFont="1" applyFill="1" applyBorder="1" applyAlignment="1">
      <alignment/>
    </xf>
    <xf numFmtId="200" fontId="17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 wrapText="1"/>
    </xf>
    <xf numFmtId="200" fontId="77" fillId="0" borderId="10" xfId="0" applyNumberFormat="1" applyFont="1" applyFill="1" applyBorder="1" applyAlignment="1">
      <alignment wrapText="1"/>
    </xf>
    <xf numFmtId="200" fontId="19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8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8" fillId="0" borderId="10" xfId="0" applyNumberFormat="1" applyFont="1" applyFill="1" applyBorder="1" applyAlignment="1">
      <alignment wrapText="1"/>
    </xf>
    <xf numFmtId="200" fontId="79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 wrapText="1"/>
    </xf>
    <xf numFmtId="200" fontId="80" fillId="0" borderId="13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7" fillId="0" borderId="12" xfId="0" applyNumberFormat="1" applyFont="1" applyFill="1" applyBorder="1" applyAlignment="1">
      <alignment wrapText="1"/>
    </xf>
    <xf numFmtId="200" fontId="20" fillId="0" borderId="10" xfId="0" applyNumberFormat="1" applyFont="1" applyFill="1" applyBorder="1" applyAlignment="1">
      <alignment/>
    </xf>
    <xf numFmtId="200" fontId="81" fillId="0" borderId="10" xfId="0" applyNumberFormat="1" applyFont="1" applyFill="1" applyBorder="1" applyAlignment="1">
      <alignment wrapText="1"/>
    </xf>
    <xf numFmtId="200" fontId="19" fillId="0" borderId="1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200" fontId="17" fillId="0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200" fontId="19" fillId="33" borderId="10" xfId="0" applyNumberFormat="1" applyFont="1" applyFill="1" applyBorder="1" applyAlignment="1">
      <alignment/>
    </xf>
    <xf numFmtId="200" fontId="14" fillId="33" borderId="10" xfId="0" applyNumberFormat="1" applyFont="1" applyFill="1" applyBorder="1" applyAlignment="1">
      <alignment/>
    </xf>
    <xf numFmtId="200" fontId="77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14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9" fillId="33" borderId="12" xfId="0" applyNumberFormat="1" applyFont="1" applyFill="1" applyBorder="1" applyAlignment="1">
      <alignment/>
    </xf>
    <xf numFmtId="0" fontId="83" fillId="33" borderId="10" xfId="0" applyFont="1" applyFill="1" applyBorder="1" applyAlignment="1">
      <alignment wrapText="1"/>
    </xf>
    <xf numFmtId="0" fontId="16" fillId="33" borderId="13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200" fontId="20" fillId="33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00" fontId="78" fillId="0" borderId="12" xfId="0" applyNumberFormat="1" applyFont="1" applyFill="1" applyBorder="1" applyAlignment="1">
      <alignment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right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4" fillId="0" borderId="18" xfId="0" applyFont="1" applyFill="1" applyBorder="1" applyAlignment="1">
      <alignment horizontal="left" wrapText="1"/>
    </xf>
    <xf numFmtId="0" fontId="84" fillId="0" borderId="0" xfId="0" applyFont="1" applyFill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200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200" fontId="3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wrapText="1"/>
    </xf>
    <xf numFmtId="200" fontId="85" fillId="0" borderId="10" xfId="0" applyNumberFormat="1" applyFont="1" applyFill="1" applyBorder="1" applyAlignment="1">
      <alignment/>
    </xf>
    <xf numFmtId="200" fontId="85" fillId="0" borderId="10" xfId="0" applyNumberFormat="1" applyFont="1" applyFill="1" applyBorder="1" applyAlignment="1">
      <alignment wrapText="1"/>
    </xf>
    <xf numFmtId="1" fontId="1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6" fillId="0" borderId="10" xfId="0" applyFont="1" applyFill="1" applyBorder="1" applyAlignment="1">
      <alignment horizontal="left" wrapText="1"/>
    </xf>
    <xf numFmtId="49" fontId="74" fillId="0" borderId="10" xfId="0" applyNumberFormat="1" applyFont="1" applyFill="1" applyBorder="1" applyAlignment="1">
      <alignment horizontal="center"/>
    </xf>
    <xf numFmtId="200" fontId="14" fillId="0" borderId="10" xfId="0" applyNumberFormat="1" applyFont="1" applyFill="1" applyBorder="1" applyAlignment="1">
      <alignment wrapText="1"/>
    </xf>
    <xf numFmtId="200" fontId="86" fillId="0" borderId="10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200" fontId="87" fillId="0" borderId="10" xfId="0" applyNumberFormat="1" applyFont="1" applyFill="1" applyBorder="1" applyAlignment="1">
      <alignment wrapText="1"/>
    </xf>
    <xf numFmtId="0" fontId="8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6"/>
  <sheetViews>
    <sheetView tabSelected="1" view="pageBreakPreview" zoomScale="60" zoomScaleNormal="50" zoomScalePageLayoutView="0" workbookViewId="0" topLeftCell="B3">
      <pane xSplit="1" ySplit="4" topLeftCell="C23" activePane="bottomRight" state="frozen"/>
      <selection pane="topLeft" activeCell="B3" sqref="B3"/>
      <selection pane="topRight" activeCell="C3" sqref="C3"/>
      <selection pane="bottomLeft" activeCell="B7" sqref="B7"/>
      <selection pane="bottomRight" activeCell="AZ64" sqref="AZ64:AZ69"/>
    </sheetView>
  </sheetViews>
  <sheetFormatPr defaultColWidth="6.75390625" defaultRowHeight="32.25" customHeight="1"/>
  <cols>
    <col min="1" max="1" width="4.875" style="1" hidden="1" customWidth="1"/>
    <col min="2" max="2" width="66.625" style="2" customWidth="1"/>
    <col min="3" max="3" width="23.25390625" style="3" customWidth="1"/>
    <col min="4" max="4" width="22.125" style="9" hidden="1" customWidth="1"/>
    <col min="5" max="5" width="22.00390625" style="9" hidden="1" customWidth="1"/>
    <col min="6" max="6" width="14.75390625" style="9" hidden="1" customWidth="1"/>
    <col min="7" max="7" width="21.125" style="2" hidden="1" customWidth="1"/>
    <col min="8" max="8" width="18.625" style="2" hidden="1" customWidth="1"/>
    <col min="9" max="9" width="10.00390625" style="9" hidden="1" customWidth="1"/>
    <col min="10" max="10" width="19.00390625" style="2" hidden="1" customWidth="1"/>
    <col min="11" max="11" width="19.75390625" style="2" hidden="1" customWidth="1"/>
    <col min="12" max="12" width="11.375" style="9" hidden="1" customWidth="1"/>
    <col min="13" max="13" width="20.75390625" style="9" hidden="1" customWidth="1"/>
    <col min="14" max="14" width="19.125" style="9" hidden="1" customWidth="1"/>
    <col min="15" max="15" width="12.75390625" style="9" hidden="1" customWidth="1"/>
    <col min="16" max="16" width="18.125" style="2" hidden="1" customWidth="1"/>
    <col min="17" max="17" width="18.625" style="2" hidden="1" customWidth="1"/>
    <col min="18" max="18" width="11.00390625" style="9" hidden="1" customWidth="1"/>
    <col min="19" max="19" width="17.125" style="2" hidden="1" customWidth="1"/>
    <col min="20" max="20" width="17.375" style="2" hidden="1" customWidth="1"/>
    <col min="21" max="21" width="11.00390625" style="9" hidden="1" customWidth="1"/>
    <col min="22" max="22" width="15.375" style="9" hidden="1" customWidth="1"/>
    <col min="23" max="23" width="16.125" style="9" hidden="1" customWidth="1"/>
    <col min="24" max="24" width="11.00390625" style="9" hidden="1" customWidth="1"/>
    <col min="25" max="25" width="20.375" style="9" hidden="1" customWidth="1"/>
    <col min="26" max="26" width="20.25390625" style="9" hidden="1" customWidth="1"/>
    <col min="27" max="27" width="11.00390625" style="9" hidden="1" customWidth="1"/>
    <col min="28" max="28" width="20.75390625" style="9" hidden="1" customWidth="1"/>
    <col min="29" max="29" width="18.375" style="9" hidden="1" customWidth="1"/>
    <col min="30" max="30" width="12.75390625" style="9" hidden="1" customWidth="1"/>
    <col min="31" max="31" width="20.375" style="9" hidden="1" customWidth="1"/>
    <col min="32" max="32" width="19.875" style="9" hidden="1" customWidth="1"/>
    <col min="33" max="33" width="12.875" style="9" hidden="1" customWidth="1"/>
    <col min="34" max="34" width="15.875" style="9" hidden="1" customWidth="1"/>
    <col min="35" max="35" width="16.375" style="9" hidden="1" customWidth="1"/>
    <col min="36" max="36" width="12.75390625" style="9" hidden="1" customWidth="1"/>
    <col min="37" max="37" width="20.625" style="9" hidden="1" customWidth="1"/>
    <col min="38" max="38" width="19.25390625" style="9" hidden="1" customWidth="1"/>
    <col min="39" max="39" width="11.00390625" style="9" hidden="1" customWidth="1"/>
    <col min="40" max="41" width="17.625" style="9" hidden="1" customWidth="1"/>
    <col min="42" max="42" width="17.25390625" style="9" hidden="1" customWidth="1"/>
    <col min="43" max="43" width="15.75390625" style="9" hidden="1" customWidth="1"/>
    <col min="44" max="44" width="17.25390625" style="9" hidden="1" customWidth="1"/>
    <col min="45" max="45" width="5.875" style="9" hidden="1" customWidth="1"/>
    <col min="46" max="46" width="20.75390625" style="2" customWidth="1"/>
    <col min="47" max="47" width="21.25390625" style="2" customWidth="1"/>
    <col min="48" max="48" width="12.00390625" style="9" customWidth="1"/>
    <col min="49" max="49" width="22.625" style="2" customWidth="1"/>
    <col min="50" max="50" width="27.25390625" style="2" customWidth="1"/>
    <col min="51" max="51" width="16.00390625" style="2" customWidth="1"/>
    <col min="52" max="52" width="17.75390625" style="2" customWidth="1"/>
    <col min="53" max="53" width="14.75390625" style="2" customWidth="1"/>
    <col min="54" max="54" width="18.125" style="2" customWidth="1"/>
    <col min="55" max="55" width="6.75390625" style="2" customWidth="1"/>
    <col min="56" max="56" width="11.375" style="2" customWidth="1"/>
    <col min="57" max="57" width="6.75390625" style="2" customWidth="1"/>
    <col min="58" max="58" width="13.875" style="2" bestFit="1" customWidth="1"/>
    <col min="59" max="16384" width="6.75390625" style="2" customWidth="1"/>
  </cols>
  <sheetData>
    <row r="1" spans="4:50" ht="27.75" customHeight="1" hidden="1"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3"/>
      <c r="AU1" s="133"/>
      <c r="AV1" s="133"/>
      <c r="AW1" s="133"/>
      <c r="AX1" s="133"/>
    </row>
    <row r="2" spans="1:50" s="31" customFormat="1" ht="30" customHeight="1" hidden="1">
      <c r="A2" s="30"/>
      <c r="B2" s="122" t="s">
        <v>174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</row>
    <row r="3" spans="1:52" s="44" customFormat="1" ht="69.75" customHeight="1">
      <c r="A3" s="4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Z3" s="134"/>
    </row>
    <row r="4" spans="2:50" ht="25.5" customHeight="1">
      <c r="B4" s="127"/>
      <c r="C4" s="127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8" ht="36.75" customHeight="1">
      <c r="A5" s="135" t="s">
        <v>36</v>
      </c>
      <c r="B5" s="136"/>
      <c r="C5" s="137" t="s">
        <v>1</v>
      </c>
      <c r="D5" s="138" t="s">
        <v>59</v>
      </c>
      <c r="E5" s="139"/>
      <c r="F5" s="140"/>
      <c r="G5" s="141" t="s">
        <v>60</v>
      </c>
      <c r="H5" s="142"/>
      <c r="I5" s="143"/>
      <c r="J5" s="141" t="s">
        <v>61</v>
      </c>
      <c r="K5" s="142"/>
      <c r="L5" s="143"/>
      <c r="M5" s="141" t="s">
        <v>72</v>
      </c>
      <c r="N5" s="142"/>
      <c r="O5" s="143"/>
      <c r="P5" s="141" t="s">
        <v>62</v>
      </c>
      <c r="Q5" s="142"/>
      <c r="R5" s="143"/>
      <c r="S5" s="141" t="s">
        <v>63</v>
      </c>
      <c r="T5" s="142"/>
      <c r="U5" s="143"/>
      <c r="V5" s="141" t="s">
        <v>64</v>
      </c>
      <c r="W5" s="142"/>
      <c r="X5" s="143"/>
      <c r="Y5" s="141" t="s">
        <v>73</v>
      </c>
      <c r="Z5" s="142"/>
      <c r="AA5" s="143"/>
      <c r="AB5" s="141" t="s">
        <v>65</v>
      </c>
      <c r="AC5" s="142"/>
      <c r="AD5" s="143"/>
      <c r="AE5" s="141" t="s">
        <v>66</v>
      </c>
      <c r="AF5" s="142"/>
      <c r="AG5" s="143"/>
      <c r="AH5" s="141" t="s">
        <v>67</v>
      </c>
      <c r="AI5" s="142"/>
      <c r="AJ5" s="143"/>
      <c r="AK5" s="141" t="s">
        <v>68</v>
      </c>
      <c r="AL5" s="142"/>
      <c r="AM5" s="143"/>
      <c r="AN5" s="141" t="s">
        <v>69</v>
      </c>
      <c r="AO5" s="143"/>
      <c r="AP5" s="141" t="s">
        <v>70</v>
      </c>
      <c r="AQ5" s="143"/>
      <c r="AR5" s="141" t="s">
        <v>71</v>
      </c>
      <c r="AS5" s="143"/>
      <c r="AT5" s="138" t="s">
        <v>130</v>
      </c>
      <c r="AU5" s="139"/>
      <c r="AV5" s="140"/>
      <c r="AW5" s="125" t="s">
        <v>172</v>
      </c>
      <c r="AX5" s="125" t="s">
        <v>173</v>
      </c>
      <c r="AY5" s="144"/>
      <c r="BF5" s="144"/>
    </row>
    <row r="6" spans="1:54" ht="84.75" customHeight="1">
      <c r="A6" s="145" t="s">
        <v>37</v>
      </c>
      <c r="B6" s="146" t="s">
        <v>56</v>
      </c>
      <c r="C6" s="147" t="s">
        <v>129</v>
      </c>
      <c r="D6" s="146" t="s">
        <v>50</v>
      </c>
      <c r="E6" s="146" t="s">
        <v>43</v>
      </c>
      <c r="F6" s="148" t="s">
        <v>0</v>
      </c>
      <c r="G6" s="146" t="s">
        <v>50</v>
      </c>
      <c r="H6" s="146" t="s">
        <v>43</v>
      </c>
      <c r="I6" s="148" t="s">
        <v>0</v>
      </c>
      <c r="J6" s="146" t="s">
        <v>50</v>
      </c>
      <c r="K6" s="146" t="s">
        <v>43</v>
      </c>
      <c r="L6" s="148" t="s">
        <v>0</v>
      </c>
      <c r="M6" s="146" t="s">
        <v>50</v>
      </c>
      <c r="N6" s="146" t="s">
        <v>43</v>
      </c>
      <c r="O6" s="148" t="s">
        <v>0</v>
      </c>
      <c r="P6" s="146" t="s">
        <v>50</v>
      </c>
      <c r="Q6" s="146" t="s">
        <v>43</v>
      </c>
      <c r="R6" s="148" t="s">
        <v>0</v>
      </c>
      <c r="S6" s="146" t="s">
        <v>50</v>
      </c>
      <c r="T6" s="146" t="s">
        <v>43</v>
      </c>
      <c r="U6" s="148" t="s">
        <v>0</v>
      </c>
      <c r="V6" s="146" t="s">
        <v>50</v>
      </c>
      <c r="W6" s="146" t="s">
        <v>43</v>
      </c>
      <c r="X6" s="148" t="s">
        <v>0</v>
      </c>
      <c r="Y6" s="146" t="s">
        <v>50</v>
      </c>
      <c r="Z6" s="146" t="s">
        <v>43</v>
      </c>
      <c r="AA6" s="148" t="s">
        <v>0</v>
      </c>
      <c r="AB6" s="146" t="s">
        <v>50</v>
      </c>
      <c r="AC6" s="146" t="s">
        <v>43</v>
      </c>
      <c r="AD6" s="148" t="s">
        <v>0</v>
      </c>
      <c r="AE6" s="146" t="s">
        <v>50</v>
      </c>
      <c r="AF6" s="146" t="s">
        <v>43</v>
      </c>
      <c r="AG6" s="148" t="s">
        <v>0</v>
      </c>
      <c r="AH6" s="146" t="s">
        <v>50</v>
      </c>
      <c r="AI6" s="146" t="s">
        <v>43</v>
      </c>
      <c r="AJ6" s="148" t="s">
        <v>0</v>
      </c>
      <c r="AK6" s="146" t="s">
        <v>50</v>
      </c>
      <c r="AL6" s="146" t="s">
        <v>43</v>
      </c>
      <c r="AM6" s="148" t="s">
        <v>0</v>
      </c>
      <c r="AN6" s="146" t="s">
        <v>50</v>
      </c>
      <c r="AO6" s="146" t="s">
        <v>43</v>
      </c>
      <c r="AP6" s="146" t="s">
        <v>50</v>
      </c>
      <c r="AQ6" s="146" t="s">
        <v>43</v>
      </c>
      <c r="AR6" s="146" t="s">
        <v>50</v>
      </c>
      <c r="AS6" s="146" t="s">
        <v>43</v>
      </c>
      <c r="AT6" s="146" t="s">
        <v>51</v>
      </c>
      <c r="AU6" s="146" t="s">
        <v>43</v>
      </c>
      <c r="AV6" s="148" t="s">
        <v>0</v>
      </c>
      <c r="AW6" s="126"/>
      <c r="AX6" s="126"/>
      <c r="AY6" s="144"/>
      <c r="AZ6" s="144"/>
      <c r="BA6" s="144"/>
      <c r="BB6" s="144"/>
    </row>
    <row r="7" spans="1:54" s="9" customFormat="1" ht="34.5" customHeight="1">
      <c r="A7" s="8"/>
      <c r="B7" s="149" t="s">
        <v>135</v>
      </c>
      <c r="C7" s="79">
        <f>'насел.'!C7+пільги!C7+субсидії!C7+'держ.бюджет'!C7+'місц.-районн.бюджет'!C7+обласний!C7+інші!C7</f>
        <v>473016.99999999994</v>
      </c>
      <c r="D7" s="79">
        <f>'насел.'!D7+пільги!D7+субсидії!D7+'держ.бюджет'!D7+'місц.-районн.бюджет'!D7+обласний!D7+інші!D7</f>
        <v>250579.3</v>
      </c>
      <c r="E7" s="79">
        <f>'насел.'!E7+пільги!E7+субсидії!E7+'держ.бюджет'!E7+'місц.-районн.бюджет'!E7+обласний!E7+інші!E7</f>
        <v>129271.70000000001</v>
      </c>
      <c r="F7" s="58">
        <f aca="true" t="shared" si="0" ref="F7:F17">E7/D7*100</f>
        <v>51.589137650236886</v>
      </c>
      <c r="G7" s="79">
        <f>'насел.'!G7+пільги!G7+субсидії!G7+'держ.бюджет'!G7+'місц.-районн.бюджет'!G7+обласний!G7+інші!G7</f>
        <v>254169.49999999985</v>
      </c>
      <c r="H7" s="79">
        <f>'насел.'!H7+пільги!H7+субсидії!H7+'держ.бюджет'!H7+'місц.-районн.бюджет'!H7+обласний!H7+інші!H7</f>
        <v>190441.2</v>
      </c>
      <c r="I7" s="58">
        <f aca="true" t="shared" si="1" ref="I7:I17">H7/G7*100</f>
        <v>74.92684999577058</v>
      </c>
      <c r="J7" s="79">
        <f>'насел.'!J7+пільги!J7+субсидії!J7+'держ.бюджет'!J7+'місц.-районн.бюджет'!J7+обласний!J7+інші!J7</f>
        <v>216315.09999999998</v>
      </c>
      <c r="K7" s="79">
        <f>'насел.'!K7+пільги!K7+субсидії!K7+'держ.бюджет'!K7+'місц.-районн.бюджет'!K7+обласний!K7+інші!K7</f>
        <v>214252.6</v>
      </c>
      <c r="L7" s="58">
        <f>K7/J7*100</f>
        <v>99.0465298076741</v>
      </c>
      <c r="M7" s="58">
        <f>'насел.'!M7+пільги!M7+субсидії!M7+'держ.бюджет'!M7+'місц.-районн.бюджет'!M7+обласний!M7+інші!M7</f>
        <v>721063.8999999997</v>
      </c>
      <c r="N7" s="58">
        <f>'насел.'!N7+пільги!N7+субсидії!N7+'держ.бюджет'!N7+'місц.-районн.бюджет'!N7+обласний!N7+інші!N7</f>
        <v>533965.4999999999</v>
      </c>
      <c r="O7" s="58">
        <f aca="true" t="shared" si="2" ref="O7:O17">N7/M7*100</f>
        <v>74.0524522167869</v>
      </c>
      <c r="P7" s="79">
        <f>'насел.'!P7+пільги!P7+субсидії!P7+'держ.бюджет'!P7+'місц.-районн.бюджет'!P7+обласний!P7+інші!P7</f>
        <v>52281.60000000002</v>
      </c>
      <c r="Q7" s="79">
        <f>'насел.'!Q7+пільги!Q7+субсидії!Q7+'держ.бюджет'!Q7+'місц.-районн.бюджет'!Q7+обласний!Q7+інші!Q7</f>
        <v>170659.50000000003</v>
      </c>
      <c r="R7" s="79">
        <f aca="true" t="shared" si="3" ref="R7:R17">Q7/P7*100</f>
        <v>326.42363661402857</v>
      </c>
      <c r="S7" s="79">
        <f>'насел.'!S7+пільги!S7+субсидії!S7+'держ.бюджет'!S7+'місц.-районн.бюджет'!S7+обласний!S7+інші!S7</f>
        <v>3903.7</v>
      </c>
      <c r="T7" s="79">
        <f>'насел.'!T7+пільги!T7+субсидії!T7+'держ.бюджет'!T7+'місц.-районн.бюджет'!T7+обласний!T7+інші!T7</f>
        <v>66720.9</v>
      </c>
      <c r="U7" s="58">
        <f>T7/S7*100</f>
        <v>1709.1707866895508</v>
      </c>
      <c r="V7" s="79">
        <f>'насел.'!V7+пільги!V7+субсидії!V7+'держ.бюджет'!V7+'місц.-районн.бюджет'!V7+обласний!V7+інші!V7</f>
        <v>3806.7999999999997</v>
      </c>
      <c r="W7" s="79">
        <f>'насел.'!W7+пільги!W7+субсидії!W7+'держ.бюджет'!W7+'місц.-районн.бюджет'!W7+обласний!W7+інші!W7</f>
        <v>31519.3</v>
      </c>
      <c r="X7" s="58">
        <f>W7/V7*100</f>
        <v>827.9736261426921</v>
      </c>
      <c r="Y7" s="79">
        <f>'насел.'!Y7+пільги!Y7+субсидії!Y7+'держ.бюджет'!Y7+'місц.-районн.бюджет'!Y7+обласний!Y7+інші!Y7</f>
        <v>59992.10000000001</v>
      </c>
      <c r="Z7" s="79">
        <f>'насел.'!Z7+пільги!Z7+субсидії!Z7+'держ.бюджет'!Z7+'місц.-районн.бюджет'!Z7+обласний!Z7+інші!Z7</f>
        <v>268899.7</v>
      </c>
      <c r="AA7" s="58">
        <f>Z7/Y7*100</f>
        <v>448.22518298242596</v>
      </c>
      <c r="AB7" s="79">
        <f>'насел.'!AB7+пільги!AB7+субсидії!AB7+'держ.бюджет'!AB7+'місц.-районн.бюджет'!AB7+обласний!AB7+інші!AB7</f>
        <v>0</v>
      </c>
      <c r="AC7" s="79">
        <f>'насел.'!AC7+пільги!AC7+субсидії!AC7+'держ.бюджет'!AC7+'місц.-районн.бюджет'!AC7+обласний!AC7+інші!AC7</f>
        <v>0</v>
      </c>
      <c r="AD7" s="58" t="e">
        <f>AC7/AB7*100</f>
        <v>#DIV/0!</v>
      </c>
      <c r="AE7" s="79">
        <f>'насел.'!AE7+пільги!AE7+субсидії!AE7+'держ.бюджет'!AE7+'місц.-районн.бюджет'!AE7+обласний!AE7+інші!AE7</f>
        <v>0</v>
      </c>
      <c r="AF7" s="79">
        <f>'насел.'!AF7+пільги!AF7+субсидії!AF7+'держ.бюджет'!AF7+'місц.-районн.бюджет'!AF7+обласний!AF7+інші!AF7</f>
        <v>0</v>
      </c>
      <c r="AG7" s="58" t="e">
        <f aca="true" t="shared" si="4" ref="AG7:AG17">AF7/AE7*100</f>
        <v>#DIV/0!</v>
      </c>
      <c r="AH7" s="79">
        <f>'насел.'!AH7+пільги!AH7+субсидії!AH7+'держ.бюджет'!AH7+'місц.-районн.бюджет'!AH7+обласний!AH7+інші!AH7</f>
        <v>0</v>
      </c>
      <c r="AI7" s="79">
        <f>'насел.'!AI7+пільги!AI7+субсидії!AI7+'держ.бюджет'!AI7+'місц.-районн.бюджет'!AI7+обласний!AI7+інші!AI7</f>
        <v>0</v>
      </c>
      <c r="AJ7" s="58" t="e">
        <f aca="true" t="shared" si="5" ref="AJ7:AJ17">AI7/AH7*100</f>
        <v>#DIV/0!</v>
      </c>
      <c r="AK7" s="79">
        <f>'насел.'!AK7+пільги!AR7+субсидії!AK7+'держ.бюджет'!AK7+'місц.-районн.бюджет'!AK7+обласний!AK7+інші!AK7</f>
        <v>0</v>
      </c>
      <c r="AL7" s="79">
        <f>'насел.'!AL7+пільги!AK7+субсидії!AL7+'держ.бюджет'!AL7+'місц.-районн.бюджет'!AL7+обласний!AL7+інші!AL7</f>
        <v>0</v>
      </c>
      <c r="AM7" s="79" t="e">
        <f aca="true" t="shared" si="6" ref="AM7:AM17">AL7/AK7*100</f>
        <v>#DIV/0!</v>
      </c>
      <c r="AN7" s="79">
        <f>'насел.'!AN7+пільги!AN7+субсидії!AN7+'держ.бюджет'!AN7+'місц.-районн.бюджет'!AN7+обласний!AN7+інші!AN7</f>
        <v>0</v>
      </c>
      <c r="AO7" s="79">
        <f>'насел.'!AO7+пільги!AN7+субсидії!AO7+'держ.бюджет'!AO7+'місц.-районн.бюджет'!AO7+обласний!AO7+інші!AO7</f>
        <v>0</v>
      </c>
      <c r="AP7" s="79">
        <f>'насел.'!AP7+пільги!AO7+субсидії!AP7+'держ.бюджет'!AP7+'місц.-районн.бюджет'!AP7+обласний!AP7+інші!AP7</f>
        <v>0</v>
      </c>
      <c r="AQ7" s="79">
        <f>'насел.'!AQ7+пільги!AP7+субсидії!AQ7+'держ.бюджет'!AQ7+'місц.-районн.бюджет'!AQ7+обласний!AQ7+інші!AQ7</f>
        <v>0</v>
      </c>
      <c r="AR7" s="79">
        <f>'насел.'!AR7+пільги!AQ7+субсидії!AR7+'держ.бюджет'!AR7+'місц.-районн.бюджет'!AR7+обласний!AR7+інші!AR7</f>
        <v>0</v>
      </c>
      <c r="AS7" s="79">
        <f>'насел.'!AS7+пільги!AR7+субсидії!AS7+'держ.бюджет'!AS7+'місц.-районн.бюджет'!AS7+обласний!AS7+інші!AS7</f>
        <v>0</v>
      </c>
      <c r="AT7" s="79">
        <f>'насел.'!AT7+пільги!AT7+субсидії!AT7+'держ.бюджет'!AT7+'місц.-районн.бюджет'!AT7+обласний!AT7+інші!AT7</f>
        <v>781055.9999999998</v>
      </c>
      <c r="AU7" s="79">
        <f>'насел.'!AU7+пільги!AU7+субсидії!AU7+'держ.бюджет'!AU7+'місц.-районн.бюджет'!AU7+обласний!AU7+інші!AU7</f>
        <v>802865.1999999998</v>
      </c>
      <c r="AV7" s="58">
        <f aca="true" t="shared" si="7" ref="AV7:AV17">AU7/AT7*100</f>
        <v>102.79227097672896</v>
      </c>
      <c r="AW7" s="79">
        <f>AT7-AU7</f>
        <v>-21809.20000000007</v>
      </c>
      <c r="AX7" s="79">
        <f>'насел.'!AX7+пільги!AX7+субсидії!AX7+'держ.бюджет'!AX7+'місц.-районн.бюджет'!AX7+обласний!AX7+інші!AX7</f>
        <v>451207.8</v>
      </c>
      <c r="AY7" s="150"/>
      <c r="AZ7" s="150"/>
      <c r="BA7" s="150"/>
      <c r="BB7" s="150"/>
    </row>
    <row r="8" spans="1:54" s="9" customFormat="1" ht="34.5" customHeight="1">
      <c r="A8" s="8" t="s">
        <v>5</v>
      </c>
      <c r="B8" s="151" t="s">
        <v>38</v>
      </c>
      <c r="C8" s="79">
        <f>'насел.'!C8+пільги!C8+субсидії!C8+'держ.бюджет'!C8+'місц.-районн.бюджет'!C8+обласний!C8+інші!C8</f>
        <v>-694.8000000000001</v>
      </c>
      <c r="D8" s="79">
        <f>'насел.'!D8+пільги!D8+субсидії!D8+'держ.бюджет'!D8+'місц.-районн.бюджет'!D8+обласний!D8+інші!D8</f>
        <v>3468.1</v>
      </c>
      <c r="E8" s="79">
        <f>'насел.'!E8+пільги!E8+субсидії!E8+'держ.бюджет'!E8+'місц.-районн.бюджет'!E8+обласний!E8+інші!E8</f>
        <v>76</v>
      </c>
      <c r="F8" s="58">
        <f t="shared" si="0"/>
        <v>2.191401632017531</v>
      </c>
      <c r="G8" s="79">
        <f>'насел.'!G8+пільги!G8+субсидії!G8+'держ.бюджет'!G8+'місц.-районн.бюджет'!G8+обласний!G8+інші!G8</f>
        <v>3840.0000000000005</v>
      </c>
      <c r="H8" s="79">
        <f>'насел.'!H8+пільги!H8+субсидії!H8+'держ.бюджет'!H8+'місц.-районн.бюджет'!H8+обласний!H8+інші!H8</f>
        <v>1398.6000000000001</v>
      </c>
      <c r="I8" s="58">
        <f t="shared" si="1"/>
        <v>36.421875</v>
      </c>
      <c r="J8" s="79">
        <f>'насел.'!J8+пільги!J8+субсидії!J8+'держ.бюджет'!J8+'місц.-районн.бюджет'!J8+обласний!J8+інші!J8</f>
        <v>3550.3</v>
      </c>
      <c r="K8" s="79">
        <f>'насел.'!K8+пільги!K8+субсидії!K8+'держ.бюджет'!K8+'місц.-районн.бюджет'!K8+обласний!K8+інші!K8</f>
        <v>4369.6</v>
      </c>
      <c r="L8" s="58">
        <f aca="true" t="shared" si="8" ref="L8:L14">K8/J8*100</f>
        <v>123.07692307692308</v>
      </c>
      <c r="M8" s="58">
        <f>'насел.'!M8+пільги!M8+субсидії!M8+'держ.бюджет'!M8+'місц.-районн.бюджет'!M8+обласний!M8+інші!M8</f>
        <v>10858.400000000001</v>
      </c>
      <c r="N8" s="58">
        <f>'насел.'!N8+пільги!N8+субсидії!N8+'держ.бюджет'!N8+'місц.-районн.бюджет'!N8+обласний!N8+інші!N8</f>
        <v>5844.2</v>
      </c>
      <c r="O8" s="58">
        <f t="shared" si="2"/>
        <v>53.82192588226625</v>
      </c>
      <c r="P8" s="79">
        <f>'насел.'!P8+пільги!P8+субсидії!P8+'держ.бюджет'!P8+'місц.-районн.бюджет'!P8+обласний!P8+інші!P8</f>
        <v>868.6000000000001</v>
      </c>
      <c r="Q8" s="79">
        <f>'насел.'!Q8+пільги!Q8+субсидії!Q8+'держ.бюджет'!Q8+'місц.-районн.бюджет'!Q8+обласний!Q8+інші!Q8</f>
        <v>3167</v>
      </c>
      <c r="R8" s="79">
        <f t="shared" si="3"/>
        <v>364.60971678563203</v>
      </c>
      <c r="S8" s="79">
        <f>'насел.'!S8+пільги!S8+субсидії!S8+'держ.бюджет'!S8+'місц.-районн.бюджет'!S8+обласний!S8+інші!S8</f>
        <v>0</v>
      </c>
      <c r="T8" s="79">
        <f>'насел.'!T8+пільги!T8+субсидії!T8+'держ.бюджет'!T8+'місц.-районн.бюджет'!T8+обласний!T8+інші!T8</f>
        <v>1000.3</v>
      </c>
      <c r="U8" s="58" t="e">
        <f aca="true" t="shared" si="9" ref="U8:U14">T8/S8*100</f>
        <v>#DIV/0!</v>
      </c>
      <c r="V8" s="79">
        <f>'насел.'!V8+пільги!V8+субсидії!V8+'держ.бюджет'!V8+'місц.-районн.бюджет'!V8+обласний!V8+інші!V8</f>
        <v>0</v>
      </c>
      <c r="W8" s="79">
        <f>'насел.'!W8+пільги!W8+субсидії!W8+'держ.бюджет'!W8+'місц.-районн.бюджет'!W8+обласний!W8+інші!W8</f>
        <v>813.1</v>
      </c>
      <c r="X8" s="58" t="e">
        <f aca="true" t="shared" si="10" ref="X8:X14">W8/V8*100</f>
        <v>#DIV/0!</v>
      </c>
      <c r="Y8" s="79">
        <f>'насел.'!Y8+пільги!Y8+субсидії!Y8+'держ.бюджет'!Y8+'місц.-районн.бюджет'!Y8+обласний!Y8+інші!Y8</f>
        <v>868.6000000000001</v>
      </c>
      <c r="Z8" s="79">
        <f>'насел.'!Z8+пільги!Z8+субсидії!Z8+'держ.бюджет'!Z8+'місц.-районн.бюджет'!Z8+обласний!Z8+інші!Z8</f>
        <v>4980.4</v>
      </c>
      <c r="AA8" s="58">
        <f aca="true" t="shared" si="11" ref="AA8:AA14">Z8/Y8*100</f>
        <v>573.3824545245221</v>
      </c>
      <c r="AB8" s="79">
        <f>'насел.'!AB8+пільги!AB8+субсидії!AB8+'держ.бюджет'!AB8+'місц.-районн.бюджет'!AB8+обласний!AB8+інші!AB8</f>
        <v>0</v>
      </c>
      <c r="AC8" s="79">
        <f>'насел.'!AC8+пільги!AC8+субсидії!AC8+'держ.бюджет'!AC8+'місц.-районн.бюджет'!AC8+обласний!AC8+інші!AC8</f>
        <v>0</v>
      </c>
      <c r="AD8" s="58" t="e">
        <f aca="true" t="shared" si="12" ref="AD8:AD14">AC8/AB8*100</f>
        <v>#DIV/0!</v>
      </c>
      <c r="AE8" s="79">
        <f>'насел.'!AE8+пільги!AE8+субсидії!AE8+'держ.бюджет'!AE8+'місц.-районн.бюджет'!AE8+обласний!AE8+інші!AE8</f>
        <v>0</v>
      </c>
      <c r="AF8" s="79">
        <f>'насел.'!AF8+пільги!AF8+субсидії!AF8+'держ.бюджет'!AF8+'місц.-районн.бюджет'!AF8+обласний!AF8+інші!AF8</f>
        <v>0</v>
      </c>
      <c r="AG8" s="58" t="e">
        <f t="shared" si="4"/>
        <v>#DIV/0!</v>
      </c>
      <c r="AH8" s="79">
        <f>'насел.'!AH8+пільги!AH8+субсидії!AH8+'держ.бюджет'!AH8+'місц.-районн.бюджет'!AH8+обласний!AH8+інші!AH8</f>
        <v>0</v>
      </c>
      <c r="AI8" s="79">
        <f>'насел.'!AI8+пільги!AI8+субсидії!AI8+'держ.бюджет'!AI8+'місц.-районн.бюджет'!AI8+обласний!AI8+інші!AI8</f>
        <v>0</v>
      </c>
      <c r="AJ8" s="58" t="e">
        <f t="shared" si="5"/>
        <v>#DIV/0!</v>
      </c>
      <c r="AK8" s="79">
        <f>'насел.'!AK8+пільги!AR8+субсидії!AK8+'держ.бюджет'!AK8+'місц.-районн.бюджет'!AK8+обласний!AK8+інші!AK8</f>
        <v>0</v>
      </c>
      <c r="AL8" s="79">
        <f>'насел.'!AL8+пільги!AK8+субсидії!AL8+'держ.бюджет'!AL8+'місц.-районн.бюджет'!AL8+обласний!AL8+інші!AL8</f>
        <v>0</v>
      </c>
      <c r="AM8" s="79" t="e">
        <f t="shared" si="6"/>
        <v>#DIV/0!</v>
      </c>
      <c r="AN8" s="79">
        <f>'насел.'!AN8+пільги!AN8+субсидії!AN8+'держ.бюджет'!AN8+'місц.-районн.бюджет'!AN8+обласний!AN8+інші!AN8</f>
        <v>0</v>
      </c>
      <c r="AO8" s="79">
        <f>'насел.'!AO8+пільги!AN8+субсидії!AO8+'держ.бюджет'!AO8+'місц.-районн.бюджет'!AO8+обласний!AO8+інші!AO8</f>
        <v>0</v>
      </c>
      <c r="AP8" s="79">
        <f>'насел.'!AP8+пільги!AO8+субсидії!AP8+'держ.бюджет'!AP8+'місц.-районн.бюджет'!AP8+обласний!AP8+інші!AP8</f>
        <v>0</v>
      </c>
      <c r="AQ8" s="79">
        <f>'насел.'!AQ8+пільги!AP8+субсидії!AQ8+'держ.бюджет'!AQ8+'місц.-районн.бюджет'!AQ8+обласний!AQ8+інші!AQ8</f>
        <v>0</v>
      </c>
      <c r="AR8" s="79">
        <f>'насел.'!AR8+пільги!AQ8+субсидії!AR8+'держ.бюджет'!AR8+'місц.-районн.бюджет'!AR8+обласний!AR8+інші!AR8</f>
        <v>0</v>
      </c>
      <c r="AS8" s="79">
        <f>'насел.'!AS8+пільги!AR8+субсидії!AS8+'держ.бюджет'!AS8+'місц.-районн.бюджет'!AS8+обласний!AS8+інші!AS8</f>
        <v>0</v>
      </c>
      <c r="AT8" s="79">
        <f>'насел.'!AT8+пільги!AT8+субсидії!AT8+'держ.бюджет'!AT8+'місц.-районн.бюджет'!AT8+обласний!AT8+інші!AT8</f>
        <v>11727</v>
      </c>
      <c r="AU8" s="79">
        <f>'насел.'!AU8+пільги!AU8+субсидії!AU8+'держ.бюджет'!AU8+'місц.-районн.бюджет'!AU8+обласний!AU8+інші!AU8</f>
        <v>10824.6</v>
      </c>
      <c r="AV8" s="58">
        <f t="shared" si="7"/>
        <v>92.30493732412381</v>
      </c>
      <c r="AW8" s="79">
        <f aca="true" t="shared" si="13" ref="AW8:AW72">AT8-AU8</f>
        <v>902.3999999999996</v>
      </c>
      <c r="AX8" s="66">
        <f>'насел.'!AX8+пільги!AX8+субсидії!AX8+'держ.бюджет'!AX8+'місц.-районн.бюджет'!AX8+обласний!AX8+інші!AX8</f>
        <v>207.6000000000009</v>
      </c>
      <c r="AY8" s="150"/>
      <c r="AZ8" s="150"/>
      <c r="BA8" s="150"/>
      <c r="BB8" s="150"/>
    </row>
    <row r="9" spans="1:54" ht="33" customHeight="1">
      <c r="A9" s="10" t="s">
        <v>5</v>
      </c>
      <c r="B9" s="152" t="s">
        <v>171</v>
      </c>
      <c r="C9" s="63">
        <f>'насел.'!C9+пільги!C9+субсидії!C9+'держ.бюджет'!C9+'місц.-районн.бюджет'!C9+обласний!C9+інші!C9</f>
        <v>-16</v>
      </c>
      <c r="D9" s="63">
        <f>'насел.'!D9+пільги!D9+субсидії!D9+'держ.бюджет'!D9+'місц.-районн.бюджет'!D9+обласний!D9+інші!D9</f>
        <v>533</v>
      </c>
      <c r="E9" s="63">
        <f>'насел.'!E9+пільги!E9+субсидії!E9+'держ.бюджет'!E9+'місц.-районн.бюджет'!E9+обласний!E9+інші!E9</f>
        <v>76</v>
      </c>
      <c r="F9" s="62">
        <f t="shared" si="0"/>
        <v>14.258911819887429</v>
      </c>
      <c r="G9" s="63">
        <f>'насел.'!G9+пільги!G9+субсидії!G9+'держ.бюджет'!G9+'місц.-районн.бюджет'!G9+обласний!G9+інші!G9</f>
        <v>582.4</v>
      </c>
      <c r="H9" s="63">
        <f>'насел.'!H9+пільги!H9+субсидії!H9+'держ.бюджет'!H9+'місц.-районн.бюджет'!H9+обласний!H9+інші!H9</f>
        <v>35</v>
      </c>
      <c r="I9" s="62">
        <f t="shared" si="1"/>
        <v>6.009615384615385</v>
      </c>
      <c r="J9" s="63">
        <f>'насел.'!J9+пільги!J9+субсидії!J9+'держ.бюджет'!J9+'місц.-районн.бюджет'!J9+обласний!J9+інші!J9</f>
        <v>494.7</v>
      </c>
      <c r="K9" s="63">
        <f>'насел.'!K9+пільги!K9+субсидії!K9+'держ.бюджет'!K9+'місц.-районн.бюджет'!K9+обласний!K9+інші!K9</f>
        <v>149</v>
      </c>
      <c r="L9" s="62">
        <f t="shared" si="8"/>
        <v>30.11926420052557</v>
      </c>
      <c r="M9" s="62">
        <f>'насел.'!M9+пільги!M9+субсидії!M9+'держ.бюджет'!M9+'місц.-районн.бюджет'!M9+обласний!M9+інші!M9</f>
        <v>1610.1</v>
      </c>
      <c r="N9" s="62">
        <f>'насел.'!N9+пільги!N9+субсидії!N9+'держ.бюджет'!N9+'місц.-районн.бюджет'!N9+обласний!N9+інші!N9</f>
        <v>260</v>
      </c>
      <c r="O9" s="62">
        <f t="shared" si="2"/>
        <v>16.148065337556673</v>
      </c>
      <c r="P9" s="63">
        <f>'насел.'!P9+пільги!P9+субсидії!P9+'держ.бюджет'!P9+'місц.-районн.бюджет'!P9+обласний!P9+інші!P9</f>
        <v>187.5</v>
      </c>
      <c r="Q9" s="63">
        <f>'насел.'!Q9+пільги!Q9+субсидії!Q9+'держ.бюджет'!Q9+'місц.-районн.бюджет'!Q9+обласний!Q9+інші!Q9</f>
        <v>804.1999999999999</v>
      </c>
      <c r="R9" s="63">
        <f t="shared" si="3"/>
        <v>428.9066666666666</v>
      </c>
      <c r="S9" s="63">
        <f>'насел.'!S9+пільги!S9+субсидії!S9+'держ.бюджет'!S9+'місц.-районн.бюджет'!S9+обласний!S9+інші!S9</f>
        <v>0</v>
      </c>
      <c r="T9" s="63">
        <f>'насел.'!T9+пільги!T9+субсидії!T9+'держ.бюджет'!T9+'місц.-районн.бюджет'!T9+обласний!T9+інші!T9</f>
        <v>271.3</v>
      </c>
      <c r="U9" s="62" t="e">
        <f t="shared" si="9"/>
        <v>#DIV/0!</v>
      </c>
      <c r="V9" s="63">
        <f>'насел.'!V9+пільги!V9+субсидії!V9+'держ.бюджет'!V9+'місц.-районн.бюджет'!V9+обласний!V9+інші!V9</f>
        <v>0</v>
      </c>
      <c r="W9" s="63">
        <f>'насел.'!W9+пільги!W9+субсидії!W9+'держ.бюджет'!W9+'місц.-районн.бюджет'!W9+обласний!W9+інші!W9</f>
        <v>17.1</v>
      </c>
      <c r="X9" s="62" t="e">
        <f t="shared" si="10"/>
        <v>#DIV/0!</v>
      </c>
      <c r="Y9" s="63">
        <f>'насел.'!Y9+пільги!Y9+субсидії!Y9+'держ.бюджет'!Y9+'місц.-районн.бюджет'!Y9+обласний!Y9+інші!Y9</f>
        <v>187.5</v>
      </c>
      <c r="Z9" s="63">
        <f>'насел.'!Z9+пільги!Z9+субсидії!Z9+'держ.бюджет'!Z9+'місц.-районн.бюджет'!Z9+обласний!Z9+інші!Z9</f>
        <v>1092.6</v>
      </c>
      <c r="AA9" s="62">
        <f t="shared" si="11"/>
        <v>582.7199999999999</v>
      </c>
      <c r="AB9" s="63">
        <f>'насел.'!AB9+пільги!AB9+субсидії!AB9+'держ.бюджет'!AB9+'місц.-районн.бюджет'!AB9+обласний!AB9+інші!AB9</f>
        <v>0</v>
      </c>
      <c r="AC9" s="63">
        <f>'насел.'!AC9+пільги!AC9+субсидії!AC9+'держ.бюджет'!AC9+'місц.-районн.бюджет'!AC9+обласний!AC9+інші!AC9</f>
        <v>0</v>
      </c>
      <c r="AD9" s="62" t="e">
        <f t="shared" si="12"/>
        <v>#DIV/0!</v>
      </c>
      <c r="AE9" s="63">
        <f>'насел.'!AE9+пільги!AE9+субсидії!AE9+'держ.бюджет'!AE9+'місц.-районн.бюджет'!AE9+обласний!AE9+інші!AE9</f>
        <v>0</v>
      </c>
      <c r="AF9" s="63">
        <f>'насел.'!AF9+пільги!AF9+субсидії!AF9+'держ.бюджет'!AF9+'місц.-районн.бюджет'!AF9+обласний!AF9+інші!AF9</f>
        <v>0</v>
      </c>
      <c r="AG9" s="62" t="e">
        <f t="shared" si="4"/>
        <v>#DIV/0!</v>
      </c>
      <c r="AH9" s="63">
        <f>'насел.'!AH9+пільги!AH9+субсидії!AH9+'держ.бюджет'!AH9+'місц.-районн.бюджет'!AH9+обласний!AH9+інші!AH9</f>
        <v>0</v>
      </c>
      <c r="AI9" s="63">
        <f>'насел.'!AI9+пільги!AI9+субсидії!AI9+'держ.бюджет'!AI9+'місц.-районн.бюджет'!AI9+обласний!AI9+інші!AI9</f>
        <v>0</v>
      </c>
      <c r="AJ9" s="62" t="e">
        <f t="shared" si="5"/>
        <v>#DIV/0!</v>
      </c>
      <c r="AK9" s="79">
        <f>'насел.'!AK9+пільги!AR9+субсидії!AK9+'держ.бюджет'!AK9+'місц.-районн.бюджет'!AK9+обласний!AK9+інші!AK9</f>
        <v>0</v>
      </c>
      <c r="AL9" s="63">
        <f>'насел.'!AL9+пільги!AK9+субсидії!AL9+'держ.бюджет'!AL9+'місц.-районн.бюджет'!AL9+обласний!AL9+інші!AL9</f>
        <v>0</v>
      </c>
      <c r="AM9" s="63" t="e">
        <f t="shared" si="6"/>
        <v>#DIV/0!</v>
      </c>
      <c r="AN9" s="79">
        <f>'насел.'!AN9+пільги!AN9+субсидії!AN9+'держ.бюджет'!AN9+'місц.-районн.бюджет'!AN9+обласний!AN9+інші!AN9</f>
        <v>0</v>
      </c>
      <c r="AO9" s="63">
        <f>'насел.'!AO9+пільги!AN9+субсидії!AO9+'держ.бюджет'!AO9+'місц.-районн.бюджет'!AO9+обласний!AO9+інші!AO9</f>
        <v>0</v>
      </c>
      <c r="AP9" s="63">
        <f>'насел.'!AP9+пільги!AO9+субсидії!AP9+'держ.бюджет'!AP9+'місц.-районн.бюджет'!AP9+обласний!AP9+інші!AP9</f>
        <v>0</v>
      </c>
      <c r="AQ9" s="63">
        <f>'насел.'!AQ9+пільги!AP9+субсидії!AQ9+'держ.бюджет'!AQ9+'місц.-районн.бюджет'!AQ9+обласний!AQ9+інші!AQ9</f>
        <v>0</v>
      </c>
      <c r="AR9" s="63">
        <f>'насел.'!AR9+пільги!AQ9+субсидії!AR9+'держ.бюджет'!AR9+'місц.-районн.бюджет'!AR9+обласний!AR9+інші!AR9</f>
        <v>0</v>
      </c>
      <c r="AS9" s="63">
        <f>'насел.'!AS9+пільги!AR9+субсидії!AS9+'держ.бюджет'!AS9+'місц.-районн.бюджет'!AS9+обласний!AS9+інші!AS9</f>
        <v>0</v>
      </c>
      <c r="AT9" s="79">
        <f>'насел.'!AT9+пільги!AT9+субсидії!AT9+'держ.бюджет'!AT9+'місц.-районн.бюджет'!AT9+обласний!AT9+інші!AT9</f>
        <v>1797.6000000000001</v>
      </c>
      <c r="AU9" s="79">
        <f>'насел.'!AU9+пільги!AU9+субсидії!AU9+'держ.бюджет'!AU9+'місц.-районн.бюджет'!AU9+обласний!AU9+інші!AU9</f>
        <v>1352.6</v>
      </c>
      <c r="AV9" s="62">
        <f t="shared" si="7"/>
        <v>75.24477080551846</v>
      </c>
      <c r="AW9" s="63">
        <f t="shared" si="13"/>
        <v>445.0000000000002</v>
      </c>
      <c r="AX9" s="66">
        <f>'насел.'!AX9+пільги!AX9+субсидії!AX9+'держ.бюджет'!AX9+'місц.-районн.бюджет'!AX9+обласний!AX9+інші!AX9</f>
        <v>429.00000000000006</v>
      </c>
      <c r="AY9" s="144"/>
      <c r="AZ9" s="144"/>
      <c r="BA9" s="144"/>
      <c r="BB9" s="144"/>
    </row>
    <row r="10" spans="1:54" ht="34.5" customHeight="1">
      <c r="A10" s="10" t="s">
        <v>7</v>
      </c>
      <c r="B10" s="110" t="s">
        <v>145</v>
      </c>
      <c r="C10" s="63">
        <f>'насел.'!C10+пільги!C10+субсидії!C10+'держ.бюджет'!C10+'місц.-районн.бюджет'!C10+обласний!C10+інші!C10</f>
        <v>-25.00000000000003</v>
      </c>
      <c r="D10" s="63">
        <f>'насел.'!D10+пільги!D10+субсидії!D10+'держ.бюджет'!D10+'місц.-районн.бюджет'!D10+обласний!D10+інші!D10</f>
        <v>1349.8000000000002</v>
      </c>
      <c r="E10" s="63">
        <f>'насел.'!E10+пільги!E10+субсидії!E10+'держ.бюджет'!E10+'місц.-районн.бюджет'!E10+обласний!E10+інші!E10</f>
        <v>0</v>
      </c>
      <c r="F10" s="62">
        <f t="shared" si="0"/>
        <v>0</v>
      </c>
      <c r="G10" s="63">
        <f>'насел.'!G10+пільги!G10+субсидії!G10+'держ.бюджет'!G10+'місц.-районн.бюджет'!G10+обласний!G10+інші!G10</f>
        <v>1725.1</v>
      </c>
      <c r="H10" s="63">
        <f>'насел.'!H10+пільги!H10+субсидії!H10+'держ.бюджет'!H10+'місц.-районн.бюджет'!H10+обласний!H10+інші!H10</f>
        <v>45.5</v>
      </c>
      <c r="I10" s="62">
        <f t="shared" si="1"/>
        <v>2.637528259231349</v>
      </c>
      <c r="J10" s="63">
        <f>'насел.'!J10+пільги!J10+субсидії!J10+'держ.бюджет'!J10+'місц.-районн.бюджет'!J10+обласний!J10+інші!J10</f>
        <v>1580.2</v>
      </c>
      <c r="K10" s="63">
        <f>'насел.'!K10+пільги!K10+субсидії!K10+'держ.бюджет'!K10+'місц.-районн.бюджет'!K10+обласний!K10+інші!K10</f>
        <v>2633.1</v>
      </c>
      <c r="L10" s="62">
        <f t="shared" si="8"/>
        <v>166.63080622705985</v>
      </c>
      <c r="M10" s="62">
        <f>'насел.'!M10+пільги!M10+субсидії!M10+'держ.бюджет'!M10+'місц.-районн.бюджет'!M10+обласний!M10+інші!M10</f>
        <v>4655.1</v>
      </c>
      <c r="N10" s="62">
        <f>'насел.'!N10+пільги!N10+субсидії!N10+'держ.бюджет'!N10+'місц.-районн.бюджет'!N10+обласний!N10+інші!N10</f>
        <v>2678.6</v>
      </c>
      <c r="O10" s="62">
        <f t="shared" si="2"/>
        <v>57.54119138149556</v>
      </c>
      <c r="P10" s="63">
        <f>'насел.'!P10+пільги!P10+субсидії!P10+'держ.бюджет'!P10+'місц.-районн.бюджет'!P10+обласний!P10+інші!P10</f>
        <v>202.4</v>
      </c>
      <c r="Q10" s="63">
        <f>'насел.'!Q10+пільги!Q10+субсидії!Q10+'держ.бюджет'!Q10+'місц.-районн.бюджет'!Q10+обласний!Q10+інші!Q10</f>
        <v>1248.8999999999999</v>
      </c>
      <c r="R10" s="63">
        <f t="shared" si="3"/>
        <v>617.0454545454545</v>
      </c>
      <c r="S10" s="63">
        <f>'насел.'!S10+пільги!S10+субсидії!S10+'держ.бюджет'!S10+'місц.-районн.бюджет'!S10+обласний!S10+інші!S10</f>
        <v>0</v>
      </c>
      <c r="T10" s="63">
        <f>'насел.'!T10+пільги!T10+субсидії!T10+'держ.бюджет'!T10+'місц.-районн.бюджет'!T10+обласний!T10+інші!T10</f>
        <v>672.9000000000001</v>
      </c>
      <c r="U10" s="62" t="e">
        <f t="shared" si="9"/>
        <v>#DIV/0!</v>
      </c>
      <c r="V10" s="63">
        <f>'насел.'!V10+пільги!V10+субсидії!V10+'держ.бюджет'!V10+'місц.-районн.бюджет'!V10+обласний!V10+інші!V10</f>
        <v>0</v>
      </c>
      <c r="W10" s="63">
        <f>'насел.'!W10+пільги!W10+субсидії!W10+'держ.бюджет'!W10+'місц.-районн.бюджет'!W10+обласний!W10+інші!W10</f>
        <v>57.3</v>
      </c>
      <c r="X10" s="62" t="e">
        <f t="shared" si="10"/>
        <v>#DIV/0!</v>
      </c>
      <c r="Y10" s="63">
        <f>'насел.'!Y10+пільги!Y10+субсидії!Y10+'держ.бюджет'!Y10+'місц.-районн.бюджет'!Y10+обласний!Y10+інші!Y10</f>
        <v>202.4</v>
      </c>
      <c r="Z10" s="63">
        <f>'насел.'!Z10+пільги!Z10+субсидії!Z10+'держ.бюджет'!Z10+'місц.-районн.бюджет'!Z10+обласний!Z10+інші!Z10</f>
        <v>1979.1</v>
      </c>
      <c r="AA10" s="62">
        <f t="shared" si="11"/>
        <v>977.8162055335966</v>
      </c>
      <c r="AB10" s="63">
        <f>'насел.'!AB10+пільги!AB10+субсидії!AB10+'держ.бюджет'!AB10+'місц.-районн.бюджет'!AB10+обласний!AB10+інші!AB10</f>
        <v>0</v>
      </c>
      <c r="AC10" s="63">
        <f>'насел.'!AC10+пільги!AC10+субсидії!AC10+'держ.бюджет'!AC10+'місц.-районн.бюджет'!AC10+обласний!AC10+інші!AC10</f>
        <v>0</v>
      </c>
      <c r="AD10" s="62" t="e">
        <f t="shared" si="12"/>
        <v>#DIV/0!</v>
      </c>
      <c r="AE10" s="63">
        <f>'насел.'!AE10+пільги!AE10+субсидії!AE10+'держ.бюджет'!AE10+'місц.-районн.бюджет'!AE10+обласний!AE10+інші!AE10</f>
        <v>0</v>
      </c>
      <c r="AF10" s="63">
        <f>'насел.'!AF10+пільги!AF10+субсидії!AF10+'держ.бюджет'!AF10+'місц.-районн.бюджет'!AF10+обласний!AF10+інші!AF10</f>
        <v>0</v>
      </c>
      <c r="AG10" s="62" t="e">
        <f t="shared" si="4"/>
        <v>#DIV/0!</v>
      </c>
      <c r="AH10" s="63">
        <f>'насел.'!AH10+пільги!AH10+субсидії!AH10+'держ.бюджет'!AH10+'місц.-районн.бюджет'!AH10+обласний!AH10+інші!AH10</f>
        <v>0</v>
      </c>
      <c r="AI10" s="63">
        <f>'насел.'!AI10+пільги!AI10+субсидії!AI10+'держ.бюджет'!AI10+'місц.-районн.бюджет'!AI10+обласний!AI10+інші!AI10</f>
        <v>0</v>
      </c>
      <c r="AJ10" s="62" t="e">
        <f t="shared" si="5"/>
        <v>#DIV/0!</v>
      </c>
      <c r="AK10" s="79">
        <f>'насел.'!AK10+пільги!AR10+субсидії!AK10+'держ.бюджет'!AK10+'місц.-районн.бюджет'!AK10+обласний!AK10+інші!AK10</f>
        <v>0</v>
      </c>
      <c r="AL10" s="63">
        <f>'насел.'!AL10+пільги!AK10+субсидії!AL10+'держ.бюджет'!AL10+'місц.-районн.бюджет'!AL10+обласний!AL10+інші!AL10</f>
        <v>0</v>
      </c>
      <c r="AM10" s="63" t="e">
        <f t="shared" si="6"/>
        <v>#DIV/0!</v>
      </c>
      <c r="AN10" s="79">
        <f>'насел.'!AN10+пільги!AN10+субсидії!AN10+'держ.бюджет'!AN10+'місц.-районн.бюджет'!AN10+обласний!AN10+інші!AN10</f>
        <v>0</v>
      </c>
      <c r="AO10" s="63">
        <f>'насел.'!AO10+пільги!AN10+субсидії!AO10+'держ.бюджет'!AO10+'місц.-районн.бюджет'!AO10+обласний!AO10+інші!AO10</f>
        <v>0</v>
      </c>
      <c r="AP10" s="63">
        <f>'насел.'!AP10+пільги!AO10+субсидії!AP10+'держ.бюджет'!AP10+'місц.-районн.бюджет'!AP10+обласний!AP10+інші!AP10</f>
        <v>0</v>
      </c>
      <c r="AQ10" s="63">
        <f>'насел.'!AQ10+пільги!AP10+субсидії!AQ10+'держ.бюджет'!AQ10+'місц.-районн.бюджет'!AQ10+обласний!AQ10+інші!AQ10</f>
        <v>0</v>
      </c>
      <c r="AR10" s="63">
        <f>'насел.'!AR10+пільги!AQ10+субсидії!AR10+'держ.бюджет'!AR10+'місц.-районн.бюджет'!AR10+обласний!AR10+інші!AR10</f>
        <v>0</v>
      </c>
      <c r="AS10" s="63">
        <f>'насел.'!AS10+пільги!AR10+субсидії!AS10+'держ.бюджет'!AS10+'місц.-районн.бюджет'!AS10+обласний!AS10+інші!AS10</f>
        <v>0</v>
      </c>
      <c r="AT10" s="63">
        <f>'насел.'!AT10+пільги!AT10+субсидії!AT10+'держ.бюджет'!AT10+'місц.-районн.бюджет'!AT10+обласний!AT10+інші!AT10</f>
        <v>4857.500000000001</v>
      </c>
      <c r="AU10" s="63">
        <f>'насел.'!AU10+пільги!AU10+субсидії!AU10+'держ.бюджет'!AU10+'місц.-районн.бюджет'!AU10+обласний!AU10+інші!AU10</f>
        <v>4657.7</v>
      </c>
      <c r="AV10" s="62">
        <f t="shared" si="7"/>
        <v>95.88677303139474</v>
      </c>
      <c r="AW10" s="63">
        <f t="shared" si="13"/>
        <v>199.8000000000011</v>
      </c>
      <c r="AX10" s="66">
        <f>'насел.'!AX10+пільги!AX10+субсидії!AX10+'держ.бюджет'!AX10+'місц.-районн.бюджет'!AX10+обласний!AX10+інші!AX10</f>
        <v>174.8000000000007</v>
      </c>
      <c r="AY10" s="144"/>
      <c r="AZ10" s="144"/>
      <c r="BA10" s="144"/>
      <c r="BB10" s="144"/>
    </row>
    <row r="11" spans="1:54" ht="34.5" customHeight="1" hidden="1">
      <c r="A11" s="10" t="s">
        <v>14</v>
      </c>
      <c r="B11" s="153" t="s">
        <v>77</v>
      </c>
      <c r="C11" s="63">
        <f>'насел.'!C11+пільги!C11+субсидії!C11+'держ.бюджет'!C11+'місц.-районн.бюджет'!C11+обласний!C11+інші!C11</f>
        <v>0</v>
      </c>
      <c r="D11" s="154">
        <f>'насел.'!D11+пільги!D11+субсидії!D11+'держ.бюджет'!D11+'місц.-районн.бюджет'!D11+обласний!D11+інші!D11</f>
        <v>0</v>
      </c>
      <c r="E11" s="154">
        <f>'насел.'!E11+пільги!E11+субсидії!E11+'держ.бюджет'!E11+'місц.-районн.бюджет'!E11+обласний!E11+інші!E11</f>
        <v>0</v>
      </c>
      <c r="F11" s="155" t="e">
        <f t="shared" si="0"/>
        <v>#DIV/0!</v>
      </c>
      <c r="G11" s="154">
        <f>'насел.'!G11+пільги!G11+субсидії!G11+'держ.бюджет'!G11+'місц.-районн.бюджет'!G11+обласний!G11+інші!G11</f>
        <v>0</v>
      </c>
      <c r="H11" s="154">
        <f>'насел.'!H11+пільги!H11+субсидії!H11+'держ.бюджет'!H11+'місц.-районн.бюджет'!H11+обласний!H11+інші!H11</f>
        <v>0</v>
      </c>
      <c r="I11" s="155" t="e">
        <f t="shared" si="1"/>
        <v>#DIV/0!</v>
      </c>
      <c r="J11" s="63">
        <f>'насел.'!J11+пільги!J11+субсидії!J11+'держ.бюджет'!J11+'місц.-районн.бюджет'!J11+обласний!J11+інші!J11</f>
        <v>0</v>
      </c>
      <c r="K11" s="63">
        <f>'насел.'!K11+пільги!K11+субсидії!K11+'держ.бюджет'!K11+'місц.-районн.бюджет'!K11+обласний!K11+інші!K11</f>
        <v>0</v>
      </c>
      <c r="L11" s="155" t="e">
        <f t="shared" si="8"/>
        <v>#DIV/0!</v>
      </c>
      <c r="M11" s="155">
        <f>'насел.'!M11+пільги!M11+субсидії!M11+'держ.бюджет'!M11+'місц.-районн.бюджет'!M11+обласний!M11+інші!M11</f>
        <v>0</v>
      </c>
      <c r="N11" s="155">
        <f>'насел.'!N11+пільги!N11+субсидії!N11+'держ.бюджет'!N11+'місц.-районн.бюджет'!N11+обласний!N11+інші!N11</f>
        <v>0</v>
      </c>
      <c r="O11" s="155" t="e">
        <f t="shared" si="2"/>
        <v>#DIV/0!</v>
      </c>
      <c r="P11" s="154">
        <f>'насел.'!P11+пільги!P11+субсидії!P11+'держ.бюджет'!P11+'місц.-районн.бюджет'!P11+обласний!P11+інші!P11</f>
        <v>0</v>
      </c>
      <c r="Q11" s="154">
        <f>'насел.'!Q11+пільги!Q11+субсидії!Q11+'держ.бюджет'!Q11+'місц.-районн.бюджет'!Q11+обласний!Q11+інші!Q11</f>
        <v>0</v>
      </c>
      <c r="R11" s="63" t="e">
        <f t="shared" si="3"/>
        <v>#DIV/0!</v>
      </c>
      <c r="S11" s="154">
        <f>'насел.'!S11+пільги!S11+субсидії!S11+'держ.бюджет'!S11+'місц.-районн.бюджет'!S11+обласний!S11+інші!S11</f>
        <v>0</v>
      </c>
      <c r="T11" s="154">
        <f>'насел.'!T11+пільги!T11+субсидії!T11+'держ.бюджет'!T11+'місц.-районн.бюджет'!T11+обласний!T11+інші!T11</f>
        <v>0</v>
      </c>
      <c r="U11" s="155" t="e">
        <f t="shared" si="9"/>
        <v>#DIV/0!</v>
      </c>
      <c r="V11" s="154">
        <f>'насел.'!V11+пільги!V11+субсидії!V11+'держ.бюджет'!V11+'місц.-районн.бюджет'!V11+обласний!V11+інші!V11</f>
        <v>0</v>
      </c>
      <c r="W11" s="154">
        <f>'насел.'!W11+пільги!W11+субсидії!W11+'держ.бюджет'!W11+'місц.-районн.бюджет'!W11+обласний!W11+інші!W11</f>
        <v>0</v>
      </c>
      <c r="X11" s="155" t="e">
        <f t="shared" si="10"/>
        <v>#DIV/0!</v>
      </c>
      <c r="Y11" s="154">
        <f>'насел.'!Y11+пільги!Y11+субсидії!Y11+'держ.бюджет'!Y11+'місц.-районн.бюджет'!Y11+обласний!Y11+інші!Y11</f>
        <v>0</v>
      </c>
      <c r="Z11" s="154">
        <f>'насел.'!Z11+пільги!Z11+субсидії!Z11+'держ.бюджет'!Z11+'місц.-районн.бюджет'!Z11+обласний!Z11+інші!Z11</f>
        <v>0</v>
      </c>
      <c r="AA11" s="155" t="e">
        <f t="shared" si="11"/>
        <v>#DIV/0!</v>
      </c>
      <c r="AB11" s="154">
        <f>'насел.'!AB11+пільги!AB11+субсидії!AB11+'держ.бюджет'!AB11+'місц.-районн.бюджет'!AB11+обласний!AB11+інші!AB11</f>
        <v>0</v>
      </c>
      <c r="AC11" s="154">
        <f>'насел.'!AC11+пільги!AC11+субсидії!AC11+'держ.бюджет'!AC11+'місц.-районн.бюджет'!AC11+обласний!AC11+інші!AC11</f>
        <v>0</v>
      </c>
      <c r="AD11" s="155" t="e">
        <f t="shared" si="12"/>
        <v>#DIV/0!</v>
      </c>
      <c r="AE11" s="154">
        <f>'насел.'!AE11+пільги!AE11+субсидії!AE11+'держ.бюджет'!AE11+'місц.-районн.бюджет'!AE11+обласний!AE11+інші!AE11</f>
        <v>0</v>
      </c>
      <c r="AF11" s="154">
        <f>'насел.'!AF11+пільги!AF11+субсидії!AF11+'держ.бюджет'!AF11+'місц.-районн.бюджет'!AF11+обласний!AF11+інші!AF11</f>
        <v>0</v>
      </c>
      <c r="AG11" s="62" t="e">
        <f t="shared" si="4"/>
        <v>#DIV/0!</v>
      </c>
      <c r="AH11" s="63">
        <f>'насел.'!AH11+пільги!AH11+субсидії!AH11+'держ.бюджет'!AH11+'місц.-районн.бюджет'!AH11+обласний!AH11+інші!AH11</f>
        <v>0</v>
      </c>
      <c r="AI11" s="63">
        <f>'насел.'!AI11+пільги!AI11+субсидії!AI11+'держ.бюджет'!AI11+'місц.-районн.бюджет'!AI11+обласний!AI11+інші!AI11</f>
        <v>0</v>
      </c>
      <c r="AJ11" s="62" t="e">
        <f t="shared" si="5"/>
        <v>#DIV/0!</v>
      </c>
      <c r="AK11" s="79">
        <f>'насел.'!AK11+пільги!AR11+субсидії!AK11+'держ.бюджет'!AK11+'місц.-районн.бюджет'!AK11+обласний!AK11+інші!AK11</f>
        <v>0</v>
      </c>
      <c r="AL11" s="154">
        <f>'насел.'!AL11+пільги!AK11+субсидії!AL11+'держ.бюджет'!AL11+'місц.-районн.бюджет'!AL11+обласний!AL11+інші!AL11</f>
        <v>0</v>
      </c>
      <c r="AM11" s="154" t="e">
        <f t="shared" si="6"/>
        <v>#DIV/0!</v>
      </c>
      <c r="AN11" s="79">
        <f>'насел.'!AN11+пільги!AN11+субсидії!AN11+'держ.бюджет'!AN11+'місц.-районн.бюджет'!AN11+обласний!AN11+інші!AN11</f>
        <v>0</v>
      </c>
      <c r="AO11" s="154">
        <f>'насел.'!AO11+пільги!AN11+субсидії!AO11+'держ.бюджет'!AO11+'місц.-районн.бюджет'!AO11+обласний!AO11+інші!AO11</f>
        <v>0</v>
      </c>
      <c r="AP11" s="154">
        <f>'насел.'!AP11+пільги!AO11+субсидії!AP11+'держ.бюджет'!AP11+'місц.-районн.бюджет'!AP11+обласний!AP11+інші!AP11</f>
        <v>0</v>
      </c>
      <c r="AQ11" s="154">
        <f>'насел.'!AQ11+пільги!AP11+субсидії!AQ11+'держ.бюджет'!AQ11+'місц.-районн.бюджет'!AQ11+обласний!AQ11+інші!AQ11</f>
        <v>0</v>
      </c>
      <c r="AR11" s="154">
        <f>'насел.'!AR11+пільги!AQ11+субсидії!AR11+'держ.бюджет'!AR11+'місц.-районн.бюджет'!AR11+обласний!AR11+інші!AR11</f>
        <v>0</v>
      </c>
      <c r="AS11" s="154">
        <f>'насел.'!AS11+пільги!AR11+субсидії!AS11+'держ.бюджет'!AS11+'місц.-районн.бюджет'!AS11+обласний!AS11+інші!AS11</f>
        <v>0</v>
      </c>
      <c r="AT11" s="63">
        <f>'насел.'!AT11+пільги!AT11+субсидії!AT11+'держ.бюджет'!AT11+'місц.-районн.бюджет'!AT11+обласний!AT11+інші!AT11</f>
        <v>0</v>
      </c>
      <c r="AU11" s="63">
        <f>'насел.'!AU11+пільги!AU11+субсидії!AU11+'держ.бюджет'!AU11+'місц.-районн.бюджет'!AU11+обласний!AU11+інші!AU11</f>
        <v>0</v>
      </c>
      <c r="AV11" s="62" t="e">
        <f t="shared" si="7"/>
        <v>#DIV/0!</v>
      </c>
      <c r="AW11" s="63">
        <f t="shared" si="13"/>
        <v>0</v>
      </c>
      <c r="AX11" s="66">
        <f>'насел.'!AX11+пільги!AX11+субсидії!AX11+'держ.бюджет'!AX11+'місц.-районн.бюджет'!AX11+обласний!AX11+інші!AX11</f>
        <v>0</v>
      </c>
      <c r="AY11" s="144"/>
      <c r="AZ11" s="144"/>
      <c r="BA11" s="144"/>
      <c r="BB11" s="144"/>
    </row>
    <row r="12" spans="1:54" ht="34.5" customHeight="1" hidden="1">
      <c r="A12" s="10" t="s">
        <v>17</v>
      </c>
      <c r="B12" s="153" t="s">
        <v>78</v>
      </c>
      <c r="C12" s="63">
        <f>'насел.'!C12+пільги!C12+субсидії!C12+'держ.бюджет'!C12+'місц.-районн.бюджет'!C12+обласний!C12+інші!C12</f>
        <v>0</v>
      </c>
      <c r="D12" s="63">
        <f>'насел.'!D12+пільги!D12+субсидії!D12+'держ.бюджет'!D12+'місц.-районн.бюджет'!D12+обласний!D12+інші!D12</f>
        <v>0</v>
      </c>
      <c r="E12" s="63">
        <f>'насел.'!E12+пільги!E12+субсидії!E12+'держ.бюджет'!E12+'місц.-районн.бюджет'!E12+обласний!E12+інші!E12</f>
        <v>0</v>
      </c>
      <c r="F12" s="62" t="e">
        <f t="shared" si="0"/>
        <v>#DIV/0!</v>
      </c>
      <c r="G12" s="63">
        <f>'насел.'!G12+пільги!G12+субсидії!G12+'держ.бюджет'!G12+'місц.-районн.бюджет'!G12+обласний!G12+інші!G12</f>
        <v>0</v>
      </c>
      <c r="H12" s="63">
        <f>'насел.'!H12+пільги!H12+субсидії!H12+'держ.бюджет'!H12+'місц.-районн.бюджет'!H12+обласний!H12+інші!H12</f>
        <v>0</v>
      </c>
      <c r="I12" s="62" t="e">
        <f t="shared" si="1"/>
        <v>#DIV/0!</v>
      </c>
      <c r="J12" s="63">
        <f>'насел.'!J12+пільги!J12+субсидії!J12+'держ.бюджет'!J12+'місц.-районн.бюджет'!J12+обласний!J12+інші!J12</f>
        <v>0</v>
      </c>
      <c r="K12" s="63">
        <f>'насел.'!K12+пільги!K12+субсидії!K12+'держ.бюджет'!K12+'місц.-районн.бюджет'!K12+обласний!K12+інші!K12</f>
        <v>0</v>
      </c>
      <c r="L12" s="62" t="e">
        <f t="shared" si="8"/>
        <v>#DIV/0!</v>
      </c>
      <c r="M12" s="62">
        <f>'насел.'!M12+пільги!M12+субсидії!M12+'держ.бюджет'!M12+'місц.-районн.бюджет'!M12+обласний!M12+інші!M12</f>
        <v>0</v>
      </c>
      <c r="N12" s="62">
        <f>'насел.'!N12+пільги!N12+субсидії!N12+'держ.бюджет'!N12+'місц.-районн.бюджет'!N12+обласний!N12+інші!N12</f>
        <v>0</v>
      </c>
      <c r="O12" s="62" t="e">
        <f t="shared" si="2"/>
        <v>#DIV/0!</v>
      </c>
      <c r="P12" s="63">
        <f>'насел.'!P12+пільги!P12+субсидії!P12+'держ.бюджет'!P12+'місц.-районн.бюджет'!P12+обласний!P12+інші!P12</f>
        <v>0</v>
      </c>
      <c r="Q12" s="63">
        <f>'насел.'!Q12+пільги!Q12+субсидії!Q12+'держ.бюджет'!Q12+'місц.-районн.бюджет'!Q12+обласний!Q12+інші!Q12</f>
        <v>0</v>
      </c>
      <c r="R12" s="63" t="e">
        <f t="shared" si="3"/>
        <v>#DIV/0!</v>
      </c>
      <c r="S12" s="63">
        <f>'насел.'!S12+пільги!S12+субсидії!S12+'держ.бюджет'!S12+'місц.-районн.бюджет'!S12+обласний!S12+інші!S12</f>
        <v>0</v>
      </c>
      <c r="T12" s="63">
        <f>'насел.'!T12+пільги!T12+субсидії!T12+'держ.бюджет'!T12+'місц.-районн.бюджет'!T12+обласний!T12+інші!T12</f>
        <v>0</v>
      </c>
      <c r="U12" s="62" t="e">
        <f t="shared" si="9"/>
        <v>#DIV/0!</v>
      </c>
      <c r="V12" s="63">
        <f>'насел.'!V12+пільги!V12+субсидії!V12+'держ.бюджет'!V12+'місц.-районн.бюджет'!V12+обласний!V12+інші!V12</f>
        <v>0</v>
      </c>
      <c r="W12" s="63">
        <f>'насел.'!W12+пільги!W12+субсидії!W12+'держ.бюджет'!W12+'місц.-районн.бюджет'!W12+обласний!W12+інші!W12</f>
        <v>0</v>
      </c>
      <c r="X12" s="62" t="e">
        <f t="shared" si="10"/>
        <v>#DIV/0!</v>
      </c>
      <c r="Y12" s="63">
        <f>'насел.'!Y12+пільги!Y12+субсидії!Y12+'держ.бюджет'!Y12+'місц.-районн.бюджет'!Y12+обласний!Y12+інші!Y12</f>
        <v>0</v>
      </c>
      <c r="Z12" s="63">
        <f>'насел.'!Z12+пільги!Z12+субсидії!Z12+'держ.бюджет'!Z12+'місц.-районн.бюджет'!Z12+обласний!Z12+інші!Z12</f>
        <v>0</v>
      </c>
      <c r="AA12" s="62" t="e">
        <f t="shared" si="11"/>
        <v>#DIV/0!</v>
      </c>
      <c r="AB12" s="63">
        <f>'насел.'!AB12+пільги!AB12+субсидії!AB12+'держ.бюджет'!AB12+'місц.-районн.бюджет'!AB12+обласний!AB12+інші!AB12</f>
        <v>0</v>
      </c>
      <c r="AC12" s="63">
        <f>'насел.'!AC12+пільги!AC12+субсидії!AC12+'держ.бюджет'!AC12+'місц.-районн.бюджет'!AC12+обласний!AC12+інші!AC12</f>
        <v>0</v>
      </c>
      <c r="AD12" s="62" t="e">
        <f t="shared" si="12"/>
        <v>#DIV/0!</v>
      </c>
      <c r="AE12" s="63">
        <f>'насел.'!AE12+пільги!AE12+субсидії!AE12+'держ.бюджет'!AE12+'місц.-районн.бюджет'!AE12+обласний!AE12+інші!AE12</f>
        <v>0</v>
      </c>
      <c r="AF12" s="63">
        <f>'насел.'!AF12+пільги!AF12+субсидії!AF12+'держ.бюджет'!AF12+'місц.-районн.бюджет'!AF12+обласний!AF12+інші!AF12</f>
        <v>0</v>
      </c>
      <c r="AG12" s="62" t="e">
        <f t="shared" si="4"/>
        <v>#DIV/0!</v>
      </c>
      <c r="AH12" s="63">
        <f>'насел.'!AH12+пільги!AH12+субсидії!AH12+'держ.бюджет'!AH12+'місц.-районн.бюджет'!AH12+обласний!AH12+інші!AH12</f>
        <v>0</v>
      </c>
      <c r="AI12" s="63">
        <f>'насел.'!AI12+пільги!AI12+субсидії!AI12+'держ.бюджет'!AI12+'місц.-районн.бюджет'!AI12+обласний!AI12+інші!AI12</f>
        <v>0</v>
      </c>
      <c r="AJ12" s="62" t="e">
        <f t="shared" si="5"/>
        <v>#DIV/0!</v>
      </c>
      <c r="AK12" s="79">
        <f>'насел.'!AK12+пільги!AR12+субсидії!AK12+'держ.бюджет'!AK12+'місц.-районн.бюджет'!AK12+обласний!AK12+інші!AK12</f>
        <v>0</v>
      </c>
      <c r="AL12" s="63">
        <f>'насел.'!AL12+пільги!AK12+субсидії!AL12+'держ.бюджет'!AL12+'місц.-районн.бюджет'!AL12+обласний!AL12+інші!AL12</f>
        <v>0</v>
      </c>
      <c r="AM12" s="63" t="e">
        <f t="shared" si="6"/>
        <v>#DIV/0!</v>
      </c>
      <c r="AN12" s="79">
        <f>'насел.'!AN12+пільги!AN12+субсидії!AN12+'держ.бюджет'!AN12+'місц.-районн.бюджет'!AN12+обласний!AN12+інші!AN12</f>
        <v>0</v>
      </c>
      <c r="AO12" s="63">
        <f>'насел.'!AO12+пільги!AN12+субсидії!AO12+'держ.бюджет'!AO12+'місц.-районн.бюджет'!AO12+обласний!AO12+інші!AO12</f>
        <v>0</v>
      </c>
      <c r="AP12" s="63">
        <f>'насел.'!AP12+пільги!AO12+субсидії!AP12+'держ.бюджет'!AP12+'місц.-районн.бюджет'!AP12+обласний!AP12+інші!AP12</f>
        <v>0</v>
      </c>
      <c r="AQ12" s="63">
        <f>'насел.'!AQ12+пільги!AP12+субсидії!AQ12+'держ.бюджет'!AQ12+'місц.-районн.бюджет'!AQ12+обласний!AQ12+інші!AQ12</f>
        <v>0</v>
      </c>
      <c r="AR12" s="63">
        <f>'насел.'!AR12+пільги!AQ12+субсидії!AR12+'держ.бюджет'!AR12+'місц.-районн.бюджет'!AR12+обласний!AR12+інші!AR12</f>
        <v>0</v>
      </c>
      <c r="AS12" s="63">
        <f>'насел.'!AS12+пільги!AR12+субсидії!AS12+'держ.бюджет'!AS12+'місц.-районн.бюджет'!AS12+обласний!AS12+інші!AS12</f>
        <v>0</v>
      </c>
      <c r="AT12" s="63">
        <f>'насел.'!AT12+пільги!AT12+субсидії!AT12+'держ.бюджет'!AT12+'місц.-районн.бюджет'!AT12+обласний!AT12+інші!AT12</f>
        <v>0</v>
      </c>
      <c r="AU12" s="63">
        <f>'насел.'!AU12+пільги!AU12+субсидії!AU12+'держ.бюджет'!AU12+'місц.-районн.бюджет'!AU12+обласний!AU12+інші!AU12</f>
        <v>0</v>
      </c>
      <c r="AV12" s="62" t="e">
        <f t="shared" si="7"/>
        <v>#DIV/0!</v>
      </c>
      <c r="AW12" s="63">
        <f t="shared" si="13"/>
        <v>0</v>
      </c>
      <c r="AX12" s="66">
        <f>'насел.'!AX12+пільги!AX12+субсидії!AX12+'держ.бюджет'!AX12+'місц.-районн.бюджет'!AX12+обласний!AX12+інші!AX12</f>
        <v>0</v>
      </c>
      <c r="AY12" s="144"/>
      <c r="AZ12" s="144"/>
      <c r="BA12" s="144"/>
      <c r="BB12" s="144"/>
    </row>
    <row r="13" spans="1:54" ht="34.5" customHeight="1">
      <c r="A13" s="10" t="s">
        <v>19</v>
      </c>
      <c r="B13" s="110" t="s">
        <v>146</v>
      </c>
      <c r="C13" s="63">
        <f>'насел.'!C13+пільги!C13+субсидії!C13+'держ.бюджет'!C13+'місц.-районн.бюджет'!C13+обласний!C13+інші!C13</f>
        <v>-653.8000000000001</v>
      </c>
      <c r="D13" s="63">
        <f>'насел.'!D13+пільги!D13+субсидії!D13+'держ.бюджет'!D13+'місц.-районн.бюджет'!D13+обласний!D13+інші!D13</f>
        <v>1585.3000000000002</v>
      </c>
      <c r="E13" s="63">
        <f>'насел.'!E13+пільги!E13+субсидії!E13+'держ.бюджет'!E13+'місц.-районн.бюджет'!E13+обласний!E13+інші!E13</f>
        <v>0</v>
      </c>
      <c r="F13" s="62">
        <f t="shared" si="0"/>
        <v>0</v>
      </c>
      <c r="G13" s="63">
        <f>'насел.'!G13+пільги!G13+субсидії!G13+'держ.бюджет'!G13+'місц.-районн.бюджет'!G13+обласний!G13+інші!G13</f>
        <v>1532.5</v>
      </c>
      <c r="H13" s="63">
        <f>'насел.'!H13+пільги!H13+субсидії!H13+'держ.бюджет'!H13+'місц.-районн.бюджет'!H13+обласний!H13+інші!H13</f>
        <v>1318.1000000000001</v>
      </c>
      <c r="I13" s="62">
        <f t="shared" si="1"/>
        <v>86.00978792822187</v>
      </c>
      <c r="J13" s="63">
        <f>'насел.'!J13+пільги!J13+субсидії!J13+'держ.бюджет'!J13+'місц.-районн.бюджет'!J13+обласний!J13+інші!J13</f>
        <v>1475.4</v>
      </c>
      <c r="K13" s="63">
        <f>'насел.'!K13+пільги!K13+субсидії!K13+'держ.бюджет'!K13+'місц.-районн.бюджет'!K13+обласний!K13+інші!K13</f>
        <v>1587.5</v>
      </c>
      <c r="L13" s="62">
        <f t="shared" si="8"/>
        <v>107.59793954181916</v>
      </c>
      <c r="M13" s="62">
        <f>'насел.'!M13+пільги!M13+субсидії!M13+'держ.бюджет'!M13+'місц.-районн.бюджет'!M13+обласний!M13+інші!M13</f>
        <v>4593.200000000001</v>
      </c>
      <c r="N13" s="62">
        <f>'насел.'!N13+пільги!N13+субсидії!N13+'держ.бюджет'!N13+'місц.-районн.бюджет'!N13+обласний!N13+інші!N13</f>
        <v>2905.5999999999995</v>
      </c>
      <c r="O13" s="62">
        <f t="shared" si="2"/>
        <v>63.25873029696071</v>
      </c>
      <c r="P13" s="63">
        <f>'насел.'!P13+пільги!P13+субсидії!P13+'держ.бюджет'!P13+'місц.-районн.бюджет'!P13+обласний!P13+інші!P13</f>
        <v>478.70000000000005</v>
      </c>
      <c r="Q13" s="63">
        <f>'насел.'!Q13+пільги!Q13+субсидії!Q13+'держ.бюджет'!Q13+'місц.-районн.бюджет'!Q13+обласний!Q13+інші!Q13</f>
        <v>1113.9</v>
      </c>
      <c r="R13" s="63">
        <f t="shared" si="3"/>
        <v>232.69270942134946</v>
      </c>
      <c r="S13" s="63">
        <f>'насел.'!S13+пільги!S13+субсидії!S13+'держ.бюджет'!S13+'місц.-районн.бюджет'!S13+обласний!S13+інші!S13</f>
        <v>0</v>
      </c>
      <c r="T13" s="63">
        <f>'насел.'!T13+пільги!T13+субсидії!T13+'держ.бюджет'!T13+'місц.-районн.бюджет'!T13+обласний!T13+інші!T13</f>
        <v>56.1</v>
      </c>
      <c r="U13" s="62" t="e">
        <f t="shared" si="9"/>
        <v>#DIV/0!</v>
      </c>
      <c r="V13" s="63">
        <f>'насел.'!V13+пільги!V13+субсидії!V13+'держ.бюджет'!V13+'місц.-районн.бюджет'!V13+обласний!V13+інші!V13</f>
        <v>0</v>
      </c>
      <c r="W13" s="63">
        <f>'насел.'!W13+пільги!W13+субсидії!W13+'держ.бюджет'!W13+'місц.-районн.бюджет'!W13+обласний!W13+інші!W13</f>
        <v>738.7</v>
      </c>
      <c r="X13" s="62" t="e">
        <f t="shared" si="10"/>
        <v>#DIV/0!</v>
      </c>
      <c r="Y13" s="63">
        <f>'насел.'!Y13+пільги!Y13+субсидії!Y13+'держ.бюджет'!Y13+'місц.-районн.бюджет'!Y13+обласний!Y13+інші!Y13</f>
        <v>478.70000000000005</v>
      </c>
      <c r="Z13" s="63">
        <f>'насел.'!Z13+пільги!Z13+субсидії!Z13+'держ.бюджет'!Z13+'місц.-районн.бюджет'!Z13+обласний!Z13+інші!Z13</f>
        <v>1908.6999999999998</v>
      </c>
      <c r="AA13" s="62">
        <f t="shared" si="11"/>
        <v>398.72571547942334</v>
      </c>
      <c r="AB13" s="63">
        <f>'насел.'!AB13+пільги!AB13+субсидії!AB13+'держ.бюджет'!AB13+'місц.-районн.бюджет'!AB13+обласний!AB13+інші!AB13</f>
        <v>0</v>
      </c>
      <c r="AC13" s="63">
        <f>'насел.'!AC13+пільги!AC13+субсидії!AC13+'держ.бюджет'!AC13+'місц.-районн.бюджет'!AC13+обласний!AC13+інші!AC13</f>
        <v>0</v>
      </c>
      <c r="AD13" s="62" t="e">
        <f t="shared" si="12"/>
        <v>#DIV/0!</v>
      </c>
      <c r="AE13" s="63">
        <f>'насел.'!AE13+пільги!AE13+субсидії!AE13+'держ.бюджет'!AE13+'місц.-районн.бюджет'!AE13+обласний!AE13+інші!AE13</f>
        <v>0</v>
      </c>
      <c r="AF13" s="63">
        <f>'насел.'!AF13+пільги!AF13+субсидії!AF13+'держ.бюджет'!AF13+'місц.-районн.бюджет'!AF13+обласний!AF13+інші!AF13</f>
        <v>0</v>
      </c>
      <c r="AG13" s="62" t="e">
        <f t="shared" si="4"/>
        <v>#DIV/0!</v>
      </c>
      <c r="AH13" s="63">
        <f>'насел.'!AH13+пільги!AH13+субсидії!AH13+'держ.бюджет'!AH13+'місц.-районн.бюджет'!AH13+обласний!AH13+інші!AH13</f>
        <v>0</v>
      </c>
      <c r="AI13" s="63">
        <f>'насел.'!AI13+пільги!AI13+субсидії!AI13+'держ.бюджет'!AI13+'місц.-районн.бюджет'!AI13+обласний!AI13+інші!AI13</f>
        <v>0</v>
      </c>
      <c r="AJ13" s="62" t="e">
        <f t="shared" si="5"/>
        <v>#DIV/0!</v>
      </c>
      <c r="AK13" s="79">
        <f>'насел.'!AK13+пільги!AR13+субсидії!AK13+'держ.бюджет'!AK13+'місц.-районн.бюджет'!AK13+обласний!AK13+інші!AK13</f>
        <v>0</v>
      </c>
      <c r="AL13" s="63">
        <f>'насел.'!AL13+пільги!AK13+субсидії!AL13+'держ.бюджет'!AL13+'місц.-районн.бюджет'!AL13+обласний!AL13+інші!AL13</f>
        <v>0</v>
      </c>
      <c r="AM13" s="63" t="e">
        <f t="shared" si="6"/>
        <v>#DIV/0!</v>
      </c>
      <c r="AN13" s="79">
        <f>'насел.'!AN13+пільги!AN13+субсидії!AN13+'держ.бюджет'!AN13+'місц.-районн.бюджет'!AN13+обласний!AN13+інші!AN13</f>
        <v>0</v>
      </c>
      <c r="AO13" s="63">
        <f>'насел.'!AO13+пільги!AN13+субсидії!AO13+'держ.бюджет'!AO13+'місц.-районн.бюджет'!AO13+обласний!AO13+інші!AO13</f>
        <v>0</v>
      </c>
      <c r="AP13" s="63">
        <f>'насел.'!AP13+пільги!AO13+субсидії!AP13+'держ.бюджет'!AP13+'місц.-районн.бюджет'!AP13+обласний!AP13+інші!AP13</f>
        <v>0</v>
      </c>
      <c r="AQ13" s="63">
        <f>'насел.'!AQ13+пільги!AP13+субсидії!AQ13+'держ.бюджет'!AQ13+'місц.-районн.бюджет'!AQ13+обласний!AQ13+інші!AQ13</f>
        <v>0</v>
      </c>
      <c r="AR13" s="63">
        <f>'насел.'!AR13+пільги!AQ13+субсидії!AR13+'держ.бюджет'!AR13+'місц.-районн.бюджет'!AR13+обласний!AR13+інші!AR13</f>
        <v>0</v>
      </c>
      <c r="AS13" s="63">
        <f>'насел.'!AS13+пільги!AR13+субсидії!AS13+'держ.бюджет'!AS13+'місц.-районн.бюджет'!AS13+обласний!AS13+інші!AS13</f>
        <v>0</v>
      </c>
      <c r="AT13" s="63">
        <f>'насел.'!AT13+пільги!AT13+субсидії!AT13+'держ.бюджет'!AT13+'місц.-районн.бюджет'!AT13+обласний!AT13+інші!AT13</f>
        <v>5071.9</v>
      </c>
      <c r="AU13" s="63">
        <f>'насел.'!AU13+пільги!AU13+субсидії!AU13+'держ.бюджет'!AU13+'місц.-районн.бюджет'!AU13+обласний!AU13+інші!AU13</f>
        <v>4814.299999999999</v>
      </c>
      <c r="AV13" s="62">
        <f t="shared" si="7"/>
        <v>94.92103550937517</v>
      </c>
      <c r="AW13" s="63">
        <f t="shared" si="13"/>
        <v>257.60000000000036</v>
      </c>
      <c r="AX13" s="66">
        <f>'насел.'!AX13+пільги!AX13+субсидії!AX13+'держ.бюджет'!AX13+'місц.-районн.бюджет'!AX13+обласний!AX13+інші!AX13</f>
        <v>-396.1999999999997</v>
      </c>
      <c r="AY13" s="144"/>
      <c r="AZ13" s="144"/>
      <c r="BA13" s="144"/>
      <c r="BB13" s="144"/>
    </row>
    <row r="14" spans="1:54" s="157" customFormat="1" ht="34.5" customHeight="1">
      <c r="A14" s="8" t="s">
        <v>15</v>
      </c>
      <c r="B14" s="156" t="s">
        <v>39</v>
      </c>
      <c r="C14" s="79">
        <f>'насел.'!C14+пільги!C14+субсидії!C14+'держ.бюджет'!C14+'місц.-районн.бюджет'!C14+обласний!C14+інші!C14</f>
        <v>101374.3</v>
      </c>
      <c r="D14" s="79">
        <f>'насел.'!D14+пільги!D14+субсидії!D14+'держ.бюджет'!D14+'місц.-районн.бюджет'!D14+обласний!D14+інші!D14</f>
        <v>45469.299999999996</v>
      </c>
      <c r="E14" s="79">
        <f>'насел.'!E14+пільги!E14+субсидії!E14+'держ.бюджет'!E14+'місц.-районн.бюджет'!E14+обласний!E14+інші!E14</f>
        <v>26909.600000000002</v>
      </c>
      <c r="F14" s="58">
        <f t="shared" si="0"/>
        <v>59.18190955215938</v>
      </c>
      <c r="G14" s="79">
        <f>'насел.'!G14+пільги!G14+субсидії!G14+'держ.бюджет'!G14+'місц.-районн.бюджет'!G14+обласний!G14+інші!G14</f>
        <v>47891.9</v>
      </c>
      <c r="H14" s="79">
        <f>'насел.'!H14+пільги!H14+субсидії!H14+'держ.бюджет'!H14+'місц.-районн.бюджет'!H14+обласний!H14+інші!H14</f>
        <v>36353.200000000004</v>
      </c>
      <c r="I14" s="58">
        <f t="shared" si="1"/>
        <v>75.9067817313575</v>
      </c>
      <c r="J14" s="79">
        <f>'насел.'!J14+пільги!J14+субсидії!J14+'держ.бюджет'!J14+'місц.-районн.бюджет'!J14+обласний!J14+інші!J14</f>
        <v>40398.5</v>
      </c>
      <c r="K14" s="79">
        <f>'насел.'!K14+пільги!K14+субсидії!K14+'держ.бюджет'!K14+'місц.-районн.бюджет'!K14+обласний!K14+інші!K14</f>
        <v>40176.9</v>
      </c>
      <c r="L14" s="58">
        <f t="shared" si="8"/>
        <v>99.45146478210825</v>
      </c>
      <c r="M14" s="58">
        <f>'насел.'!M14+пільги!M14+субсидії!M14+'держ.бюджет'!M14+'місц.-районн.бюджет'!M14+обласний!M14+інші!M14</f>
        <v>133759.69999999998</v>
      </c>
      <c r="N14" s="58">
        <f>'насел.'!N14+пільги!N14+субсидії!N14+'держ.бюджет'!N14+'місц.-районн.бюджет'!N14+обласний!N14+інші!N14</f>
        <v>103439.7</v>
      </c>
      <c r="O14" s="58">
        <f t="shared" si="2"/>
        <v>77.33248504594434</v>
      </c>
      <c r="P14" s="79">
        <f>'насел.'!P14+пільги!P14+субсидії!P14+'держ.бюджет'!P14+'місц.-районн.бюджет'!P14+обласний!P14+інші!P14</f>
        <v>12031.9</v>
      </c>
      <c r="Q14" s="79">
        <f>'насел.'!Q14+пільги!Q14+субсидії!Q14+'держ.бюджет'!Q14+'місц.-районн.бюджет'!Q14+обласний!Q14+інші!Q14</f>
        <v>30442.100000000002</v>
      </c>
      <c r="R14" s="79">
        <f t="shared" si="3"/>
        <v>253.01157755632943</v>
      </c>
      <c r="S14" s="79">
        <f>'насел.'!S14+пільги!S14+субсидії!S14+'держ.бюджет'!S14+'місц.-районн.бюджет'!S14+обласний!S14+інші!S14</f>
        <v>1847.6999999999998</v>
      </c>
      <c r="T14" s="79">
        <f>'насел.'!T14+пільги!T14+субсидії!T14+'держ.бюджет'!T14+'місц.-районн.бюджет'!T14+обласний!T14+інші!T14</f>
        <v>12431.3</v>
      </c>
      <c r="U14" s="58">
        <f t="shared" si="9"/>
        <v>672.7986144936949</v>
      </c>
      <c r="V14" s="79">
        <f>'насел.'!V14+пільги!V14+субсидії!V14+'держ.бюджет'!V14+'місц.-районн.бюджет'!V14+обласний!V14+інші!V14</f>
        <v>1848.5999999999997</v>
      </c>
      <c r="W14" s="79">
        <f>'насел.'!W14+пільги!W14+субсидії!W14+'держ.бюджет'!W14+'місц.-районн.бюджет'!W14+обласний!W14+інші!W14</f>
        <v>7707.7</v>
      </c>
      <c r="X14" s="58">
        <f t="shared" si="10"/>
        <v>416.94796061884676</v>
      </c>
      <c r="Y14" s="79">
        <f>'насел.'!Y14+пільги!Y14+субсидії!Y14+'держ.бюджет'!Y14+'місц.-районн.бюджет'!Y14+обласний!Y14+інші!Y14</f>
        <v>15728.2</v>
      </c>
      <c r="Z14" s="79">
        <f>'насел.'!Z14+пільги!Z14+субсидії!Z14+'держ.бюджет'!Z14+'місц.-районн.бюджет'!Z14+обласний!Z14+інші!Z14</f>
        <v>50581.100000000006</v>
      </c>
      <c r="AA14" s="58">
        <f t="shared" si="11"/>
        <v>321.5949695451482</v>
      </c>
      <c r="AB14" s="79">
        <f>'насел.'!AB14+пільги!AB14+субсидії!AB14+'держ.бюджет'!AB14+'місц.-районн.бюджет'!AB14+обласний!AB14+інші!AB14</f>
        <v>0</v>
      </c>
      <c r="AC14" s="79">
        <f>'насел.'!AC14+пільги!AC14+субсидії!AC14+'держ.бюджет'!AC14+'місц.-районн.бюджет'!AC14+обласний!AC14+інші!AC14</f>
        <v>0</v>
      </c>
      <c r="AD14" s="58" t="e">
        <f t="shared" si="12"/>
        <v>#DIV/0!</v>
      </c>
      <c r="AE14" s="79">
        <f>'насел.'!AE14+пільги!AE14+субсидії!AE14+'держ.бюджет'!AE14+'місц.-районн.бюджет'!AE14+обласний!AE14+інші!AE14</f>
        <v>0</v>
      </c>
      <c r="AF14" s="79">
        <f>'насел.'!AF14+пільги!AF14+субсидії!AF14+'держ.бюджет'!AF14+'місц.-районн.бюджет'!AF14+обласний!AF14+інші!AF14</f>
        <v>0</v>
      </c>
      <c r="AG14" s="58" t="e">
        <f t="shared" si="4"/>
        <v>#DIV/0!</v>
      </c>
      <c r="AH14" s="79">
        <f>'насел.'!AH14+пільги!AH14+субсидії!AH14+'держ.бюджет'!AH14+'місц.-районн.бюджет'!AH14+обласний!AH14+інші!AH14</f>
        <v>0</v>
      </c>
      <c r="AI14" s="79">
        <f>'насел.'!AI14+пільги!AI14+субсидії!AI14+'держ.бюджет'!AI14+'місц.-районн.бюджет'!AI14+обласний!AI14+інші!AI14</f>
        <v>0</v>
      </c>
      <c r="AJ14" s="58" t="e">
        <f t="shared" si="5"/>
        <v>#DIV/0!</v>
      </c>
      <c r="AK14" s="79">
        <f>'насел.'!AK14+пільги!AR14+субсидії!AK14+'держ.бюджет'!AK14+'місц.-районн.бюджет'!AK14+обласний!AK14+інші!AK14</f>
        <v>0</v>
      </c>
      <c r="AL14" s="79">
        <f>'насел.'!AL14+пільги!AK14+субсидії!AL14+'держ.бюджет'!AL14+'місц.-районн.бюджет'!AL14+обласний!AL14+інші!AL14</f>
        <v>0</v>
      </c>
      <c r="AM14" s="79" t="e">
        <f t="shared" si="6"/>
        <v>#DIV/0!</v>
      </c>
      <c r="AN14" s="79">
        <f>'насел.'!AN14+пільги!AN14+субсидії!AN14+'держ.бюджет'!AN14+'місц.-районн.бюджет'!AN14+обласний!AN14+інші!AN14</f>
        <v>0</v>
      </c>
      <c r="AO14" s="79">
        <f>'насел.'!AO14+пільги!AN14+субсидії!AO14+'держ.бюджет'!AO14+'місц.-районн.бюджет'!AO14+обласний!AO14+інші!AO14</f>
        <v>0</v>
      </c>
      <c r="AP14" s="79">
        <f>'насел.'!AP14+пільги!AO14+субсидії!AP14+'держ.бюджет'!AP14+'місц.-районн.бюджет'!AP14+обласний!AP14+інші!AP14</f>
        <v>0</v>
      </c>
      <c r="AQ14" s="79">
        <f>'насел.'!AQ14+пільги!AP14+субсидії!AQ14+'держ.бюджет'!AQ14+'місц.-районн.бюджет'!AQ14+обласний!AQ14+інші!AQ14</f>
        <v>0</v>
      </c>
      <c r="AR14" s="79">
        <f>'насел.'!AR14+пільги!AQ14+субсидії!AR14+'держ.бюджет'!AR14+'місц.-районн.бюджет'!AR14+обласний!AR14+інші!AR14</f>
        <v>0</v>
      </c>
      <c r="AS14" s="79">
        <f>'насел.'!AS14+пільги!AR14+субсидії!AS14+'держ.бюджет'!AS14+'місц.-районн.бюджет'!AS14+обласний!AS14+інші!AS14</f>
        <v>0</v>
      </c>
      <c r="AT14" s="79">
        <f>'насел.'!AT14+пільги!AT14+субсидії!AT14+'держ.бюджет'!AT14+'місц.-районн.бюджет'!AT14+обласний!AT14+інші!AT14</f>
        <v>149487.90000000002</v>
      </c>
      <c r="AU14" s="79">
        <f>'насел.'!AU14+пільги!AU14+субсидії!AU14+'держ.бюджет'!AU14+'місц.-районн.бюджет'!AU14+обласний!AU14+інші!AU14</f>
        <v>154020.80000000002</v>
      </c>
      <c r="AV14" s="58">
        <f t="shared" si="7"/>
        <v>103.03228555622228</v>
      </c>
      <c r="AW14" s="79">
        <f t="shared" si="13"/>
        <v>-4532.899999999994</v>
      </c>
      <c r="AX14" s="66">
        <f>'насел.'!AX14+пільги!AX14+субсидії!AX14+'держ.бюджет'!AX14+'місц.-районн.бюджет'!AX14+обласний!AX14+інші!AX14</f>
        <v>96841.40000000002</v>
      </c>
      <c r="AY14" s="150"/>
      <c r="AZ14" s="150"/>
      <c r="BA14" s="150"/>
      <c r="BB14" s="150"/>
    </row>
    <row r="15" spans="1:54" ht="34.5" customHeight="1">
      <c r="A15" s="10" t="s">
        <v>2</v>
      </c>
      <c r="B15" s="110" t="s">
        <v>147</v>
      </c>
      <c r="C15" s="63">
        <f>'насел.'!C15+пільги!C15+субсидії!C15+'держ.бюджет'!C15+'місц.-районн.бюджет'!C15+обласний!C15+інші!C15</f>
        <v>47656.799999999996</v>
      </c>
      <c r="D15" s="63">
        <f>'насел.'!D15+пільги!D15+субсидії!D15+'держ.бюджет'!D15+'місц.-районн.бюджет'!D15+обласний!D15+інші!D15</f>
        <v>16488.6</v>
      </c>
      <c r="E15" s="63">
        <f>'насел.'!E15+пільги!E15+субсидії!E15+'держ.бюджет'!E15+'місц.-районн.бюджет'!E15+обласний!E15+інші!E15</f>
        <v>10255.000000000002</v>
      </c>
      <c r="F15" s="62">
        <f t="shared" si="0"/>
        <v>62.19448588721907</v>
      </c>
      <c r="G15" s="63">
        <f>'насел.'!G15+пільги!G15+субсидії!G15+'держ.бюджет'!G15+'місц.-районн.бюджет'!G15+обласний!G15+інші!G15</f>
        <v>17947.9</v>
      </c>
      <c r="H15" s="63">
        <f>'насел.'!H15+пільги!H15+субсидії!H15+'держ.бюджет'!H15+'місц.-районн.бюджет'!H15+обласний!H15+інші!H15</f>
        <v>12720.9</v>
      </c>
      <c r="I15" s="62">
        <f t="shared" si="1"/>
        <v>70.87681567202847</v>
      </c>
      <c r="J15" s="63">
        <f>'насел.'!J15+пільги!J15+субсидії!J15+'держ.бюджет'!J15+'місц.-районн.бюджет'!J15+обласний!J15+інші!J15</f>
        <v>14116.500000000002</v>
      </c>
      <c r="K15" s="63">
        <f>'насел.'!K15+пільги!K15+субсидії!K15+'держ.бюджет'!K15+'місц.-районн.бюджет'!K15+обласний!K15+інші!K15</f>
        <v>15024.400000000001</v>
      </c>
      <c r="L15" s="62">
        <f>K15/J15*100</f>
        <v>106.43148089115573</v>
      </c>
      <c r="M15" s="62">
        <f>'насел.'!M15+пільги!M15+субсидії!M15+'держ.бюджет'!M15+'місц.-районн.бюджет'!M15+обласний!M15+інші!M15</f>
        <v>48553</v>
      </c>
      <c r="N15" s="62">
        <f>'насел.'!N15+пільги!N15+субсидії!N15+'держ.бюджет'!N15+'місц.-районн.бюджет'!N15+обласний!N15+інші!N15</f>
        <v>38000.299999999996</v>
      </c>
      <c r="O15" s="62">
        <f t="shared" si="2"/>
        <v>78.26560665664324</v>
      </c>
      <c r="P15" s="63">
        <f>'насел.'!P15+пільги!P15+субсидії!P15+'держ.бюджет'!P15+'місц.-районн.бюджет'!P15+обласний!P15+інші!P15</f>
        <v>3493.2</v>
      </c>
      <c r="Q15" s="63">
        <f>'насел.'!Q15+пільги!Q15+субсидії!Q15+'держ.бюджет'!Q15+'місц.-районн.бюджет'!Q15+обласний!Q15+інші!Q15</f>
        <v>11517.300000000001</v>
      </c>
      <c r="R15" s="63">
        <f t="shared" si="3"/>
        <v>329.70628649948475</v>
      </c>
      <c r="S15" s="63">
        <f>'насел.'!S15+пільги!S15+субсидії!S15+'держ.бюджет'!S15+'місц.-районн.бюджет'!S15+обласний!S15+інші!S15</f>
        <v>0</v>
      </c>
      <c r="T15" s="63">
        <f>'насел.'!T15+пільги!T15+субсидії!T15+'держ.бюджет'!T15+'місц.-районн.бюджет'!T15+обласний!T15+інші!T15</f>
        <v>3494.2</v>
      </c>
      <c r="U15" s="62" t="e">
        <f>T15/S15*100</f>
        <v>#DIV/0!</v>
      </c>
      <c r="V15" s="63">
        <f>'насел.'!V15+пільги!V15+субсидії!V15+'держ.бюджет'!V15+'місц.-районн.бюджет'!V15+обласний!V15+інші!V15</f>
        <v>0</v>
      </c>
      <c r="W15" s="63">
        <f>'насел.'!W15+пільги!W15+субсидії!W15+'держ.бюджет'!W15+'місц.-районн.бюджет'!W15+обласний!W15+інші!W15</f>
        <v>2290.7</v>
      </c>
      <c r="X15" s="62" t="e">
        <f>W15/V15*100</f>
        <v>#DIV/0!</v>
      </c>
      <c r="Y15" s="63">
        <f>'насел.'!Y15+пільги!Y15+субсидії!Y15+'держ.бюджет'!Y15+'місц.-районн.бюджет'!Y15+обласний!Y15+інші!Y15</f>
        <v>3493.2</v>
      </c>
      <c r="Z15" s="63">
        <f>'насел.'!Z15+пільги!Z15+субсидії!Z15+'держ.бюджет'!Z15+'місц.-районн.бюджет'!Z15+обласний!Z15+інші!Z15</f>
        <v>17302.199999999997</v>
      </c>
      <c r="AA15" s="62">
        <f>Z15/Y15*100</f>
        <v>495.3108897286155</v>
      </c>
      <c r="AB15" s="63">
        <f>'насел.'!AB15+пільги!AB15+субсидії!AB15+'держ.бюджет'!AB15+'місц.-районн.бюджет'!AB15+обласний!AB15+інші!AB15</f>
        <v>0</v>
      </c>
      <c r="AC15" s="63">
        <f>'насел.'!AC15+пільги!AC15+субсидії!AC15+'держ.бюджет'!AC15+'місц.-районн.бюджет'!AC15+обласний!AC15+інші!AC15</f>
        <v>0</v>
      </c>
      <c r="AD15" s="62" t="e">
        <f>AC15/AB15*100</f>
        <v>#DIV/0!</v>
      </c>
      <c r="AE15" s="63">
        <f>'насел.'!AE15+пільги!AE15+субсидії!AE15+'держ.бюджет'!AE15+'місц.-районн.бюджет'!AE15+обласний!AE15+інші!AE15</f>
        <v>0</v>
      </c>
      <c r="AF15" s="63">
        <f>'насел.'!AF15+пільги!AF15+субсидії!AF15+'держ.бюджет'!AF15+'місц.-районн.бюджет'!AF15+обласний!AF15+інші!AF15</f>
        <v>0</v>
      </c>
      <c r="AG15" s="62" t="e">
        <f t="shared" si="4"/>
        <v>#DIV/0!</v>
      </c>
      <c r="AH15" s="63">
        <f>'насел.'!AH15+пільги!AH15+субсидії!AH15+'держ.бюджет'!AH15+'місц.-районн.бюджет'!AH15+обласний!AH15+інші!AH15</f>
        <v>0</v>
      </c>
      <c r="AI15" s="63">
        <f>'насел.'!AI15+пільги!AI15+субсидії!AI15+'держ.бюджет'!AI15+'місц.-районн.бюджет'!AI15+обласний!AI15+інші!AI15</f>
        <v>0</v>
      </c>
      <c r="AJ15" s="62" t="e">
        <f t="shared" si="5"/>
        <v>#DIV/0!</v>
      </c>
      <c r="AK15" s="79">
        <f>'насел.'!AK15+пільги!AR15+субсидії!AK15+'держ.бюджет'!AK15+'місц.-районн.бюджет'!AK15+обласний!AK15+інші!AK15</f>
        <v>0</v>
      </c>
      <c r="AL15" s="63">
        <f>'насел.'!AL15+пільги!AK15+субсидії!AL15+'держ.бюджет'!AL15+'місц.-районн.бюджет'!AL15+обласний!AL15+інші!AL15</f>
        <v>0</v>
      </c>
      <c r="AM15" s="63" t="e">
        <f t="shared" si="6"/>
        <v>#DIV/0!</v>
      </c>
      <c r="AN15" s="79">
        <f>'насел.'!AN15+пільги!AN15+субсидії!AN15+'держ.бюджет'!AN15+'місц.-районн.бюджет'!AN15+обласний!AN15+інші!AN15</f>
        <v>0</v>
      </c>
      <c r="AO15" s="63">
        <f>'насел.'!AO15+пільги!AN15+субсидії!AO15+'держ.бюджет'!AO15+'місц.-районн.бюджет'!AO15+обласний!AO15+інші!AO15</f>
        <v>0</v>
      </c>
      <c r="AP15" s="63">
        <f>'насел.'!AP15+пільги!AO15+субсидії!AP15+'держ.бюджет'!AP15+'місц.-районн.бюджет'!AP15+обласний!AP15+інші!AP15</f>
        <v>0</v>
      </c>
      <c r="AQ15" s="63">
        <f>'насел.'!AQ15+пільги!AP15+субсидії!AQ15+'держ.бюджет'!AQ15+'місц.-районн.бюджет'!AQ15+обласний!AQ15+інші!AQ15</f>
        <v>0</v>
      </c>
      <c r="AR15" s="63">
        <f>'насел.'!AR15+пільги!AQ15+субсидії!AR15+'держ.бюджет'!AR15+'місц.-районн.бюджет'!AR15+обласний!AR15+інші!AR15</f>
        <v>0</v>
      </c>
      <c r="AS15" s="63">
        <f>'насел.'!AS15+пільги!AR15+субсидії!AS15+'держ.бюджет'!AS15+'місц.-районн.бюджет'!AS15+обласний!AS15+інші!AS15</f>
        <v>0</v>
      </c>
      <c r="AT15" s="63">
        <f>'насел.'!AT15+пільги!AT15+субсидії!AT15+'держ.бюджет'!AT15+'місц.-районн.бюджет'!AT15+обласний!AT15+інші!AT15</f>
        <v>52046.200000000004</v>
      </c>
      <c r="AU15" s="63">
        <f>'насел.'!AU15+пільги!AU15+субсидії!AU15+'держ.бюджет'!AU15+'місц.-районн.бюджет'!AU15+обласний!AU15+інші!AU15</f>
        <v>55302.49999999999</v>
      </c>
      <c r="AV15" s="62">
        <f t="shared" si="7"/>
        <v>106.25655667464673</v>
      </c>
      <c r="AW15" s="63">
        <f t="shared" si="13"/>
        <v>-3256.2999999999884</v>
      </c>
      <c r="AX15" s="66">
        <f>'насел.'!AX15+пільги!AX15+субсидії!AX15+'держ.бюджет'!AX15+'місц.-районн.бюджет'!AX15+обласний!AX15+інші!AX15</f>
        <v>44400.50000000001</v>
      </c>
      <c r="AY15" s="144"/>
      <c r="AZ15" s="144"/>
      <c r="BA15" s="144"/>
      <c r="BB15" s="144"/>
    </row>
    <row r="16" spans="1:54" ht="34.5" customHeight="1">
      <c r="A16" s="10" t="s">
        <v>3</v>
      </c>
      <c r="B16" s="158" t="s">
        <v>148</v>
      </c>
      <c r="C16" s="63">
        <f>'насел.'!C16+пільги!C16+субсидії!C16+'держ.бюджет'!C16+'місц.-районн.бюджет'!C16+обласний!C16+інші!C16</f>
        <v>-709.2</v>
      </c>
      <c r="D16" s="63">
        <f>'насел.'!D16+пільги!D16+субсидії!D16+'держ.бюджет'!D16+'місц.-районн.бюджет'!D16+обласний!D16+інші!D16</f>
        <v>2522.9</v>
      </c>
      <c r="E16" s="63">
        <f>'насел.'!E16+пільги!E16+субсидії!E16+'держ.бюджет'!E16+'місц.-районн.бюджет'!E16+обласний!E16+інші!E16</f>
        <v>243.7</v>
      </c>
      <c r="F16" s="62">
        <f t="shared" si="0"/>
        <v>9.659518807721271</v>
      </c>
      <c r="G16" s="63">
        <f>'насел.'!G16+пільги!G16+субсидії!G16+'держ.бюджет'!G16+'місц.-районн.бюджет'!G16+обласний!G16+інші!G16</f>
        <v>2817.7</v>
      </c>
      <c r="H16" s="63">
        <f>'насел.'!H16+пільги!H16+субсидії!H16+'держ.бюджет'!H16+'місц.-районн.бюджет'!H16+обласний!H16+інші!H16</f>
        <v>2698</v>
      </c>
      <c r="I16" s="62">
        <f t="shared" si="1"/>
        <v>95.75185434929199</v>
      </c>
      <c r="J16" s="63">
        <f>'насел.'!J16+пільги!J16+субсидії!J16+'держ.бюджет'!J16+'місц.-районн.бюджет'!J16+обласний!J16+інші!J16</f>
        <v>2166.9</v>
      </c>
      <c r="K16" s="63">
        <f>'насел.'!K16+пільги!K16+субсидії!K16+'держ.бюджет'!K16+'місц.-районн.бюджет'!K16+обласний!K16+інші!K16</f>
        <v>1511.2</v>
      </c>
      <c r="L16" s="62">
        <f>K16/J16*100</f>
        <v>69.74018182657252</v>
      </c>
      <c r="M16" s="62">
        <f>'насел.'!M16+пільги!M16+субсидії!M16+'держ.бюджет'!M16+'місц.-районн.бюджет'!M16+обласний!M16+інші!M16</f>
        <v>7507.500000000001</v>
      </c>
      <c r="N16" s="62">
        <f>'насел.'!N16+пільги!N16+субсидії!N16+'держ.бюджет'!N16+'місц.-районн.бюджет'!N16+обласний!N16+інші!N16</f>
        <v>4452.9</v>
      </c>
      <c r="O16" s="62">
        <f t="shared" si="2"/>
        <v>59.312687312687295</v>
      </c>
      <c r="P16" s="63">
        <f>'насел.'!P16+пільги!P16+субсидії!P16+'держ.бюджет'!P16+'місц.-районн.бюджет'!P16+обласний!P16+інші!P16</f>
        <v>304.6</v>
      </c>
      <c r="Q16" s="63">
        <f>'насел.'!Q16+пільги!Q16+субсидії!Q16+'держ.бюджет'!Q16+'місц.-районн.бюджет'!Q16+обласний!Q16+інші!Q16</f>
        <v>2340</v>
      </c>
      <c r="R16" s="63">
        <f t="shared" si="3"/>
        <v>768.220617202889</v>
      </c>
      <c r="S16" s="63">
        <f>'насел.'!S16+пільги!S16+субсидії!S16+'держ.бюджет'!S16+'місц.-районн.бюджет'!S16+обласний!S16+інші!S16</f>
        <v>0</v>
      </c>
      <c r="T16" s="63">
        <f>'насел.'!T16+пільги!T16+субсидії!T16+'держ.бюджет'!T16+'місц.-районн.бюджет'!T16+обласний!T16+інші!T16</f>
        <v>53.099999999999994</v>
      </c>
      <c r="U16" s="62" t="e">
        <f>T16/S16*100</f>
        <v>#DIV/0!</v>
      </c>
      <c r="V16" s="63">
        <f>'насел.'!V16+пільги!V16+субсидії!V16+'держ.бюджет'!V16+'місц.-районн.бюджет'!V16+обласний!V16+інші!V16</f>
        <v>0</v>
      </c>
      <c r="W16" s="63">
        <f>'насел.'!W16+пільги!W16+субсидії!W16+'держ.бюджет'!W16+'місц.-районн.бюджет'!W16+обласний!W16+інші!W16</f>
        <v>46.6</v>
      </c>
      <c r="X16" s="62" t="e">
        <f>W16/V16*100</f>
        <v>#DIV/0!</v>
      </c>
      <c r="Y16" s="63">
        <f>'насел.'!Y16+пільги!Y16+субсидії!Y16+'держ.бюджет'!Y16+'місц.-районн.бюджет'!Y16+обласний!Y16+інші!Y16</f>
        <v>304.6</v>
      </c>
      <c r="Z16" s="63">
        <f>'насел.'!Z16+пільги!Z16+субсидії!Z16+'держ.бюджет'!Z16+'місц.-районн.бюджет'!Z16+обласний!Z16+інші!Z16</f>
        <v>2439.7000000000003</v>
      </c>
      <c r="AA16" s="62">
        <f>Z16/Y16*100</f>
        <v>800.9520682862772</v>
      </c>
      <c r="AB16" s="63">
        <f>'насел.'!AB16+пільги!AB16+субсидії!AB16+'держ.бюджет'!AB16+'місц.-районн.бюджет'!AB16+обласний!AB16+інші!AB16</f>
        <v>0</v>
      </c>
      <c r="AC16" s="63">
        <f>'насел.'!AC16+пільги!AC16+субсидії!AC16+'держ.бюджет'!AC16+'місц.-районн.бюджет'!AC16+обласний!AC16+інші!AC16</f>
        <v>0</v>
      </c>
      <c r="AD16" s="62" t="e">
        <f>AC16/AB16*100</f>
        <v>#DIV/0!</v>
      </c>
      <c r="AE16" s="63">
        <f>'насел.'!AE16+пільги!AE16+субсидії!AE16+'держ.бюджет'!AE16+'місц.-районн.бюджет'!AE16+обласний!AE16+інші!AE16</f>
        <v>0</v>
      </c>
      <c r="AF16" s="63">
        <f>'насел.'!AF16+пільги!AF16+субсидії!AF16+'держ.бюджет'!AF16+'місц.-районн.бюджет'!AF16+обласний!AF16+інші!AF16</f>
        <v>0</v>
      </c>
      <c r="AG16" s="62" t="e">
        <f t="shared" si="4"/>
        <v>#DIV/0!</v>
      </c>
      <c r="AH16" s="63">
        <f>'насел.'!AH16+пільги!AH16+субсидії!AH16+'держ.бюджет'!AH16+'місц.-районн.бюджет'!AH16+обласний!AH16+інші!AH16</f>
        <v>0</v>
      </c>
      <c r="AI16" s="63">
        <f>'насел.'!AI16+пільги!AI16+субсидії!AI16+'держ.бюджет'!AI16+'місц.-районн.бюджет'!AI16+обласний!AI16+інші!AI16</f>
        <v>0</v>
      </c>
      <c r="AJ16" s="62" t="e">
        <f t="shared" si="5"/>
        <v>#DIV/0!</v>
      </c>
      <c r="AK16" s="79">
        <f>'насел.'!AK16+пільги!AR16+субсидії!AK16+'держ.бюджет'!AK16+'місц.-районн.бюджет'!AK16+обласний!AK16+інші!AK16</f>
        <v>0</v>
      </c>
      <c r="AL16" s="63">
        <f>'насел.'!AL16+пільги!AK16+субсидії!AL16+'держ.бюджет'!AL16+'місц.-районн.бюджет'!AL16+обласний!AL16+інші!AL16</f>
        <v>0</v>
      </c>
      <c r="AM16" s="63" t="e">
        <f t="shared" si="6"/>
        <v>#DIV/0!</v>
      </c>
      <c r="AN16" s="79">
        <f>'насел.'!AN16+пільги!AN16+субсидії!AN16+'держ.бюджет'!AN16+'місц.-районн.бюджет'!AN16+обласний!AN16+інші!AN16</f>
        <v>0</v>
      </c>
      <c r="AO16" s="63">
        <f>'насел.'!AO16+пільги!AN16+субсидії!AO16+'держ.бюджет'!AO16+'місц.-районн.бюджет'!AO16+обласний!AO16+інші!AO16</f>
        <v>0</v>
      </c>
      <c r="AP16" s="63">
        <f>'насел.'!AP16+пільги!AO16+субсидії!AP16+'держ.бюджет'!AP16+'місц.-районн.бюджет'!AP16+обласний!AP16+інші!AP16</f>
        <v>0</v>
      </c>
      <c r="AQ16" s="63">
        <f>'насел.'!AQ16+пільги!AP16+субсидії!AQ16+'держ.бюджет'!AQ16+'місц.-районн.бюджет'!AQ16+обласний!AQ16+інші!AQ16</f>
        <v>0</v>
      </c>
      <c r="AR16" s="63">
        <f>'насел.'!AR16+пільги!AQ16+субсидії!AR16+'держ.бюджет'!AR16+'місц.-районн.бюджет'!AR16+обласний!AR16+інші!AR16</f>
        <v>0</v>
      </c>
      <c r="AS16" s="63">
        <f>'насел.'!AS16+пільги!AR16+субсидії!AS16+'держ.бюджет'!AS16+'місц.-районн.бюджет'!AS16+обласний!AS16+інші!AS16</f>
        <v>0</v>
      </c>
      <c r="AT16" s="63">
        <f>'насел.'!AT16+пільги!AT16+субсидії!AT16+'держ.бюджет'!AT16+'місц.-районн.бюджет'!AT16+обласний!AT16+інші!AT16</f>
        <v>7812.1</v>
      </c>
      <c r="AU16" s="63">
        <f>'насел.'!AU16+пільги!AU16+субсидії!AU16+'держ.бюджет'!AU16+'місц.-районн.бюджет'!AU16+обласний!AU16+інші!AU16</f>
        <v>6892.5999999999985</v>
      </c>
      <c r="AV16" s="62">
        <f t="shared" si="7"/>
        <v>88.22979736562509</v>
      </c>
      <c r="AW16" s="63">
        <f t="shared" si="13"/>
        <v>919.5000000000018</v>
      </c>
      <c r="AX16" s="66">
        <f>'насел.'!AX16+пільги!AX16+субсидії!AX16+'держ.бюджет'!AX16+'місц.-районн.бюджет'!AX16+обласний!AX16+інші!AX16</f>
        <v>210.3000000000008</v>
      </c>
      <c r="AY16" s="144"/>
      <c r="AZ16" s="144"/>
      <c r="BA16" s="144"/>
      <c r="BB16" s="144"/>
    </row>
    <row r="17" spans="1:54" s="35" customFormat="1" ht="34.5" customHeight="1">
      <c r="A17" s="159" t="s">
        <v>6</v>
      </c>
      <c r="B17" s="110" t="s">
        <v>149</v>
      </c>
      <c r="C17" s="63">
        <f>'насел.'!C17+пільги!C17+субсидії!C17+'держ.бюджет'!C17+'місц.-районн.бюджет'!C17+обласний!C17+інші!C17</f>
        <v>6193.3</v>
      </c>
      <c r="D17" s="63">
        <f>'насел.'!D17+пільги!D17+субсидії!D17+'держ.бюджет'!D17+'місц.-районн.бюджет'!D17+обласний!D17+інші!D17</f>
        <v>5783</v>
      </c>
      <c r="E17" s="63">
        <f>'насел.'!E17+пільги!E17+субсидії!E17+'держ.бюджет'!E17+'місц.-районн.бюджет'!E17+обласний!E17+інші!E17</f>
        <v>3042.4</v>
      </c>
      <c r="F17" s="62">
        <f t="shared" si="0"/>
        <v>52.60937229811516</v>
      </c>
      <c r="G17" s="63">
        <f>'насел.'!G17+пільги!G17+субсидії!G17+'держ.бюджет'!G17+'місц.-районн.бюджет'!G17+обласний!G17+інші!G17</f>
        <v>5830.9</v>
      </c>
      <c r="H17" s="63">
        <f>'насел.'!H17+пільги!H17+субсидії!H17+'держ.бюджет'!H17+'місц.-районн.бюджет'!H17+обласний!H17+інші!H17</f>
        <v>4720.9</v>
      </c>
      <c r="I17" s="62">
        <f t="shared" si="1"/>
        <v>80.96348762626697</v>
      </c>
      <c r="J17" s="63">
        <f>'насел.'!J17+пільги!J17+субсидії!J17+'держ.бюджет'!J17+'місц.-районн.бюджет'!J17+обласний!J17+інші!J17</f>
        <v>4811.5</v>
      </c>
      <c r="K17" s="63">
        <f>'насел.'!K17+пільги!K17+субсидії!K17+'держ.бюджет'!K17+'місц.-районн.бюджет'!K17+обласний!K17+інші!K17</f>
        <v>5552.1</v>
      </c>
      <c r="L17" s="160">
        <f>K17/J17*100</f>
        <v>115.39228930686897</v>
      </c>
      <c r="M17" s="62">
        <f>'насел.'!M17+пільги!M17+субсидії!M17+'держ.бюджет'!M17+'місц.-районн.бюджет'!M17+обласний!M17+інші!M17</f>
        <v>16425.399999999998</v>
      </c>
      <c r="N17" s="62">
        <f>'насел.'!N17+пільги!N17+субсидії!N17+'держ.бюджет'!N17+'місц.-районн.бюджет'!N17+обласний!N17+інші!N17</f>
        <v>13315.400000000001</v>
      </c>
      <c r="O17" s="62">
        <f t="shared" si="2"/>
        <v>81.06591011482219</v>
      </c>
      <c r="P17" s="63">
        <f>'насел.'!P17+пільги!P17+субсидії!P17+'держ.бюджет'!P17+'місц.-районн.бюджет'!P17+обласний!P17+інші!P17</f>
        <v>688</v>
      </c>
      <c r="Q17" s="63">
        <f>'насел.'!Q17+пільги!Q17+субсидії!Q17+'держ.бюджет'!Q17+'місц.-районн.бюджет'!Q17+обласний!Q17+інші!Q17</f>
        <v>3368.6</v>
      </c>
      <c r="R17" s="63">
        <f t="shared" si="3"/>
        <v>489.6220930232558</v>
      </c>
      <c r="S17" s="63">
        <f>'насел.'!S17+пільги!S17+субсидії!S17+'держ.бюджет'!S17+'місц.-районн.бюджет'!S17+обласний!S17+інші!S17</f>
        <v>0</v>
      </c>
      <c r="T17" s="63">
        <f>'насел.'!T17+пільги!T17+субсидії!T17+'держ.бюджет'!T17+'місц.-районн.бюджет'!T17+обласний!T17+інші!T17</f>
        <v>1915.9</v>
      </c>
      <c r="U17" s="161" t="e">
        <f>T17/S17*100</f>
        <v>#DIV/0!</v>
      </c>
      <c r="V17" s="63">
        <f>'насел.'!V17+пільги!V17+субсидії!V17+'держ.бюджет'!V17+'місц.-районн.бюджет'!V17+обласний!V17+інші!V17</f>
        <v>0</v>
      </c>
      <c r="W17" s="63">
        <f>'насел.'!W17+пільги!W17+субсидії!W17+'держ.бюджет'!W17+'місц.-районн.бюджет'!W17+обласний!W17+інші!W17</f>
        <v>556</v>
      </c>
      <c r="X17" s="161" t="e">
        <f>W17/V17*100</f>
        <v>#DIV/0!</v>
      </c>
      <c r="Y17" s="63">
        <f>'насел.'!Y17+пільги!Y17+субсидії!Y17+'держ.бюджет'!Y17+'місц.-районн.бюджет'!Y17+обласний!Y17+інші!Y17</f>
        <v>688</v>
      </c>
      <c r="Z17" s="63">
        <f>'насел.'!Z17+пільги!Z17+субсидії!Z17+'держ.бюджет'!Z17+'місц.-районн.бюджет'!Z17+обласний!Z17+інші!Z17</f>
        <v>5840.5</v>
      </c>
      <c r="AA17" s="62">
        <f>Z17/Y17*100</f>
        <v>848.9098837209303</v>
      </c>
      <c r="AB17" s="63">
        <f>'насел.'!AB17+пільги!AB17+субсидії!AB17+'держ.бюджет'!AB17+'місц.-районн.бюджет'!AB17+обласний!AB17+інші!AB17</f>
        <v>0</v>
      </c>
      <c r="AC17" s="63">
        <f>'насел.'!AC17+пільги!AC17+субсидії!AC17+'держ.бюджет'!AC17+'місц.-районн.бюджет'!AC17+обласний!AC17+інші!AC17</f>
        <v>0</v>
      </c>
      <c r="AD17" s="161" t="e">
        <f>AC17/AB17*100</f>
        <v>#DIV/0!</v>
      </c>
      <c r="AE17" s="63">
        <f>'насел.'!AE17+пільги!AE17+субсидії!AE17+'держ.бюджет'!AE17+'місц.-районн.бюджет'!AE17+обласний!AE17+інші!AE17</f>
        <v>0</v>
      </c>
      <c r="AF17" s="63">
        <f>'насел.'!AF17+пільги!AF17+субсидії!AF17+'держ.бюджет'!AF17+'місц.-районн.бюджет'!AF17+обласний!AF17+інші!AF17</f>
        <v>0</v>
      </c>
      <c r="AG17" s="62" t="e">
        <f t="shared" si="4"/>
        <v>#DIV/0!</v>
      </c>
      <c r="AH17" s="63">
        <f>'насел.'!AH17+пільги!AH17+субсидії!AH17+'держ.бюджет'!AH17+'місц.-районн.бюджет'!AH17+обласний!AH17+інші!AH17</f>
        <v>0</v>
      </c>
      <c r="AI17" s="63">
        <f>'насел.'!AI17+пільги!AI17+субсидії!AI17+'держ.бюджет'!AI17+'місц.-районн.бюджет'!AI17+обласний!AI17+інші!AI17</f>
        <v>0</v>
      </c>
      <c r="AJ17" s="62" t="e">
        <f t="shared" si="5"/>
        <v>#DIV/0!</v>
      </c>
      <c r="AK17" s="79">
        <f>'насел.'!AK17+пільги!AR17+субсидії!AK17+'держ.бюджет'!AK17+'місц.-районн.бюджет'!AK17+обласний!AK17+інші!AK17</f>
        <v>0</v>
      </c>
      <c r="AL17" s="63">
        <f>'насел.'!AL17+пільги!AK17+субсидії!AL17+'держ.бюджет'!AL17+'місц.-районн.бюджет'!AL17+обласний!AL17+інші!AL17</f>
        <v>0</v>
      </c>
      <c r="AM17" s="63" t="e">
        <f t="shared" si="6"/>
        <v>#DIV/0!</v>
      </c>
      <c r="AN17" s="79">
        <f>'насел.'!AN17+пільги!AN17+субсидії!AN17+'держ.бюджет'!AN17+'місц.-районн.бюджет'!AN17+обласний!AN17+інші!AN17</f>
        <v>0</v>
      </c>
      <c r="AO17" s="63">
        <f>'насел.'!AO17+пільги!AN17+субсидії!AO17+'держ.бюджет'!AO17+'місц.-районн.бюджет'!AO17+обласний!AO17+інші!AO17</f>
        <v>0</v>
      </c>
      <c r="AP17" s="63">
        <f>'насел.'!AP17+пільги!AO17+субсидії!AP17+'держ.бюджет'!AP17+'місц.-районн.бюджет'!AP17+обласний!AP17+інші!AP17</f>
        <v>0</v>
      </c>
      <c r="AQ17" s="63">
        <f>'насел.'!AQ17+пільги!AP17+субсидії!AQ17+'держ.бюджет'!AQ17+'місц.-районн.бюджет'!AQ17+обласний!AQ17+інші!AQ17</f>
        <v>0</v>
      </c>
      <c r="AR17" s="63">
        <f>'насел.'!AR17+пільги!AQ17+субсидії!AR17+'держ.бюджет'!AR17+'місц.-районн.бюджет'!AR17+обласний!AR17+інші!AR17</f>
        <v>0</v>
      </c>
      <c r="AS17" s="63">
        <f>'насел.'!AS17+пільги!AR17+субсидії!AS17+'держ.бюджет'!AS17+'місц.-районн.бюджет'!AS17+обласний!AS17+інші!AS17</f>
        <v>0</v>
      </c>
      <c r="AT17" s="63">
        <f>'насел.'!AT17+пільги!AT17+субсидії!AT17+'держ.бюджет'!AT17+'місц.-районн.бюджет'!AT17+обласний!AT17+інші!AT17</f>
        <v>17113.399999999998</v>
      </c>
      <c r="AU17" s="63">
        <f>'насел.'!AU17+пільги!AU17+субсидії!AU17+'держ.бюджет'!AU17+'місц.-районн.бюджет'!AU17+обласний!AU17+інші!AU17</f>
        <v>19155.900000000005</v>
      </c>
      <c r="AV17" s="62">
        <f t="shared" si="7"/>
        <v>111.93509179940871</v>
      </c>
      <c r="AW17" s="63">
        <f t="shared" si="13"/>
        <v>-2042.5000000000073</v>
      </c>
      <c r="AX17" s="66">
        <f>'насел.'!AX17+пільги!AX17+субсидії!AX17+'держ.бюджет'!AX17+'місц.-районн.бюджет'!AX17+обласний!AX17+інші!AX17</f>
        <v>4150.799999999996</v>
      </c>
      <c r="AY17" s="144"/>
      <c r="AZ17" s="144"/>
      <c r="BA17" s="144"/>
      <c r="BB17" s="144"/>
    </row>
    <row r="18" spans="1:54" ht="34.5" customHeight="1" hidden="1">
      <c r="A18" s="10" t="s">
        <v>2</v>
      </c>
      <c r="B18" s="110" t="s">
        <v>84</v>
      </c>
      <c r="C18" s="63">
        <f>'насел.'!C18+пільги!C18+субсидії!C18+'держ.бюджет'!C18+'місц.-районн.бюджет'!C18+обласний!C18+інші!C18</f>
        <v>0</v>
      </c>
      <c r="D18" s="63">
        <f>'насел.'!D18+пільги!D18+субсидії!D18+'держ.бюджет'!D18+'місц.-районн.бюджет'!D18+обласний!D18+інші!D18</f>
        <v>0</v>
      </c>
      <c r="E18" s="63">
        <f>'насел.'!E18+пільги!E18+субсидії!E18+'держ.бюджет'!E18+'місц.-районн.бюджет'!E18+обласний!E18+інші!E18</f>
        <v>0</v>
      </c>
      <c r="F18" s="62" t="e">
        <f>E18/D18*180</f>
        <v>#DIV/0!</v>
      </c>
      <c r="G18" s="63">
        <f>'насел.'!G18+пільги!G18+субсидії!G18+'держ.бюджет'!G18+'місц.-районн.бюджет'!G18+обласний!G18+інші!G18</f>
        <v>0</v>
      </c>
      <c r="H18" s="63">
        <f>'насел.'!H18+пільги!H18+субсидії!H18+'держ.бюджет'!H18+'місц.-районн.бюджет'!H18+обласний!H18+інші!H18</f>
        <v>0</v>
      </c>
      <c r="I18" s="62" t="e">
        <f>H18/G18*180</f>
        <v>#DIV/0!</v>
      </c>
      <c r="J18" s="63">
        <f>'насел.'!J18+пільги!J18+субсидії!J18+'держ.бюджет'!J18+'місц.-районн.бюджет'!J18+обласний!J18+інші!J18</f>
        <v>0</v>
      </c>
      <c r="K18" s="63">
        <f>'насел.'!K18+пільги!K18+субсидії!K18+'держ.бюджет'!K18+'місц.-районн.бюджет'!K18+обласний!K18+інші!K18</f>
        <v>0</v>
      </c>
      <c r="L18" s="62" t="e">
        <f>K18/J18*180</f>
        <v>#DIV/0!</v>
      </c>
      <c r="M18" s="62">
        <f>'насел.'!M18+пільги!M18+субсидії!M18+'держ.бюджет'!M18+'місц.-районн.бюджет'!M18+обласний!M18+інші!M18</f>
        <v>0</v>
      </c>
      <c r="N18" s="62">
        <f>'насел.'!N18+пільги!N18+субсидії!N18+'держ.бюджет'!N18+'місц.-районн.бюджет'!N18+обласний!N18+інші!N18</f>
        <v>0</v>
      </c>
      <c r="O18" s="62" t="e">
        <f>N18/M18*180</f>
        <v>#DIV/0!</v>
      </c>
      <c r="P18" s="63">
        <f>'насел.'!P18+пільги!P18+субсидії!P18+'держ.бюджет'!P18+'місц.-районн.бюджет'!P18+обласний!P18+інші!P18</f>
        <v>0</v>
      </c>
      <c r="Q18" s="63">
        <f>'насел.'!Q18+пільги!Q18+субсидії!Q18+'держ.бюджет'!Q18+'місц.-районн.бюджет'!Q18+обласний!Q18+інші!Q18</f>
        <v>0</v>
      </c>
      <c r="R18" s="63" t="e">
        <f>Q18/P18*180</f>
        <v>#DIV/0!</v>
      </c>
      <c r="S18" s="63">
        <f>'насел.'!S18+пільги!S18+субсидії!S18+'держ.бюджет'!S18+'місц.-районн.бюджет'!S18+обласний!S18+інші!S18</f>
        <v>0</v>
      </c>
      <c r="T18" s="63">
        <f>'насел.'!T18+пільги!T18+субсидії!T18+'держ.бюджет'!T18+'місц.-районн.бюджет'!T18+обласний!T18+інші!T18</f>
        <v>0</v>
      </c>
      <c r="U18" s="62" t="e">
        <f>T18/S18*180</f>
        <v>#DIV/0!</v>
      </c>
      <c r="V18" s="63">
        <f>'насел.'!V18+пільги!V18+субсидії!V18+'держ.бюджет'!V18+'місц.-районн.бюджет'!V18+обласний!V18+інші!V18</f>
        <v>0</v>
      </c>
      <c r="W18" s="63">
        <f>'насел.'!W18+пільги!W18+субсидії!W18+'держ.бюджет'!W18+'місц.-районн.бюджет'!W18+обласний!W18+інші!W18</f>
        <v>0</v>
      </c>
      <c r="X18" s="62" t="e">
        <f>W18/V18*180</f>
        <v>#DIV/0!</v>
      </c>
      <c r="Y18" s="63">
        <f>'насел.'!Y18+пільги!Y18+субсидії!Y18+'держ.бюджет'!Y18+'місц.-районн.бюджет'!Y18+обласний!Y18+інші!Y18</f>
        <v>0</v>
      </c>
      <c r="Z18" s="63">
        <f>'насел.'!Z18+пільги!Z18+субсидії!Z18+'держ.бюджет'!Z18+'місц.-районн.бюджет'!Z18+обласний!Z18+інші!Z18</f>
        <v>0</v>
      </c>
      <c r="AA18" s="62" t="e">
        <f>Z18/Y18*180</f>
        <v>#DIV/0!</v>
      </c>
      <c r="AB18" s="63">
        <f>'насел.'!AB18+пільги!AB18+субсидії!AB18+'держ.бюджет'!AB18+'місц.-районн.бюджет'!AB18+обласний!AB18+інші!AB18</f>
        <v>0</v>
      </c>
      <c r="AC18" s="63">
        <f>'насел.'!AC18+пільги!AC18+субсидії!AC18+'держ.бюджет'!AC18+'місц.-районн.бюджет'!AC18+обласний!AC18+інші!AC18</f>
        <v>0</v>
      </c>
      <c r="AD18" s="62" t="e">
        <f>AC18/AB18*180</f>
        <v>#DIV/0!</v>
      </c>
      <c r="AE18" s="63">
        <f>'насел.'!AE18+пільги!AE18+субсидії!AE18+'держ.бюджет'!AE18+'місц.-районн.бюджет'!AE18+обласний!AE18+інші!AE18</f>
        <v>0</v>
      </c>
      <c r="AF18" s="63">
        <f>'насел.'!AF18+пільги!AF18+субсидії!AF18+'держ.бюджет'!AF18+'місц.-районн.бюджет'!AF18+обласний!AF18+інші!AF18</f>
        <v>0</v>
      </c>
      <c r="AG18" s="62" t="e">
        <f>AF18/AE18*180</f>
        <v>#DIV/0!</v>
      </c>
      <c r="AH18" s="63">
        <f>'насел.'!AH18+пільги!AH18+субсидії!AH18+'держ.бюджет'!AH18+'місц.-районн.бюджет'!AH18+обласний!AH18+інші!AH18</f>
        <v>0</v>
      </c>
      <c r="AI18" s="63">
        <f>'насел.'!AI18+пільги!AI18+субсидії!AI18+'держ.бюджет'!AI18+'місц.-районн.бюджет'!AI18+обласний!AI18+інші!AI18</f>
        <v>0</v>
      </c>
      <c r="AJ18" s="62" t="e">
        <f>AI18/AH18*180</f>
        <v>#DIV/0!</v>
      </c>
      <c r="AK18" s="79">
        <f>'насел.'!AK18+пільги!AR18+субсидії!AK18+'держ.бюджет'!AK18+'місц.-районн.бюджет'!AK18+обласний!AK18+інші!AK18</f>
        <v>0</v>
      </c>
      <c r="AL18" s="63">
        <f>'насел.'!AL18+пільги!AK18+субсидії!AL18+'держ.бюджет'!AL18+'місц.-районн.бюджет'!AL18+обласний!AL18+інші!AL18</f>
        <v>0</v>
      </c>
      <c r="AM18" s="63" t="e">
        <f>AL18/AK18*180</f>
        <v>#DIV/0!</v>
      </c>
      <c r="AN18" s="79">
        <f>'насел.'!AN18+пільги!AN18+субсидії!AN18+'держ.бюджет'!AN18+'місц.-районн.бюджет'!AN18+обласний!AN18+інші!AN18</f>
        <v>0</v>
      </c>
      <c r="AO18" s="63">
        <f>'насел.'!AO18+пільги!AN18+субсидії!AO18+'держ.бюджет'!AO18+'місц.-районн.бюджет'!AO18+обласний!AO18+інші!AO18</f>
        <v>0</v>
      </c>
      <c r="AP18" s="63">
        <f>'насел.'!AP18+пільги!AO18+субсидії!AP18+'держ.бюджет'!AP18+'місц.-районн.бюджет'!AP18+обласний!AP18+інші!AP18</f>
        <v>0</v>
      </c>
      <c r="AQ18" s="63">
        <f>'насел.'!AQ18+пільги!AP18+субсидії!AQ18+'держ.бюджет'!AQ18+'місц.-районн.бюджет'!AQ18+обласний!AQ18+інші!AQ18</f>
        <v>0</v>
      </c>
      <c r="AR18" s="63">
        <f>'насел.'!AR18+пільги!AQ18+субсидії!AR18+'держ.бюджет'!AR18+'місц.-районн.бюджет'!AR18+обласний!AR18+інші!AR18</f>
        <v>0</v>
      </c>
      <c r="AS18" s="63">
        <f>'насел.'!AS18+пільги!AR18+субсидії!AS18+'держ.бюджет'!AS18+'місц.-районн.бюджет'!AS18+обласний!AS18+інші!AS18</f>
        <v>0</v>
      </c>
      <c r="AT18" s="63">
        <f>'насел.'!AT18+пільги!AT18+субсидії!AT18+'держ.бюджет'!AT18+'місц.-районн.бюджет'!AT18+обласний!AT18+інші!AT18</f>
        <v>0</v>
      </c>
      <c r="AU18" s="63">
        <f>'насел.'!AU18+пільги!AU18+субсидії!AU18+'держ.бюджет'!AU18+'місц.-районн.бюджет'!AU18+обласний!AU18+інші!AU18</f>
        <v>0</v>
      </c>
      <c r="AV18" s="62" t="e">
        <f>AU18/AT18*180</f>
        <v>#DIV/0!</v>
      </c>
      <c r="AW18" s="63">
        <f t="shared" si="13"/>
        <v>0</v>
      </c>
      <c r="AX18" s="66">
        <f>'насел.'!AX18+пільги!AX18+субсидії!AX18+'держ.бюджет'!AX18+'місц.-районн.бюджет'!AX18+обласний!AX18+інші!AX18</f>
        <v>0</v>
      </c>
      <c r="AY18" s="144"/>
      <c r="AZ18" s="144"/>
      <c r="BA18" s="144"/>
      <c r="BB18" s="144"/>
    </row>
    <row r="19" spans="1:54" ht="34.5" customHeight="1">
      <c r="A19" s="10" t="s">
        <v>2</v>
      </c>
      <c r="B19" s="110" t="s">
        <v>150</v>
      </c>
      <c r="C19" s="63">
        <f>'насел.'!C19+пільги!C19+субсидії!C19+'держ.бюджет'!C19+'місц.-районн.бюджет'!C19+обласний!C19+інші!C19</f>
        <v>48404.00000000001</v>
      </c>
      <c r="D19" s="63">
        <f>'насел.'!D19+пільги!D19+субсидії!D19+'держ.бюджет'!D19+'місц.-районн.бюджет'!D19+обласний!D19+інші!D19</f>
        <v>20070.1</v>
      </c>
      <c r="E19" s="63">
        <f>'насел.'!E19+пільги!E19+субсидії!E19+'держ.бюджет'!E19+'місц.-районн.бюджет'!E19+обласний!E19+інші!E19</f>
        <v>12934.4</v>
      </c>
      <c r="F19" s="62">
        <f aca="true" t="shared" si="14" ref="F19:F31">E19/D19*100</f>
        <v>64.44611636215066</v>
      </c>
      <c r="G19" s="63">
        <f>'насел.'!G19+пільги!G19+субсидії!G19+'держ.бюджет'!G19+'місц.-районн.бюджет'!G19+обласний!G19+інші!G19</f>
        <v>20626.1</v>
      </c>
      <c r="H19" s="63">
        <f>'насел.'!H19+пільги!H19+субсидії!H19+'держ.бюджет'!H19+'місц.-районн.бюджет'!H19+обласний!H19+інші!H19</f>
        <v>16213.4</v>
      </c>
      <c r="I19" s="62">
        <f aca="true" t="shared" si="15" ref="I19:I31">H19/G19*100</f>
        <v>78.60623191005571</v>
      </c>
      <c r="J19" s="63">
        <f>'насел.'!J19+пільги!J19+субсидії!J19+'держ.бюджет'!J19+'місц.-районн.бюджет'!J19+обласний!J19+інші!J19</f>
        <v>18588.6</v>
      </c>
      <c r="K19" s="63">
        <f>'насел.'!K19+пільги!K19+субсидії!K19+'держ.бюджет'!K19+'місц.-районн.бюджет'!K19+обласний!K19+інші!K19</f>
        <v>17419.9</v>
      </c>
      <c r="L19" s="62">
        <f aca="true" t="shared" si="16" ref="L19:L31">K19/J19*100</f>
        <v>93.71281322961387</v>
      </c>
      <c r="M19" s="62">
        <f>'насел.'!M19+пільги!M19+субсидії!M19+'держ.бюджет'!M19+'місц.-районн.бюджет'!M19+обласний!M19+інші!M19</f>
        <v>59284.799999999996</v>
      </c>
      <c r="N19" s="62">
        <f>'насел.'!N19+пільги!N19+субсидії!N19+'держ.бюджет'!N19+'місц.-районн.бюджет'!N19+обласний!N19+інші!N19</f>
        <v>46567.7</v>
      </c>
      <c r="O19" s="62">
        <f aca="true" t="shared" si="17" ref="O19:O31">N19/M19*100</f>
        <v>78.54913907106037</v>
      </c>
      <c r="P19" s="63">
        <f>'насел.'!P19+пільги!P19+субсидії!P19+'держ.бюджет'!P19+'місц.-районн.бюджет'!P19+обласний!P19+інші!P19</f>
        <v>7116.699999999999</v>
      </c>
      <c r="Q19" s="63">
        <f>'насел.'!Q19+пільги!Q19+субсидії!Q19+'держ.бюджет'!Q19+'місц.-районн.бюджет'!Q19+обласний!Q19+інші!Q19</f>
        <v>12501.199999999999</v>
      </c>
      <c r="R19" s="63">
        <f aca="true" t="shared" si="18" ref="R19:R31">Q19/P19*100</f>
        <v>175.66006716596178</v>
      </c>
      <c r="S19" s="63">
        <f>'насел.'!S19+пільги!S19+субсидії!S19+'держ.бюджет'!S19+'місц.-районн.бюджет'!S19+обласний!S19+інші!S19</f>
        <v>1618.3</v>
      </c>
      <c r="T19" s="63">
        <f>'насел.'!T19+пільги!T19+субсидії!T19+'держ.бюджет'!T19+'місц.-районн.бюджет'!T19+обласний!T19+інші!T19</f>
        <v>6538.7</v>
      </c>
      <c r="U19" s="62">
        <f aca="true" t="shared" si="19" ref="U19:U31">T19/S19*100</f>
        <v>404.04745720818147</v>
      </c>
      <c r="V19" s="63">
        <f>'насел.'!V19+пільги!V19+субсидії!V19+'держ.бюджет'!V19+'місц.-районн.бюджет'!V19+обласний!V19+інші!V19</f>
        <v>1619.1999999999998</v>
      </c>
      <c r="W19" s="63">
        <f>'насел.'!W19+пільги!W19+субсидії!W19+'держ.бюджет'!W19+'місц.-районн.бюджет'!W19+обласний!W19+інші!W19</f>
        <v>4585</v>
      </c>
      <c r="X19" s="62">
        <f aca="true" t="shared" si="20" ref="X19:X31">W19/V19*100</f>
        <v>283.1645256916997</v>
      </c>
      <c r="Y19" s="63">
        <f>'насел.'!Y19+пільги!Y19+субсидії!Y19+'держ.бюджет'!Y19+'місц.-районн.бюджет'!Y19+обласний!Y19+інші!Y19</f>
        <v>10354.199999999999</v>
      </c>
      <c r="Z19" s="63">
        <f>'насел.'!Z19+пільги!Z19+субсидії!Z19+'держ.бюджет'!Z19+'місц.-районн.бюджет'!Z19+обласний!Z19+інші!Z19</f>
        <v>23624.899999999998</v>
      </c>
      <c r="AA19" s="62">
        <f aca="true" t="shared" si="21" ref="AA19:AA31">Z19/Y19*100</f>
        <v>228.1673137470785</v>
      </c>
      <c r="AB19" s="63">
        <f>'насел.'!AB19+пільги!AB19+субсидії!AB19+'держ.бюджет'!AB19+'місц.-районн.бюджет'!AB19+обласний!AB19+інші!AB19</f>
        <v>0</v>
      </c>
      <c r="AC19" s="63">
        <f>'насел.'!AC19+пільги!AC19+субсидії!AC19+'держ.бюджет'!AC19+'місц.-районн.бюджет'!AC19+обласний!AC19+інші!AC19</f>
        <v>0</v>
      </c>
      <c r="AD19" s="62" t="e">
        <f aca="true" t="shared" si="22" ref="AD19:AD31">AC19/AB19*100</f>
        <v>#DIV/0!</v>
      </c>
      <c r="AE19" s="63">
        <f>'насел.'!AE19+пільги!AE19+субсидії!AE19+'держ.бюджет'!AE19+'місц.-районн.бюджет'!AE19+обласний!AE19+інші!AE19</f>
        <v>0</v>
      </c>
      <c r="AF19" s="63">
        <f>'насел.'!AF19+пільги!AF19+субсидії!AF19+'держ.бюджет'!AF19+'місц.-районн.бюджет'!AF19+обласний!AF19+інші!AF19</f>
        <v>0</v>
      </c>
      <c r="AG19" s="62" t="e">
        <f aca="true" t="shared" si="23" ref="AG19:AG31">AF19/AE19*100</f>
        <v>#DIV/0!</v>
      </c>
      <c r="AH19" s="63">
        <f>'насел.'!AH19+пільги!AH19+субсидії!AH19+'держ.бюджет'!AH19+'місц.-районн.бюджет'!AH19+обласний!AH19+інші!AH19</f>
        <v>0</v>
      </c>
      <c r="AI19" s="63">
        <f>'насел.'!AI19+пільги!AI19+субсидії!AI19+'держ.бюджет'!AI19+'місц.-районн.бюджет'!AI19+обласний!AI19+інші!AI19</f>
        <v>0</v>
      </c>
      <c r="AJ19" s="62" t="e">
        <f aca="true" t="shared" si="24" ref="AJ19:AJ31">AI19/AH19*100</f>
        <v>#DIV/0!</v>
      </c>
      <c r="AK19" s="79">
        <f>'насел.'!AK19+пільги!AR19+субсидії!AK19+'держ.бюджет'!AK19+'місц.-районн.бюджет'!AK19+обласний!AK19+інші!AK19</f>
        <v>0</v>
      </c>
      <c r="AL19" s="63">
        <f>'насел.'!AL19+пільги!AK19+субсидії!AL19+'держ.бюджет'!AL19+'місц.-районн.бюджет'!AL19+обласний!AL19+інші!AL19</f>
        <v>0</v>
      </c>
      <c r="AM19" s="63" t="e">
        <f aca="true" t="shared" si="25" ref="AM19:AM31">AL19/AK19*100</f>
        <v>#DIV/0!</v>
      </c>
      <c r="AN19" s="79">
        <f>'насел.'!AN19+пільги!AN19+субсидії!AN19+'держ.бюджет'!AN19+'місц.-районн.бюджет'!AN19+обласний!AN19+інші!AN19</f>
        <v>0</v>
      </c>
      <c r="AO19" s="63">
        <f>'насел.'!AO19+пільги!AN19+субсидії!AO19+'держ.бюджет'!AO19+'місц.-районн.бюджет'!AO19+обласний!AO19+інші!AO19</f>
        <v>0</v>
      </c>
      <c r="AP19" s="63">
        <f>'насел.'!AP19+пільги!AO19+субсидії!AP19+'держ.бюджет'!AP19+'місц.-районн.бюджет'!AP19+обласний!AP19+інші!AP19</f>
        <v>0</v>
      </c>
      <c r="AQ19" s="63">
        <f>'насел.'!AQ19+пільги!AP19+субсидії!AQ19+'держ.бюджет'!AQ19+'місц.-районн.бюджет'!AQ19+обласний!AQ19+інші!AQ19</f>
        <v>0</v>
      </c>
      <c r="AR19" s="63">
        <f>'насел.'!AR19+пільги!AQ19+субсидії!AR19+'держ.бюджет'!AR19+'місц.-районн.бюджет'!AR19+обласний!AR19+інші!AR19</f>
        <v>0</v>
      </c>
      <c r="AS19" s="63">
        <f>'насел.'!AS19+пільги!AR19+субсидії!AS19+'держ.бюджет'!AS19+'місц.-районн.бюджет'!AS19+обласний!AS19+інші!AS19</f>
        <v>0</v>
      </c>
      <c r="AT19" s="63">
        <f>'насел.'!AT19+пільги!AT19+субсидії!AT19+'держ.бюджет'!AT19+'місц.-районн.бюджет'!AT19+обласний!AT19+інші!AT19</f>
        <v>69639</v>
      </c>
      <c r="AU19" s="63">
        <f>'насел.'!AU19+пільги!AU19+субсидії!AU19+'держ.бюджет'!AU19+'місц.-районн.бюджет'!AU19+обласний!AU19+інші!AU19</f>
        <v>70192.59999999999</v>
      </c>
      <c r="AV19" s="62">
        <f aca="true" t="shared" si="26" ref="AV19:AV31">AU19/AT19*100</f>
        <v>100.79495684889213</v>
      </c>
      <c r="AW19" s="63">
        <f t="shared" si="13"/>
        <v>-553.5999999999913</v>
      </c>
      <c r="AX19" s="66">
        <f>'насел.'!AX19+пільги!AX19+субсидії!AX19+'держ.бюджет'!AX19+'місц.-районн.бюджет'!AX19+обласний!AX19+інші!AX19</f>
        <v>47850.40000000001</v>
      </c>
      <c r="AY19" s="144"/>
      <c r="AZ19" s="144"/>
      <c r="BA19" s="144"/>
      <c r="BB19" s="144"/>
    </row>
    <row r="20" spans="1:54" ht="34.5" customHeight="1" hidden="1">
      <c r="A20" s="10" t="s">
        <v>3</v>
      </c>
      <c r="B20" s="158" t="s">
        <v>100</v>
      </c>
      <c r="C20" s="63">
        <f>'насел.'!C20+пільги!C20+субсидії!C20+'держ.бюджет'!C20+'місц.-районн.бюджет'!C20+обласний!C20+інші!C20</f>
        <v>0</v>
      </c>
      <c r="D20" s="63">
        <f>'насел.'!D20+пільги!D20+субсидії!D20+'держ.бюджет'!D20+'місц.-районн.бюджет'!D20+обласний!D20+інші!D20</f>
        <v>0</v>
      </c>
      <c r="E20" s="63">
        <f>'насел.'!E20+пільги!E20+субсидії!E20+'держ.бюджет'!E20+'місц.-районн.бюджет'!E20+обласний!E20+інші!E20</f>
        <v>0</v>
      </c>
      <c r="F20" s="62" t="e">
        <f t="shared" si="14"/>
        <v>#DIV/0!</v>
      </c>
      <c r="G20" s="63">
        <f>'насел.'!G20+пільги!G20+субсидії!G20+'держ.бюджет'!G20+'місц.-районн.бюджет'!G20+обласний!G20+інші!G20</f>
        <v>0</v>
      </c>
      <c r="H20" s="63">
        <f>'насел.'!H20+пільги!H20+субсидії!H20+'держ.бюджет'!H20+'місц.-районн.бюджет'!H20+обласний!H20+інші!H20</f>
        <v>0</v>
      </c>
      <c r="I20" s="62" t="e">
        <f t="shared" si="15"/>
        <v>#DIV/0!</v>
      </c>
      <c r="J20" s="63">
        <f>'насел.'!J20+пільги!J20+субсидії!J20+'держ.бюджет'!J20+'місц.-районн.бюджет'!J20+обласний!J20+інші!J20</f>
        <v>0</v>
      </c>
      <c r="K20" s="63">
        <f>'насел.'!K20+пільги!K20+субсидії!K20+'держ.бюджет'!K20+'місц.-районн.бюджет'!K20+обласний!K20+інші!K20</f>
        <v>0</v>
      </c>
      <c r="L20" s="62" t="e">
        <f t="shared" si="16"/>
        <v>#DIV/0!</v>
      </c>
      <c r="M20" s="62">
        <f>'насел.'!M20+пільги!M20+субсидії!M20+'держ.бюджет'!M20+'місц.-районн.бюджет'!M20+обласний!M20+інші!M20</f>
        <v>0</v>
      </c>
      <c r="N20" s="62">
        <f>'насел.'!N20+пільги!N20+субсидії!N20+'держ.бюджет'!N20+'місц.-районн.бюджет'!N20+обласний!N20+інші!N20</f>
        <v>0</v>
      </c>
      <c r="O20" s="62" t="e">
        <f t="shared" si="17"/>
        <v>#DIV/0!</v>
      </c>
      <c r="P20" s="63">
        <f>'насел.'!P20+пільги!P20+субсидії!P20+'держ.бюджет'!P20+'місц.-районн.бюджет'!P20+обласний!P20+інші!P20</f>
        <v>0</v>
      </c>
      <c r="Q20" s="63">
        <f>'насел.'!Q20+пільги!Q20+субсидії!Q20+'держ.бюджет'!Q20+'місц.-районн.бюджет'!Q20+обласний!Q20+інші!Q20</f>
        <v>0</v>
      </c>
      <c r="R20" s="63" t="e">
        <f t="shared" si="18"/>
        <v>#DIV/0!</v>
      </c>
      <c r="S20" s="63">
        <f>'насел.'!S20+пільги!S20+субсидії!S20+'держ.бюджет'!S20+'місц.-районн.бюджет'!S20+обласний!S20+інші!S20</f>
        <v>0</v>
      </c>
      <c r="T20" s="63">
        <f>'насел.'!T20+пільги!T20+субсидії!T20+'держ.бюджет'!T20+'місц.-районн.бюджет'!T20+обласний!T20+інші!T20</f>
        <v>0</v>
      </c>
      <c r="U20" s="62" t="e">
        <f t="shared" si="19"/>
        <v>#DIV/0!</v>
      </c>
      <c r="V20" s="63">
        <f>'насел.'!V20+пільги!V20+субсидії!V20+'держ.бюджет'!V20+'місц.-районн.бюджет'!V20+обласний!V20+інші!V20</f>
        <v>0</v>
      </c>
      <c r="W20" s="63">
        <f>'насел.'!W20+пільги!W20+субсидії!W20+'держ.бюджет'!W20+'місц.-районн.бюджет'!W20+обласний!W20+інші!W20</f>
        <v>0</v>
      </c>
      <c r="X20" s="62" t="e">
        <f t="shared" si="20"/>
        <v>#DIV/0!</v>
      </c>
      <c r="Y20" s="63">
        <f>'насел.'!Y20+пільги!Y20+субсидії!Y20+'держ.бюджет'!Y20+'місц.-районн.бюджет'!Y20+обласний!Y20+інші!Y20</f>
        <v>0</v>
      </c>
      <c r="Z20" s="63">
        <f>'насел.'!Z20+пільги!Z20+субсидії!Z20+'держ.бюджет'!Z20+'місц.-районн.бюджет'!Z20+обласний!Z20+інші!Z20</f>
        <v>0</v>
      </c>
      <c r="AA20" s="62" t="e">
        <f t="shared" si="21"/>
        <v>#DIV/0!</v>
      </c>
      <c r="AB20" s="63">
        <f>'насел.'!AB20+пільги!AB20+субсидії!AB20+'держ.бюджет'!AB20+'місц.-районн.бюджет'!AB20+обласний!AB20+інші!AB20</f>
        <v>0</v>
      </c>
      <c r="AC20" s="63">
        <f>'насел.'!AC20+пільги!AC20+субсидії!AC20+'держ.бюджет'!AC20+'місц.-районн.бюджет'!AC20+обласний!AC20+інші!AC20</f>
        <v>0</v>
      </c>
      <c r="AD20" s="62" t="e">
        <f t="shared" si="22"/>
        <v>#DIV/0!</v>
      </c>
      <c r="AE20" s="63">
        <f>'насел.'!AE20+пільги!AE20+субсидії!AE20+'держ.бюджет'!AE20+'місц.-районн.бюджет'!AE20+обласний!AE20+інші!AE20</f>
        <v>0</v>
      </c>
      <c r="AF20" s="63">
        <f>'насел.'!AF20+пільги!AF20+субсидії!AF20+'держ.бюджет'!AF20+'місц.-районн.бюджет'!AF20+обласний!AF20+інші!AF20</f>
        <v>0</v>
      </c>
      <c r="AG20" s="62" t="e">
        <f t="shared" si="23"/>
        <v>#DIV/0!</v>
      </c>
      <c r="AH20" s="63">
        <f>'насел.'!AH20+пільги!AH20+субсидії!AH20+'держ.бюджет'!AH20+'місц.-районн.бюджет'!AH20+обласний!AH20+інші!AH20</f>
        <v>0</v>
      </c>
      <c r="AI20" s="63">
        <f>'насел.'!AI20+пільги!AI20+субсидії!AI20+'держ.бюджет'!AI20+'місц.-районн.бюджет'!AI20+обласний!AI20+інші!AI20</f>
        <v>0</v>
      </c>
      <c r="AJ20" s="62" t="e">
        <f t="shared" si="24"/>
        <v>#DIV/0!</v>
      </c>
      <c r="AK20" s="79">
        <f>'насел.'!AK20+пільги!AR20+субсидії!AK20+'держ.бюджет'!AK20+'місц.-районн.бюджет'!AK20+обласний!AK20+інші!AK20</f>
        <v>0</v>
      </c>
      <c r="AL20" s="63">
        <f>'насел.'!AL20+пільги!AK20+субсидії!AL20+'держ.бюджет'!AL20+'місц.-районн.бюджет'!AL20+обласний!AL20+інші!AL20</f>
        <v>0</v>
      </c>
      <c r="AM20" s="63" t="e">
        <f t="shared" si="25"/>
        <v>#DIV/0!</v>
      </c>
      <c r="AN20" s="79">
        <f>'насел.'!AN20+пільги!AN20+субсидії!AN20+'держ.бюджет'!AN20+'місц.-районн.бюджет'!AN20+обласний!AN20+інші!AN20</f>
        <v>0</v>
      </c>
      <c r="AO20" s="63">
        <f>'насел.'!AO20+пільги!AN20+субсидії!AO20+'держ.бюджет'!AO20+'місц.-районн.бюджет'!AO20+обласний!AO20+інші!AO20</f>
        <v>0</v>
      </c>
      <c r="AP20" s="63">
        <f>'насел.'!AP20+пільги!AO20+субсидії!AP20+'держ.бюджет'!AP20+'місц.-районн.бюджет'!AP20+обласний!AP20+інші!AP20</f>
        <v>0</v>
      </c>
      <c r="AQ20" s="63">
        <f>'насел.'!AQ20+пільги!AP20+субсидії!AQ20+'держ.бюджет'!AQ20+'місц.-районн.бюджет'!AQ20+обласний!AQ20+інші!AQ20</f>
        <v>0</v>
      </c>
      <c r="AR20" s="63">
        <f>'насел.'!AR20+пільги!AQ20+субсидії!AR20+'держ.бюджет'!AR20+'місц.-районн.бюджет'!AR20+обласний!AR20+інші!AR20</f>
        <v>0</v>
      </c>
      <c r="AS20" s="63">
        <f>'насел.'!AS20+пільги!AR20+субсидії!AS20+'держ.бюджет'!AS20+'місц.-районн.бюджет'!AS20+обласний!AS20+інші!AS20</f>
        <v>0</v>
      </c>
      <c r="AT20" s="63">
        <f>'насел.'!AT20+пільги!AT20+субсидії!AT20+'держ.бюджет'!AT20+'місц.-районн.бюджет'!AT20+обласний!AT20+інші!AT20</f>
        <v>0</v>
      </c>
      <c r="AU20" s="63">
        <f>'насел.'!AU20+пільги!AU20+субсидії!AU20+'держ.бюджет'!AU20+'місц.-районн.бюджет'!AU20+обласний!AU20+інші!AU20</f>
        <v>0</v>
      </c>
      <c r="AV20" s="62" t="e">
        <f t="shared" si="26"/>
        <v>#DIV/0!</v>
      </c>
      <c r="AW20" s="63">
        <f t="shared" si="13"/>
        <v>0</v>
      </c>
      <c r="AX20" s="66">
        <f>'насел.'!AX20+пільги!AX20+субсидії!AX20+'держ.бюджет'!AX20+'місц.-районн.бюджет'!AX20+обласний!AX20+інші!AX20</f>
        <v>0</v>
      </c>
      <c r="AY20" s="144"/>
      <c r="AZ20" s="144"/>
      <c r="BA20" s="144"/>
      <c r="BB20" s="144"/>
    </row>
    <row r="21" spans="1:54" s="35" customFormat="1" ht="34.5" customHeight="1">
      <c r="A21" s="159" t="s">
        <v>6</v>
      </c>
      <c r="B21" s="110" t="s">
        <v>151</v>
      </c>
      <c r="C21" s="63">
        <f>'насел.'!C21+пільги!C21+субсидії!C21+'держ.бюджет'!C21+'місц.-районн.бюджет'!C21+обласний!C21+інші!C21</f>
        <v>-170.6</v>
      </c>
      <c r="D21" s="63">
        <f>'насел.'!D21+пільги!D21+субсидії!D21+'держ.бюджет'!D21+'місц.-районн.бюджет'!D21+обласний!D21+інші!D21</f>
        <v>604.7</v>
      </c>
      <c r="E21" s="63">
        <f>'насел.'!E21+пільги!E21+субсидії!E21+'держ.бюджет'!E21+'місц.-районн.бюджет'!E21+обласний!E21+інші!E21</f>
        <v>434.1</v>
      </c>
      <c r="F21" s="62">
        <f t="shared" si="14"/>
        <v>71.78766330411774</v>
      </c>
      <c r="G21" s="63">
        <f>'насел.'!G21+пільги!G21+субсидії!G21+'держ.бюджет'!G21+'місц.-районн.бюджет'!G21+обласний!G21+інші!G21</f>
        <v>669.3</v>
      </c>
      <c r="H21" s="63">
        <f>'насел.'!H21+пільги!H21+субсидії!H21+'держ.бюджет'!H21+'місц.-районн.бюджет'!H21+обласний!H21+інші!H21</f>
        <v>0</v>
      </c>
      <c r="I21" s="62">
        <f t="shared" si="15"/>
        <v>0</v>
      </c>
      <c r="J21" s="63">
        <f>'насел.'!J21+пільги!J21+субсидії!J21+'держ.бюджет'!J21+'місц.-районн.бюджет'!J21+обласний!J21+інші!J21</f>
        <v>715</v>
      </c>
      <c r="K21" s="63">
        <f>'насел.'!K21+пільги!K21+субсидії!K21+'держ.бюджет'!K21+'місц.-районн.бюджет'!K21+обласний!K21+інші!K21</f>
        <v>669.3</v>
      </c>
      <c r="L21" s="160">
        <f t="shared" si="16"/>
        <v>93.6083916083916</v>
      </c>
      <c r="M21" s="62">
        <f>'насел.'!M21+пільги!M21+субсидії!M21+'держ.бюджет'!M21+'місц.-районн.бюджет'!M21+обласний!M21+інші!M21</f>
        <v>1989</v>
      </c>
      <c r="N21" s="62">
        <f>'насел.'!N21+пільги!N21+субсидії!N21+'держ.бюджет'!N21+'місц.-районн.бюджет'!N21+обласний!N21+інші!N21</f>
        <v>1103.4</v>
      </c>
      <c r="O21" s="62">
        <f t="shared" si="17"/>
        <v>55.47511312217195</v>
      </c>
      <c r="P21" s="63">
        <f>'насел.'!P21+пільги!P21+субсидії!P21+'держ.бюджет'!P21+'місц.-районн.бюджет'!P21+обласний!P21+інші!P21</f>
        <v>429.4</v>
      </c>
      <c r="Q21" s="63">
        <f>'насел.'!Q21+пільги!Q21+субсидії!Q21+'держ.бюджет'!Q21+'місц.-районн.бюджет'!Q21+обласний!Q21+інші!Q21</f>
        <v>715</v>
      </c>
      <c r="R21" s="63">
        <f t="shared" si="18"/>
        <v>166.5114112715417</v>
      </c>
      <c r="S21" s="63">
        <f>'насел.'!S21+пільги!S21+субсидії!S21+'держ.бюджет'!S21+'місц.-районн.бюджет'!S21+обласний!S21+інші!S21</f>
        <v>229.4</v>
      </c>
      <c r="T21" s="63">
        <f>'насел.'!T21+пільги!T21+субсидії!T21+'держ.бюджет'!T21+'місц.-районн.бюджет'!T21+обласний!T21+інші!T21</f>
        <v>429.4</v>
      </c>
      <c r="U21" s="161">
        <f t="shared" si="19"/>
        <v>187.18395815170007</v>
      </c>
      <c r="V21" s="63">
        <f>'насел.'!V21+пільги!V21+субсидії!V21+'держ.бюджет'!V21+'місц.-районн.бюджет'!V21+обласний!V21+інші!V21</f>
        <v>229.4</v>
      </c>
      <c r="W21" s="63">
        <f>'насел.'!W21+пільги!W21+субсидії!W21+'держ.бюджет'!W21+'місц.-районн.бюджет'!W21+обласний!W21+інші!W21</f>
        <v>229.4</v>
      </c>
      <c r="X21" s="161">
        <f t="shared" si="20"/>
        <v>100</v>
      </c>
      <c r="Y21" s="63">
        <f>'насел.'!Y21+пільги!Y21+субсидії!Y21+'держ.бюджет'!Y21+'місц.-районн.бюджет'!Y21+обласний!Y21+інші!Y21</f>
        <v>888.1999999999999</v>
      </c>
      <c r="Z21" s="63">
        <f>'насел.'!Z21+пільги!Z21+субсидії!Z21+'держ.бюджет'!Z21+'місц.-районн.бюджет'!Z21+обласний!Z21+інші!Z21</f>
        <v>1373.8000000000002</v>
      </c>
      <c r="AA21" s="62">
        <f t="shared" si="21"/>
        <v>154.67237108759292</v>
      </c>
      <c r="AB21" s="63">
        <f>'насел.'!AB21+пільги!AB21+субсидії!AB21+'держ.бюджет'!AB21+'місц.-районн.бюджет'!AB21+обласний!AB21+інші!AB21</f>
        <v>0</v>
      </c>
      <c r="AC21" s="63">
        <f>'насел.'!AC21+пільги!AC21+субсидії!AC21+'держ.бюджет'!AC21+'місц.-районн.бюджет'!AC21+обласний!AC21+інші!AC21</f>
        <v>0</v>
      </c>
      <c r="AD21" s="161" t="e">
        <f t="shared" si="22"/>
        <v>#DIV/0!</v>
      </c>
      <c r="AE21" s="63">
        <f>'насел.'!AE21+пільги!AE21+субсидії!AE21+'держ.бюджет'!AE21+'місц.-районн.бюджет'!AE21+обласний!AE21+інші!AE21</f>
        <v>0</v>
      </c>
      <c r="AF21" s="63">
        <f>'насел.'!AF21+пільги!AF21+субсидії!AF21+'держ.бюджет'!AF21+'місц.-районн.бюджет'!AF21+обласний!AF21+інші!AF21</f>
        <v>0</v>
      </c>
      <c r="AG21" s="62" t="e">
        <f t="shared" si="23"/>
        <v>#DIV/0!</v>
      </c>
      <c r="AH21" s="63">
        <f>'насел.'!AH21+пільги!AH21+субсидії!AH21+'держ.бюджет'!AH21+'місц.-районн.бюджет'!AH21+обласний!AH21+інші!AH21</f>
        <v>0</v>
      </c>
      <c r="AI21" s="63">
        <f>'насел.'!AI21+пільги!AI21+субсидії!AI21+'держ.бюджет'!AI21+'місц.-районн.бюджет'!AI21+обласний!AI21+інші!AI21</f>
        <v>0</v>
      </c>
      <c r="AJ21" s="62" t="e">
        <f t="shared" si="24"/>
        <v>#DIV/0!</v>
      </c>
      <c r="AK21" s="79">
        <f>'насел.'!AK21+пільги!AR21+субсидії!AK21+'держ.бюджет'!AK21+'місц.-районн.бюджет'!AK21+обласний!AK21+інші!AK21</f>
        <v>0</v>
      </c>
      <c r="AL21" s="63">
        <f>'насел.'!AL21+пільги!AK21+субсидії!AL21+'держ.бюджет'!AL21+'місц.-районн.бюджет'!AL21+обласний!AL21+інші!AL21</f>
        <v>0</v>
      </c>
      <c r="AM21" s="63" t="e">
        <f t="shared" si="25"/>
        <v>#DIV/0!</v>
      </c>
      <c r="AN21" s="79">
        <f>'насел.'!AN21+пільги!AN21+субсидії!AN21+'держ.бюджет'!AN21+'місц.-районн.бюджет'!AN21+обласний!AN21+інші!AN21</f>
        <v>0</v>
      </c>
      <c r="AO21" s="63">
        <f>'насел.'!AO21+пільги!AN21+субсидії!AO21+'держ.бюджет'!AO21+'місц.-районн.бюджет'!AO21+обласний!AO21+інші!AO21</f>
        <v>0</v>
      </c>
      <c r="AP21" s="63">
        <f>'насел.'!AP21+пільги!AO21+субсидії!AP21+'держ.бюджет'!AP21+'місц.-районн.бюджет'!AP21+обласний!AP21+інші!AP21</f>
        <v>0</v>
      </c>
      <c r="AQ21" s="63">
        <f>'насел.'!AQ21+пільги!AP21+субсидії!AQ21+'держ.бюджет'!AQ21+'місц.-районн.бюджет'!AQ21+обласний!AQ21+інші!AQ21</f>
        <v>0</v>
      </c>
      <c r="AR21" s="63">
        <f>'насел.'!AR21+пільги!AQ21+субсидії!AR21+'держ.бюджет'!AR21+'місц.-районн.бюджет'!AR21+обласний!AR21+інші!AR21</f>
        <v>0</v>
      </c>
      <c r="AS21" s="63">
        <f>'насел.'!AS21+пільги!AR21+субсидії!AS21+'держ.бюджет'!AS21+'місц.-районн.бюджет'!AS21+обласний!AS21+інші!AS21</f>
        <v>0</v>
      </c>
      <c r="AT21" s="63">
        <f>'насел.'!AT21+пільги!AT21+субсидії!AT21+'держ.бюджет'!AT21+'місц.-районн.бюджет'!AT21+обласний!AT21+інші!AT21</f>
        <v>2877.2</v>
      </c>
      <c r="AU21" s="63">
        <f>'насел.'!AU21+пільги!AU21+субсидії!AU21+'держ.бюджет'!AU21+'місц.-районн.бюджет'!AU21+обласний!AU21+інші!AU21</f>
        <v>2477.2000000000003</v>
      </c>
      <c r="AV21" s="62">
        <f t="shared" si="26"/>
        <v>86.09759488391492</v>
      </c>
      <c r="AW21" s="63">
        <f t="shared" si="13"/>
        <v>399.99999999999955</v>
      </c>
      <c r="AX21" s="66">
        <f>'насел.'!AX21+пільги!AX21+субсидії!AX21+'держ.бюджет'!AX21+'місц.-районн.бюджет'!AX21+обласний!AX21+інші!AX21</f>
        <v>229.39999999999964</v>
      </c>
      <c r="AY21" s="144"/>
      <c r="AZ21" s="144"/>
      <c r="BA21" s="144"/>
      <c r="BB21" s="144"/>
    </row>
    <row r="22" spans="1:54" ht="34.5" customHeight="1" hidden="1">
      <c r="A22" s="10" t="s">
        <v>2</v>
      </c>
      <c r="B22" s="110" t="s">
        <v>83</v>
      </c>
      <c r="C22" s="63">
        <f>'насел.'!C22+пільги!C22+субсидії!C22+'держ.бюджет'!C22+'місц.-районн.бюджет'!C22+обласний!C22+інші!C22</f>
        <v>0</v>
      </c>
      <c r="D22" s="63">
        <f>'насел.'!D22+пільги!D22+субсидії!D22+'держ.бюджет'!D22+'місц.-районн.бюджет'!D22+обласний!D22+інші!D22</f>
        <v>0</v>
      </c>
      <c r="E22" s="63">
        <f>'насел.'!E22+пільги!E22+субсидії!E22+'держ.бюджет'!E22+'місц.-районн.бюджет'!E22+обласний!E22+інші!E22</f>
        <v>0</v>
      </c>
      <c r="F22" s="62" t="e">
        <f t="shared" si="14"/>
        <v>#DIV/0!</v>
      </c>
      <c r="G22" s="63">
        <f>'насел.'!G22+пільги!G22+субсидії!G22+'держ.бюджет'!G22+'місц.-районн.бюджет'!G22+обласний!G22+інші!G22</f>
        <v>0</v>
      </c>
      <c r="H22" s="63">
        <f>'насел.'!H22+пільги!H22+субсидії!H22+'держ.бюджет'!H22+'місц.-районн.бюджет'!H22+обласний!H22+інші!H22</f>
        <v>0</v>
      </c>
      <c r="I22" s="62" t="e">
        <f t="shared" si="15"/>
        <v>#DIV/0!</v>
      </c>
      <c r="J22" s="63">
        <f>'насел.'!J22+пільги!J22+субсидії!J22+'держ.бюджет'!J22+'місц.-районн.бюджет'!J22+обласний!J22+інші!J22</f>
        <v>0</v>
      </c>
      <c r="K22" s="63">
        <f>'насел.'!K22+пільги!K22+субсидії!K22+'держ.бюджет'!K22+'місц.-районн.бюджет'!K22+обласний!K22+інші!K22</f>
        <v>0</v>
      </c>
      <c r="L22" s="62" t="e">
        <f t="shared" si="16"/>
        <v>#DIV/0!</v>
      </c>
      <c r="M22" s="62">
        <f>'насел.'!M22+пільги!M22+субсидії!M22+'держ.бюджет'!M22+'місц.-районн.бюджет'!M22+обласний!M22+інші!M22</f>
        <v>0</v>
      </c>
      <c r="N22" s="62">
        <f>'насел.'!N22+пільги!N22+субсидії!N22+'держ.бюджет'!N22+'місц.-районн.бюджет'!N22+обласний!N22+інші!N22</f>
        <v>0</v>
      </c>
      <c r="O22" s="62" t="e">
        <f t="shared" si="17"/>
        <v>#DIV/0!</v>
      </c>
      <c r="P22" s="63">
        <f>'насел.'!P22+пільги!P22+субсидії!P22+'держ.бюджет'!P22+'місц.-районн.бюджет'!P22+обласний!P22+інші!P22</f>
        <v>0</v>
      </c>
      <c r="Q22" s="63">
        <f>'насел.'!Q22+пільги!Q22+субсидії!Q22+'держ.бюджет'!Q22+'місц.-районн.бюджет'!Q22+обласний!Q22+інші!Q22</f>
        <v>0</v>
      </c>
      <c r="R22" s="63" t="e">
        <f t="shared" si="18"/>
        <v>#DIV/0!</v>
      </c>
      <c r="S22" s="63">
        <f>'насел.'!S22+пільги!S22+субсидії!S22+'держ.бюджет'!S22+'місц.-районн.бюджет'!S22+обласний!S22+інші!S22</f>
        <v>0</v>
      </c>
      <c r="T22" s="63">
        <f>'насел.'!T22+пільги!T22+субсидії!T22+'держ.бюджет'!T22+'місц.-районн.бюджет'!T22+обласний!T22+інші!T22</f>
        <v>0</v>
      </c>
      <c r="U22" s="62" t="e">
        <f t="shared" si="19"/>
        <v>#DIV/0!</v>
      </c>
      <c r="V22" s="63">
        <f>'насел.'!V22+пільги!V22+субсидії!V22+'держ.бюджет'!V22+'місц.-районн.бюджет'!V22+обласний!V22+інші!V22</f>
        <v>0</v>
      </c>
      <c r="W22" s="63">
        <f>'насел.'!W22+пільги!W22+субсидії!W22+'держ.бюджет'!W22+'місц.-районн.бюджет'!W22+обласний!W22+інші!W22</f>
        <v>0</v>
      </c>
      <c r="X22" s="62" t="e">
        <f t="shared" si="20"/>
        <v>#DIV/0!</v>
      </c>
      <c r="Y22" s="63">
        <f>'насел.'!Y22+пільги!Y22+субсидії!Y22+'держ.бюджет'!Y22+'місц.-районн.бюджет'!Y22+обласний!Y22+інші!Y22</f>
        <v>0</v>
      </c>
      <c r="Z22" s="63">
        <f>'насел.'!Z22+пільги!Z22+субсидії!Z22+'держ.бюджет'!Z22+'місц.-районн.бюджет'!Z22+обласний!Z22+інші!Z22</f>
        <v>0</v>
      </c>
      <c r="AA22" s="62" t="e">
        <f t="shared" si="21"/>
        <v>#DIV/0!</v>
      </c>
      <c r="AB22" s="63">
        <f>'насел.'!AB22+пільги!AB22+субсидії!AB22+'держ.бюджет'!AB22+'місц.-районн.бюджет'!AB22+обласний!AB22+інші!AB22</f>
        <v>0</v>
      </c>
      <c r="AC22" s="63">
        <f>'насел.'!AC22+пільги!AC22+субсидії!AC22+'держ.бюджет'!AC22+'місц.-районн.бюджет'!AC22+обласний!AC22+інші!AC22</f>
        <v>0</v>
      </c>
      <c r="AD22" s="62" t="e">
        <f t="shared" si="22"/>
        <v>#DIV/0!</v>
      </c>
      <c r="AE22" s="63">
        <f>'насел.'!AE22+пільги!AE22+субсидії!AE22+'держ.бюджет'!AE22+'місц.-районн.бюджет'!AE22+обласний!AE22+інші!AE22</f>
        <v>0</v>
      </c>
      <c r="AF22" s="63">
        <f>'насел.'!AF22+пільги!AF22+субсидії!AF22+'держ.бюджет'!AF22+'місц.-районн.бюджет'!AF22+обласний!AF22+інші!AF22</f>
        <v>0</v>
      </c>
      <c r="AG22" s="62" t="e">
        <f t="shared" si="23"/>
        <v>#DIV/0!</v>
      </c>
      <c r="AH22" s="63">
        <f>'насел.'!AH22+пільги!AH22+субсидії!AH22+'держ.бюджет'!AH22+'місц.-районн.бюджет'!AH22+обласний!AH22+інші!AH22</f>
        <v>0</v>
      </c>
      <c r="AI22" s="63">
        <f>'насел.'!AI22+пільги!AI22+субсидії!AI22+'держ.бюджет'!AI22+'місц.-районн.бюджет'!AI22+обласний!AI22+інші!AI22</f>
        <v>0</v>
      </c>
      <c r="AJ22" s="62" t="e">
        <f t="shared" si="24"/>
        <v>#DIV/0!</v>
      </c>
      <c r="AK22" s="79">
        <f>'насел.'!AK22+пільги!AR22+субсидії!AK22+'держ.бюджет'!AK22+'місц.-районн.бюджет'!AK22+обласний!AK22+інші!AK22</f>
        <v>0</v>
      </c>
      <c r="AL22" s="63">
        <f>'насел.'!AL22+пільги!AK22+субсидії!AL22+'держ.бюджет'!AL22+'місц.-районн.бюджет'!AL22+обласний!AL22+інші!AL22</f>
        <v>0</v>
      </c>
      <c r="AM22" s="63" t="e">
        <f t="shared" si="25"/>
        <v>#DIV/0!</v>
      </c>
      <c r="AN22" s="79">
        <f>'насел.'!AN22+пільги!AN22+субсидії!AN22+'держ.бюджет'!AN22+'місц.-районн.бюджет'!AN22+обласний!AN22+інші!AN22</f>
        <v>0</v>
      </c>
      <c r="AO22" s="63">
        <f>'насел.'!AO22+пільги!AN22+субсидії!AO22+'держ.бюджет'!AO22+'місц.-районн.бюджет'!AO22+обласний!AO22+інші!AO22</f>
        <v>0</v>
      </c>
      <c r="AP22" s="63">
        <f>'насел.'!AP22+пільги!AO22+субсидії!AP22+'держ.бюджет'!AP22+'місц.-районн.бюджет'!AP22+обласний!AP22+інші!AP22</f>
        <v>0</v>
      </c>
      <c r="AQ22" s="63">
        <f>'насел.'!AQ22+пільги!AP22+субсидії!AQ22+'держ.бюджет'!AQ22+'місц.-районн.бюджет'!AQ22+обласний!AQ22+інші!AQ22</f>
        <v>0</v>
      </c>
      <c r="AR22" s="63">
        <f>'насел.'!AR22+пільги!AQ22+субсидії!AR22+'держ.бюджет'!AR22+'місц.-районн.бюджет'!AR22+обласний!AR22+інші!AR22</f>
        <v>0</v>
      </c>
      <c r="AS22" s="63">
        <f>'насел.'!AS22+пільги!AR22+субсидії!AS22+'держ.бюджет'!AS22+'місц.-районн.бюджет'!AS22+обласний!AS22+інші!AS22</f>
        <v>0</v>
      </c>
      <c r="AT22" s="63">
        <f>'насел.'!AT22+пільги!AT22+субсидії!AT22+'держ.бюджет'!AT22+'місц.-районн.бюджет'!AT22+обласний!AT22+інші!AT22</f>
        <v>0</v>
      </c>
      <c r="AU22" s="63">
        <f>'насел.'!AU22+пільги!AU22+субсидії!AU22+'держ.бюджет'!AU22+'місц.-районн.бюджет'!AU22+обласний!AU22+інші!AU22</f>
        <v>0</v>
      </c>
      <c r="AV22" s="62" t="e">
        <f t="shared" si="26"/>
        <v>#DIV/0!</v>
      </c>
      <c r="AW22" s="63">
        <f t="shared" si="13"/>
        <v>0</v>
      </c>
      <c r="AX22" s="66">
        <f>'насел.'!AX22+пільги!AX22+субсидії!AX22+'держ.бюджет'!AX22+'місц.-районн.бюджет'!AX22+обласний!AX22+інші!AX22</f>
        <v>0</v>
      </c>
      <c r="AY22" s="144"/>
      <c r="AZ22" s="144"/>
      <c r="BA22" s="144"/>
      <c r="BB22" s="144"/>
    </row>
    <row r="23" spans="1:54" ht="34.5" customHeight="1">
      <c r="A23" s="10" t="s">
        <v>18</v>
      </c>
      <c r="B23" s="156" t="s">
        <v>35</v>
      </c>
      <c r="C23" s="79">
        <f>'насел.'!C23+пільги!C23+субсидії!C23+'держ.бюджет'!C23+'місц.-районн.бюджет'!C23+обласний!C23+інші!C23</f>
        <v>20198.100000000002</v>
      </c>
      <c r="D23" s="79">
        <f>'насел.'!D23+пільги!D23+субсидії!D23+'держ.бюджет'!D23+'місц.-районн.бюджет'!D23+обласний!D23+інші!D23</f>
        <v>20163.199999999997</v>
      </c>
      <c r="E23" s="79">
        <f>'насел.'!E23+пільги!E23+субсидії!E23+'держ.бюджет'!E23+'місц.-районн.бюджет'!E23+обласний!E23+інші!E23</f>
        <v>7662.3</v>
      </c>
      <c r="F23" s="58">
        <f t="shared" si="14"/>
        <v>38.001408506586266</v>
      </c>
      <c r="G23" s="79">
        <f>'насел.'!G23+пільги!G23+субсидії!G23+'держ.бюджет'!G23+'місц.-районн.бюджет'!G23+обласний!G23+інші!G23</f>
        <v>19472.5</v>
      </c>
      <c r="H23" s="79">
        <f>'насел.'!H23+пільги!H23+субсидії!H23+'держ.бюджет'!H23+'місц.-районн.бюджет'!H23+обласний!H23+інші!H23</f>
        <v>13030.699999999999</v>
      </c>
      <c r="I23" s="58">
        <f t="shared" si="15"/>
        <v>66.91847477211451</v>
      </c>
      <c r="J23" s="79">
        <f>'насел.'!J23+пільги!J23+субсидії!J23+'держ.бюджет'!J23+'місц.-районн.бюджет'!J23+обласний!J23+інші!J23</f>
        <v>15981.7</v>
      </c>
      <c r="K23" s="79">
        <f>'насел.'!K23+пільги!K23+субсидії!K23+'держ.бюджет'!K23+'місц.-районн.бюджет'!K23+обласний!K23+інші!K23</f>
        <v>18912.5</v>
      </c>
      <c r="L23" s="58">
        <f t="shared" si="16"/>
        <v>118.33847463035848</v>
      </c>
      <c r="M23" s="58">
        <f>'насел.'!M23+пільги!M23+субсидії!M23+'держ.бюджет'!M23+'місц.-районн.бюджет'!M23+обласний!M23+інші!M23</f>
        <v>55617.4</v>
      </c>
      <c r="N23" s="58">
        <f>'насел.'!N23+пільги!N23+субсидії!N23+'держ.бюджет'!N23+'місц.-районн.бюджет'!N23+обласний!N23+інші!N23</f>
        <v>39605.5</v>
      </c>
      <c r="O23" s="58">
        <f t="shared" si="17"/>
        <v>71.21062832854467</v>
      </c>
      <c r="P23" s="79">
        <f>'насел.'!P23+пільги!P23+субсидії!P23+'держ.бюджет'!P23+'місц.-районн.бюджет'!P23+обласний!P23+інші!P23</f>
        <v>2472.5</v>
      </c>
      <c r="Q23" s="79">
        <f>'насел.'!Q23+пільги!Q23+субсидії!Q23+'держ.бюджет'!Q23+'місц.-районн.бюджет'!Q23+обласний!Q23+інші!Q23</f>
        <v>13271.8</v>
      </c>
      <c r="R23" s="79">
        <f t="shared" si="18"/>
        <v>536.7765419615773</v>
      </c>
      <c r="S23" s="79">
        <f>'насел.'!S23+пільги!S23+субсидії!S23+'держ.бюджет'!S23+'місц.-районн.бюджет'!S23+обласний!S23+інші!S23</f>
        <v>-231.9</v>
      </c>
      <c r="T23" s="79">
        <f>'насел.'!T23+пільги!T23+субсидії!T23+'держ.бюджет'!T23+'місц.-районн.бюджет'!T23+обласний!T23+інші!T23</f>
        <v>6575.799999999999</v>
      </c>
      <c r="U23" s="58">
        <f t="shared" si="19"/>
        <v>-2835.6188012074167</v>
      </c>
      <c r="V23" s="79">
        <f>'насел.'!V23+пільги!V23+субсидії!V23+'держ.бюджет'!V23+'місц.-районн.бюджет'!V23+обласний!V23+інші!V23</f>
        <v>-26</v>
      </c>
      <c r="W23" s="79">
        <f>'насел.'!W23+пільги!W23+субсидії!W23+'держ.бюджет'!W23+'місц.-районн.бюджет'!W23+обласний!W23+інші!W23</f>
        <v>1945.3</v>
      </c>
      <c r="X23" s="58">
        <f t="shared" si="20"/>
        <v>-7481.923076923077</v>
      </c>
      <c r="Y23" s="79">
        <f>'насел.'!Y23+пільги!Y23+субсидії!Y23+'держ.бюджет'!Y23+'місц.-районн.бюджет'!Y23+обласний!Y23+інші!Y23</f>
        <v>2214.6</v>
      </c>
      <c r="Z23" s="79">
        <f>'насел.'!Z23+пільги!Z23+субсидії!Z23+'держ.бюджет'!Z23+'місц.-районн.бюджет'!Z23+обласний!Z23+інші!Z23</f>
        <v>21792.9</v>
      </c>
      <c r="AA23" s="58">
        <f t="shared" si="21"/>
        <v>984.0558114332161</v>
      </c>
      <c r="AB23" s="79">
        <f>'насел.'!AB23+пільги!AB23+субсидії!AB23+'держ.бюджет'!AB23+'місц.-районн.бюджет'!AB23+обласний!AB23+інші!AB23</f>
        <v>0</v>
      </c>
      <c r="AC23" s="79">
        <f>'насел.'!AC23+пільги!AC23+субсидії!AC23+'держ.бюджет'!AC23+'місц.-районн.бюджет'!AC23+обласний!AC23+інші!AC23</f>
        <v>0</v>
      </c>
      <c r="AD23" s="58" t="e">
        <f t="shared" si="22"/>
        <v>#DIV/0!</v>
      </c>
      <c r="AE23" s="79">
        <f>'насел.'!AE23+пільги!AE23+субсидії!AE23+'держ.бюджет'!AE23+'місц.-районн.бюджет'!AE23+обласний!AE23+інші!AE23</f>
        <v>0</v>
      </c>
      <c r="AF23" s="79">
        <f>'насел.'!AF23+пільги!AF23+субсидії!AF23+'держ.бюджет'!AF23+'місц.-районн.бюджет'!AF23+обласний!AF23+інші!AF23</f>
        <v>0</v>
      </c>
      <c r="AG23" s="58" t="e">
        <f t="shared" si="23"/>
        <v>#DIV/0!</v>
      </c>
      <c r="AH23" s="79">
        <f>'насел.'!AH23+пільги!AH23+субсидії!AH23+'держ.бюджет'!AH23+'місц.-районн.бюджет'!AH23+обласний!AH23+інші!AH23</f>
        <v>0</v>
      </c>
      <c r="AI23" s="79">
        <f>'насел.'!AI23+пільги!AI23+субсидії!AI23+'держ.бюджет'!AI23+'місц.-районн.бюджет'!AI23+обласний!AI23+інші!AI23</f>
        <v>0</v>
      </c>
      <c r="AJ23" s="58" t="e">
        <f t="shared" si="24"/>
        <v>#DIV/0!</v>
      </c>
      <c r="AK23" s="79">
        <f>'насел.'!AK23+пільги!AR23+субсидії!AK23+'держ.бюджет'!AK23+'місц.-районн.бюджет'!AK23+обласний!AK23+інші!AK23</f>
        <v>0</v>
      </c>
      <c r="AL23" s="79">
        <f>'насел.'!AL23+пільги!AK23+субсидії!AL23+'держ.бюджет'!AL23+'місц.-районн.бюджет'!AL23+обласний!AL23+інші!AL23</f>
        <v>0</v>
      </c>
      <c r="AM23" s="79" t="e">
        <f t="shared" si="25"/>
        <v>#DIV/0!</v>
      </c>
      <c r="AN23" s="79">
        <f>'насел.'!AN23+пільги!AN23+субсидії!AN23+'держ.бюджет'!AN23+'місц.-районн.бюджет'!AN23+обласний!AN23+інші!AN23</f>
        <v>0</v>
      </c>
      <c r="AO23" s="79">
        <f>'насел.'!AO23+пільги!AN23+субсидії!AO23+'держ.бюджет'!AO23+'місц.-районн.бюджет'!AO23+обласний!AO23+інші!AO23</f>
        <v>0</v>
      </c>
      <c r="AP23" s="79">
        <f>'насел.'!AP23+пільги!AO23+субсидії!AP23+'держ.бюджет'!AP23+'місц.-районн.бюджет'!AP23+обласний!AP23+інші!AP23</f>
        <v>0</v>
      </c>
      <c r="AQ23" s="79">
        <f>'насел.'!AQ23+пільги!AP23+субсидії!AQ23+'держ.бюджет'!AQ23+'місц.-районн.бюджет'!AQ23+обласний!AQ23+інші!AQ23</f>
        <v>0</v>
      </c>
      <c r="AR23" s="79">
        <f>'насел.'!AR23+пільги!AQ23+субсидії!AR23+'держ.бюджет'!AR23+'місц.-районн.бюджет'!AR23+обласний!AR23+інші!AR23</f>
        <v>0</v>
      </c>
      <c r="AS23" s="79">
        <f>'насел.'!AS23+пільги!AR23+субсидії!AS23+'держ.бюджет'!AS23+'місц.-районн.бюджет'!AS23+обласний!AS23+інші!AS23</f>
        <v>0</v>
      </c>
      <c r="AT23" s="79">
        <f>'насел.'!AT23+пільги!AT23+субсидії!AT23+'держ.бюджет'!AT23+'місц.-районн.бюджет'!AT23+обласний!AT23+інші!AT23</f>
        <v>57832</v>
      </c>
      <c r="AU23" s="79">
        <f>'насел.'!AU23+пільги!AU23+субсидії!AU23+'держ.бюджет'!AU23+'місц.-районн.бюджет'!AU23+обласний!AU23+інші!AU23</f>
        <v>61398.399999999994</v>
      </c>
      <c r="AV23" s="58">
        <f t="shared" si="26"/>
        <v>106.1668280536727</v>
      </c>
      <c r="AW23" s="79">
        <f t="shared" si="13"/>
        <v>-3566.399999999994</v>
      </c>
      <c r="AX23" s="66">
        <f>'насел.'!AX23+пільги!AX23+субсидії!AX23+'держ.бюджет'!AX23+'місц.-районн.бюджет'!AX23+обласний!AX23+інші!AX23</f>
        <v>16631.70000000001</v>
      </c>
      <c r="AY23" s="150"/>
      <c r="AZ23" s="150"/>
      <c r="BA23" s="150"/>
      <c r="BB23" s="150"/>
    </row>
    <row r="24" spans="1:54" ht="34.5" customHeight="1">
      <c r="A24" s="10" t="s">
        <v>12</v>
      </c>
      <c r="B24" s="153" t="s">
        <v>152</v>
      </c>
      <c r="C24" s="63">
        <f>'насел.'!C24+пільги!C24+субсидії!C24+'держ.бюджет'!C24+'місц.-районн.бюджет'!C24+обласний!C24+інші!C24</f>
        <v>-94.5</v>
      </c>
      <c r="D24" s="63">
        <f>'насел.'!D24+пільги!D24+субсидії!D24+'держ.бюджет'!D24+'місц.-районн.бюджет'!D24+обласний!D24+інші!D24</f>
        <v>515.4</v>
      </c>
      <c r="E24" s="63">
        <f>'насел.'!E24+пільги!E24+субсидії!E24+'держ.бюджет'!E24+'місц.-районн.бюджет'!E24+обласний!E24+інші!E24</f>
        <v>0</v>
      </c>
      <c r="F24" s="62">
        <f t="shared" si="14"/>
        <v>0</v>
      </c>
      <c r="G24" s="63">
        <f>'насел.'!G24+пільги!G24+субсидії!G24+'держ.бюджет'!G24+'місц.-районн.бюджет'!G24+обласний!G24+інші!G24</f>
        <v>719.5999999999999</v>
      </c>
      <c r="H24" s="63">
        <f>'насел.'!H24+пільги!H24+субсидії!H24+'держ.бюджет'!H24+'місц.-районн.бюджет'!H24+обласний!H24+інші!H24</f>
        <v>270.1</v>
      </c>
      <c r="I24" s="62">
        <f t="shared" si="15"/>
        <v>37.53474152306838</v>
      </c>
      <c r="J24" s="63">
        <f>'насел.'!J24+пільги!J24+субсидії!J24+'держ.бюджет'!J24+'місц.-районн.бюджет'!J24+обласний!J24+інші!J24</f>
        <v>575.7</v>
      </c>
      <c r="K24" s="63">
        <f>'насел.'!K24+пільги!K24+субсидії!K24+'держ.бюджет'!K24+'місц.-районн.бюджет'!K24+обласний!K24+інші!K24</f>
        <v>756.7</v>
      </c>
      <c r="L24" s="62">
        <f t="shared" si="16"/>
        <v>131.43998610387357</v>
      </c>
      <c r="M24" s="62">
        <f>'насел.'!M24+пільги!M24+субсидії!M24+'держ.бюджет'!M24+'місц.-районн.бюджет'!M24+обласний!M24+інші!M24</f>
        <v>1810.6999999999998</v>
      </c>
      <c r="N24" s="62">
        <f>'насел.'!N24+пільги!N24+субсидії!N24+'держ.бюджет'!N24+'місц.-районн.бюджет'!N24+обласний!N24+інші!N24</f>
        <v>1026.8000000000002</v>
      </c>
      <c r="O24" s="62">
        <f t="shared" si="17"/>
        <v>56.70735074832939</v>
      </c>
      <c r="P24" s="63">
        <f>'насел.'!P24+пільги!P24+субсидії!P24+'держ.бюджет'!P24+'місц.-районн.бюджет'!P24+обласний!P24+інші!P24</f>
        <v>118.3</v>
      </c>
      <c r="Q24" s="63">
        <f>'насел.'!Q24+пільги!Q24+субсидії!Q24+'держ.бюджет'!Q24+'місц.-районн.бюджет'!Q24+обласний!Q24+інші!Q24</f>
        <v>618.5</v>
      </c>
      <c r="R24" s="63">
        <f t="shared" si="18"/>
        <v>522.8233305156382</v>
      </c>
      <c r="S24" s="63">
        <f>'насел.'!S24+пільги!S24+субсидії!S24+'держ.бюджет'!S24+'місц.-районн.бюджет'!S24+обласний!S24+інші!S24</f>
        <v>0</v>
      </c>
      <c r="T24" s="63">
        <f>'насел.'!T24+пільги!T24+субсидії!T24+'держ.бюджет'!T24+'місц.-районн.бюджет'!T24+обласний!T24+інші!T24</f>
        <v>159.5</v>
      </c>
      <c r="U24" s="62" t="e">
        <f t="shared" si="19"/>
        <v>#DIV/0!</v>
      </c>
      <c r="V24" s="63">
        <f>'насел.'!V24+пільги!V24+субсидії!V24+'держ.бюджет'!V24+'місц.-районн.бюджет'!V24+обласний!V24+інші!V24</f>
        <v>0</v>
      </c>
      <c r="W24" s="63">
        <f>'насел.'!W24+пільги!W24+субсидії!W24+'держ.бюджет'!W24+'місц.-районн.бюджет'!W24+обласний!W24+інші!W24</f>
        <v>29.8</v>
      </c>
      <c r="X24" s="62" t="e">
        <f t="shared" si="20"/>
        <v>#DIV/0!</v>
      </c>
      <c r="Y24" s="63">
        <f>'насел.'!Y24+пільги!Y24+субсидії!Y24+'держ.бюджет'!Y24+'місц.-районн.бюджет'!Y24+обласний!Y24+інші!Y24</f>
        <v>118.3</v>
      </c>
      <c r="Z24" s="63">
        <f>'насел.'!Z24+пільги!Z24+субсидії!Z24+'держ.бюджет'!Z24+'місц.-районн.бюджет'!Z24+обласний!Z24+інші!Z24</f>
        <v>807.8</v>
      </c>
      <c r="AA24" s="62">
        <f t="shared" si="21"/>
        <v>682.8402366863905</v>
      </c>
      <c r="AB24" s="63">
        <f>'насел.'!AB24+пільги!AB24+субсидії!AB24+'держ.бюджет'!AB24+'місц.-районн.бюджет'!AB24+обласний!AB24+інші!AB24</f>
        <v>0</v>
      </c>
      <c r="AC24" s="63">
        <f>'насел.'!AC24+пільги!AC24+субсидії!AC24+'держ.бюджет'!AC24+'місц.-районн.бюджет'!AC24+обласний!AC24+інші!AC24</f>
        <v>0</v>
      </c>
      <c r="AD24" s="62" t="e">
        <f t="shared" si="22"/>
        <v>#DIV/0!</v>
      </c>
      <c r="AE24" s="63">
        <f>'насел.'!AE24+пільги!AE24+субсидії!AE24+'держ.бюджет'!AE24+'місц.-районн.бюджет'!AE24+обласний!AE24+інші!AE24</f>
        <v>0</v>
      </c>
      <c r="AF24" s="63">
        <f>'насел.'!AF24+пільги!AF24+субсидії!AF24+'держ.бюджет'!AF24+'місц.-районн.бюджет'!AF24+обласний!AF24+інші!AF24</f>
        <v>0</v>
      </c>
      <c r="AG24" s="62" t="e">
        <f t="shared" si="23"/>
        <v>#DIV/0!</v>
      </c>
      <c r="AH24" s="63">
        <f>'насел.'!AH24+пільги!AH24+субсидії!AH24+'держ.бюджет'!AH24+'місц.-районн.бюджет'!AH24+обласний!AH24+інші!AH24</f>
        <v>0</v>
      </c>
      <c r="AI24" s="63">
        <f>'насел.'!AI24+пільги!AI24+субсидії!AI24+'держ.бюджет'!AI24+'місц.-районн.бюджет'!AI24+обласний!AI24+інші!AI24</f>
        <v>0</v>
      </c>
      <c r="AJ24" s="62" t="e">
        <f t="shared" si="24"/>
        <v>#DIV/0!</v>
      </c>
      <c r="AK24" s="79">
        <f>'насел.'!AK24+пільги!AR24+субсидії!AK24+'держ.бюджет'!AK24+'місц.-районн.бюджет'!AK24+обласний!AK24+інші!AK24</f>
        <v>0</v>
      </c>
      <c r="AL24" s="63">
        <f>'насел.'!AL24+пільги!AK24+субсидії!AL24+'держ.бюджет'!AL24+'місц.-районн.бюджет'!AL24+обласний!AL24+інші!AL24</f>
        <v>0</v>
      </c>
      <c r="AM24" s="63" t="e">
        <f t="shared" si="25"/>
        <v>#DIV/0!</v>
      </c>
      <c r="AN24" s="79">
        <f>'насел.'!AN24+пільги!AN24+субсидії!AN24+'держ.бюджет'!AN24+'місц.-районн.бюджет'!AN24+обласний!AN24+інші!AN24</f>
        <v>0</v>
      </c>
      <c r="AO24" s="63">
        <f>'насел.'!AO24+пільги!AN24+субсидії!AO24+'держ.бюджет'!AO24+'місц.-районн.бюджет'!AO24+обласний!AO24+інші!AO24</f>
        <v>0</v>
      </c>
      <c r="AP24" s="63">
        <f>'насел.'!AP24+пільги!AO24+субсидії!AP24+'держ.бюджет'!AP24+'місц.-районн.бюджет'!AP24+обласний!AP24+інші!AP24</f>
        <v>0</v>
      </c>
      <c r="AQ24" s="63">
        <f>'насел.'!AQ24+пільги!AP24+субсидії!AQ24+'держ.бюджет'!AQ24+'місц.-районн.бюджет'!AQ24+обласний!AQ24+інші!AQ24</f>
        <v>0</v>
      </c>
      <c r="AR24" s="63">
        <f>'насел.'!AR24+пільги!AQ24+субсидії!AR24+'держ.бюджет'!AR24+'місц.-районн.бюджет'!AR24+обласний!AR24+інші!AR24</f>
        <v>0</v>
      </c>
      <c r="AS24" s="63">
        <f>'насел.'!AS24+пільги!AR24+субсидії!AS24+'держ.бюджет'!AS24+'місц.-районн.бюджет'!AS24+обласний!AS24+інші!AS24</f>
        <v>0</v>
      </c>
      <c r="AT24" s="63">
        <f>'насел.'!AT24+пільги!AT24+субсидії!AT24+'держ.бюджет'!AT24+'місц.-районн.бюджет'!AT24+обласний!AT24+інші!AT24</f>
        <v>1929</v>
      </c>
      <c r="AU24" s="63">
        <f>'насел.'!AU24+пільги!AU24+субсидії!AU24+'держ.бюджет'!AU24+'місц.-районн.бюджет'!AU24+обласний!AU24+інші!AU24</f>
        <v>1834.6000000000001</v>
      </c>
      <c r="AV24" s="62">
        <f t="shared" si="26"/>
        <v>95.10627268014517</v>
      </c>
      <c r="AW24" s="63">
        <f t="shared" si="13"/>
        <v>94.39999999999986</v>
      </c>
      <c r="AX24" s="66">
        <f>'насел.'!AX24+пільги!AX24+субсидії!AX24+'держ.бюджет'!AX24+'місц.-районн.бюджет'!AX24+обласний!AX24+інші!AX24</f>
        <v>-0.10000000000002274</v>
      </c>
      <c r="AY24" s="144"/>
      <c r="AZ24" s="144"/>
      <c r="BA24" s="144"/>
      <c r="BB24" s="144"/>
    </row>
    <row r="25" spans="1:54" ht="34.5" customHeight="1">
      <c r="A25" s="10" t="s">
        <v>16</v>
      </c>
      <c r="B25" s="153" t="s">
        <v>153</v>
      </c>
      <c r="C25" s="63">
        <f>'насел.'!C25+пільги!C25+субсидії!C25+'держ.бюджет'!C25+'місц.-районн.бюджет'!C25+обласний!C25+інші!C25</f>
        <v>-82.89999999999999</v>
      </c>
      <c r="D25" s="63">
        <f>'насел.'!D25+пільги!D25+субсидії!D25+'держ.бюджет'!D25+'місц.-районн.бюджет'!D25+обласний!D25+інші!D25</f>
        <v>2981.8999999999996</v>
      </c>
      <c r="E25" s="63">
        <f>'насел.'!E25+пільги!E25+субсидії!E25+'держ.бюджет'!E25+'місц.-районн.бюджет'!E25+обласний!E25+інші!E25</f>
        <v>0.5</v>
      </c>
      <c r="F25" s="62">
        <f t="shared" si="14"/>
        <v>0.016767832589959425</v>
      </c>
      <c r="G25" s="63">
        <f>'насел.'!G25+пільги!G25+субсидії!G25+'держ.бюджет'!G25+'місц.-районн.бюджет'!G25+обласний!G25+інші!G25</f>
        <v>2919.5</v>
      </c>
      <c r="H25" s="63">
        <f>'насел.'!H25+пільги!H25+субсидії!H25+'держ.бюджет'!H25+'місц.-районн.бюджет'!H25+обласний!H25+інші!H25</f>
        <v>2840.2</v>
      </c>
      <c r="I25" s="62">
        <f t="shared" si="15"/>
        <v>97.28378146942968</v>
      </c>
      <c r="J25" s="63">
        <f>'насел.'!J25+пільги!J25+субсидії!J25+'держ.бюджет'!J25+'місц.-районн.бюджет'!J25+обласний!J25+інші!J25</f>
        <v>2321.7000000000003</v>
      </c>
      <c r="K25" s="63">
        <f>'насел.'!K25+пільги!K25+субсидії!K25+'держ.бюджет'!K25+'місц.-районн.бюджет'!K25+обласний!K25+інші!K25</f>
        <v>2950.6</v>
      </c>
      <c r="L25" s="62">
        <f t="shared" si="16"/>
        <v>127.08790972132486</v>
      </c>
      <c r="M25" s="62">
        <f>'насел.'!M25+пільги!M25+субсидії!M25+'держ.бюджет'!M25+'місц.-районн.бюджет'!M25+обласний!M25+інші!M25</f>
        <v>8223.1</v>
      </c>
      <c r="N25" s="62">
        <f>'насел.'!N25+пільги!N25+субсидії!N25+'держ.бюджет'!N25+'місц.-районн.бюджет'!N25+обласний!N25+інші!N25</f>
        <v>5791.299999999999</v>
      </c>
      <c r="O25" s="62">
        <f t="shared" si="17"/>
        <v>70.42721114908002</v>
      </c>
      <c r="P25" s="63">
        <f>'насел.'!P25+пільги!P25+субсидії!P25+'держ.бюджет'!P25+'місц.-районн.бюджет'!P25+обласний!P25+інші!P25</f>
        <v>352.40000000000003</v>
      </c>
      <c r="Q25" s="63">
        <f>'насел.'!Q25+пільги!Q25+субсидії!Q25+'держ.бюджет'!Q25+'місц.-районн.бюджет'!Q25+обласний!Q25+інші!Q25</f>
        <v>2330.7</v>
      </c>
      <c r="R25" s="63">
        <f t="shared" si="18"/>
        <v>661.3791146424516</v>
      </c>
      <c r="S25" s="63">
        <f>'насел.'!S25+пільги!S25+субсидії!S25+'держ.бюджет'!S25+'місц.-районн.бюджет'!S25+обласний!S25+інші!S25</f>
        <v>0</v>
      </c>
      <c r="T25" s="63">
        <f>'насел.'!T25+пільги!T25+субсидії!T25+'держ.бюджет'!T25+'місц.-районн.бюджет'!T25+обласний!T25+інші!T25</f>
        <v>328.6</v>
      </c>
      <c r="U25" s="62" t="e">
        <f t="shared" si="19"/>
        <v>#DIV/0!</v>
      </c>
      <c r="V25" s="63">
        <f>'насел.'!V25+пільги!V25+субсидії!V25+'держ.бюджет'!V25+'місц.-районн.бюджет'!V25+обласний!V25+інші!V25</f>
        <v>0</v>
      </c>
      <c r="W25" s="63">
        <f>'насел.'!W25+пільги!W25+субсидії!W25+'держ.бюджет'!W25+'місц.-районн.бюджет'!W25+обласний!W25+інші!W25</f>
        <v>7.5</v>
      </c>
      <c r="X25" s="62" t="e">
        <f t="shared" si="20"/>
        <v>#DIV/0!</v>
      </c>
      <c r="Y25" s="63">
        <f>'насел.'!Y25+пільги!Y25+субсидії!Y25+'держ.бюджет'!Y25+'місц.-районн.бюджет'!Y25+обласний!Y25+інші!Y25</f>
        <v>352.40000000000003</v>
      </c>
      <c r="Z25" s="63">
        <f>'насел.'!Z25+пільги!Z25+субсидії!Z25+'держ.бюджет'!Z25+'місц.-районн.бюджет'!Z25+обласний!Z25+інші!Z25</f>
        <v>2666.7999999999997</v>
      </c>
      <c r="AA25" s="62">
        <f t="shared" si="21"/>
        <v>756.7536889897842</v>
      </c>
      <c r="AB25" s="63">
        <f>'насел.'!AB25+пільги!AB25+субсидії!AB25+'держ.бюджет'!AB25+'місц.-районн.бюджет'!AB25+обласний!AB25+інші!AB25</f>
        <v>0</v>
      </c>
      <c r="AC25" s="63">
        <f>'насел.'!AC25+пільги!AC25+субсидії!AC25+'держ.бюджет'!AC25+'місц.-районн.бюджет'!AC25+обласний!AC25+інші!AC25</f>
        <v>0</v>
      </c>
      <c r="AD25" s="62" t="e">
        <f t="shared" si="22"/>
        <v>#DIV/0!</v>
      </c>
      <c r="AE25" s="63">
        <f>'насел.'!AE25+пільги!AE25+субсидії!AE25+'держ.бюджет'!AE25+'місц.-районн.бюджет'!AE25+обласний!AE25+інші!AE25</f>
        <v>0</v>
      </c>
      <c r="AF25" s="63">
        <f>'насел.'!AF25+пільги!AF25+субсидії!AF25+'держ.бюджет'!AF25+'місц.-районн.бюджет'!AF25+обласний!AF25+інші!AF25</f>
        <v>0</v>
      </c>
      <c r="AG25" s="62" t="e">
        <f t="shared" si="23"/>
        <v>#DIV/0!</v>
      </c>
      <c r="AH25" s="63">
        <f>'насел.'!AH25+пільги!AH25+субсидії!AH25+'держ.бюджет'!AH25+'місц.-районн.бюджет'!AH25+обласний!AH25+інші!AH25</f>
        <v>0</v>
      </c>
      <c r="AI25" s="63">
        <f>'насел.'!AI25+пільги!AI25+субсидії!AI25+'держ.бюджет'!AI25+'місц.-районн.бюджет'!AI25+обласний!AI25+інші!AI25</f>
        <v>0</v>
      </c>
      <c r="AJ25" s="62" t="e">
        <f t="shared" si="24"/>
        <v>#DIV/0!</v>
      </c>
      <c r="AK25" s="79">
        <f>'насел.'!AK25+пільги!AR25+субсидії!AK25+'держ.бюджет'!AK25+'місц.-районн.бюджет'!AK25+обласний!AK25+інші!AK25</f>
        <v>0</v>
      </c>
      <c r="AL25" s="63">
        <f>'насел.'!AL25+пільги!AK25+субсидії!AL25+'держ.бюджет'!AL25+'місц.-районн.бюджет'!AL25+обласний!AL25+інші!AL25</f>
        <v>0</v>
      </c>
      <c r="AM25" s="63" t="e">
        <f t="shared" si="25"/>
        <v>#DIV/0!</v>
      </c>
      <c r="AN25" s="79">
        <f>'насел.'!AN25+пільги!AN25+субсидії!AN25+'держ.бюджет'!AN25+'місц.-районн.бюджет'!AN25+обласний!AN25+інші!AN25</f>
        <v>0</v>
      </c>
      <c r="AO25" s="63">
        <f>'насел.'!AO25+пільги!AN25+субсидії!AO25+'держ.бюджет'!AO25+'місц.-районн.бюджет'!AO25+обласний!AO25+інші!AO25</f>
        <v>0</v>
      </c>
      <c r="AP25" s="63">
        <f>'насел.'!AP25+пільги!AO25+субсидії!AP25+'держ.бюджет'!AP25+'місц.-районн.бюджет'!AP25+обласний!AP25+інші!AP25</f>
        <v>0</v>
      </c>
      <c r="AQ25" s="63">
        <f>'насел.'!AQ25+пільги!AP25+субсидії!AQ25+'держ.бюджет'!AQ25+'місц.-районн.бюджет'!AQ25+обласний!AQ25+інші!AQ25</f>
        <v>0</v>
      </c>
      <c r="AR25" s="63">
        <f>'насел.'!AR25+пільги!AQ25+субсидії!AR25+'держ.бюджет'!AR25+'місц.-районн.бюджет'!AR25+обласний!AR25+інші!AR25</f>
        <v>0</v>
      </c>
      <c r="AS25" s="63">
        <f>'насел.'!AS25+пільги!AR25+субсидії!AS25+'держ.бюджет'!AS25+'місц.-районн.бюджет'!AS25+обласний!AS25+інші!AS25</f>
        <v>0</v>
      </c>
      <c r="AT25" s="63">
        <f>'насел.'!AT25+пільги!AT25+субсидії!AT25+'держ.бюджет'!AT25+'місц.-районн.бюджет'!AT25+обласний!AT25+інші!AT25</f>
        <v>8575.5</v>
      </c>
      <c r="AU25" s="63">
        <f>'насел.'!AU25+пільги!AU25+субсидії!AU25+'держ.бюджет'!AU25+'місц.-районн.бюджет'!AU25+обласний!AU25+інші!AU25</f>
        <v>8458.099999999999</v>
      </c>
      <c r="AV25" s="62">
        <f t="shared" si="26"/>
        <v>98.63098361611566</v>
      </c>
      <c r="AW25" s="63">
        <f t="shared" si="13"/>
        <v>117.40000000000146</v>
      </c>
      <c r="AX25" s="66">
        <f>'насел.'!AX25+пільги!AX25+субсидії!AX25+'держ.бюджет'!AX25+'місц.-районн.бюджет'!AX25+обласний!AX25+інші!AX25</f>
        <v>34.50000000000182</v>
      </c>
      <c r="AY25" s="144"/>
      <c r="AZ25" s="144"/>
      <c r="BA25" s="144"/>
      <c r="BB25" s="144"/>
    </row>
    <row r="26" spans="1:54" ht="34.5" customHeight="1">
      <c r="A26" s="10" t="s">
        <v>18</v>
      </c>
      <c r="B26" s="153" t="s">
        <v>154</v>
      </c>
      <c r="C26" s="63">
        <f>'насел.'!C26+пільги!C26+субсидії!C26+'держ.бюджет'!C26+'місц.-районн.бюджет'!C26+обласний!C26+інші!C26</f>
        <v>20375.5</v>
      </c>
      <c r="D26" s="63">
        <f>'насел.'!D26+пільги!D26+субсидії!D26+'держ.бюджет'!D26+'місц.-районн.бюджет'!D26+обласний!D26+інші!D26</f>
        <v>16665.9</v>
      </c>
      <c r="E26" s="63">
        <f>'насел.'!E26+пільги!E26+субсидії!E26+'держ.бюджет'!E26+'місц.-районн.бюджет'!E26+обласний!E26+інші!E26</f>
        <v>7661.8</v>
      </c>
      <c r="F26" s="62">
        <f t="shared" si="14"/>
        <v>45.97291475407869</v>
      </c>
      <c r="G26" s="63">
        <f>'насел.'!G26+пільги!G26+субсидії!G26+'держ.бюджет'!G26+'місц.-районн.бюджет'!G26+обласний!G26+інші!G26</f>
        <v>15833.4</v>
      </c>
      <c r="H26" s="63">
        <f>'насел.'!H26+пільги!H26+субсидії!H26+'держ.бюджет'!H26+'місц.-районн.бюджет'!H26+обласний!H26+інші!H26</f>
        <v>9920.400000000001</v>
      </c>
      <c r="I26" s="62">
        <f t="shared" si="15"/>
        <v>62.6548940846565</v>
      </c>
      <c r="J26" s="63">
        <f>'насел.'!J26+пільги!J26+субсидії!J26+'держ.бюджет'!J26+'місц.-районн.бюджет'!J26+обласний!J26+інші!J26</f>
        <v>13084.300000000001</v>
      </c>
      <c r="K26" s="63">
        <f>'насел.'!K26+пільги!K26+субсидії!K26+'держ.бюджет'!K26+'місц.-районн.бюджет'!K26+обласний!K26+інші!K26</f>
        <v>15205.2</v>
      </c>
      <c r="L26" s="62">
        <f t="shared" si="16"/>
        <v>116.20950299213561</v>
      </c>
      <c r="M26" s="62">
        <f>'насел.'!M26+пільги!M26+субсидії!M26+'держ.бюджет'!M26+'місц.-районн.бюджет'!M26+обласний!M26+інші!M26</f>
        <v>45583.6</v>
      </c>
      <c r="N26" s="62">
        <f>'насел.'!N26+пільги!N26+субсидії!N26+'держ.бюджет'!N26+'місц.-районн.бюджет'!N26+обласний!N26+інші!N26</f>
        <v>32787.4</v>
      </c>
      <c r="O26" s="62">
        <f t="shared" si="17"/>
        <v>71.92806184680455</v>
      </c>
      <c r="P26" s="63">
        <f>'насел.'!P26+пільги!P26+субсидії!P26+'держ.бюджет'!P26+'місц.-районн.бюджет'!P26+обласний!P26+інші!P26</f>
        <v>2001.7999999999997</v>
      </c>
      <c r="Q26" s="63">
        <f>'насел.'!Q26+пільги!Q26+субсидії!Q26+'держ.бюджет'!Q26+'місц.-районн.бюджет'!Q26+обласний!Q26+інші!Q26</f>
        <v>10322.599999999999</v>
      </c>
      <c r="R26" s="63">
        <f t="shared" si="18"/>
        <v>515.6659006893796</v>
      </c>
      <c r="S26" s="63">
        <f>'насел.'!S26+пільги!S26+субсидії!S26+'держ.бюджет'!S26+'місц.-районн.бюджет'!S26+обласний!S26+інші!S26</f>
        <v>-231.9</v>
      </c>
      <c r="T26" s="63">
        <f>'насел.'!T26+пільги!T26+субсидії!T26+'держ.бюджет'!T26+'місц.-районн.бюджет'!T26+обласний!T26+інші!T26</f>
        <v>6087.7</v>
      </c>
      <c r="U26" s="62">
        <f t="shared" si="19"/>
        <v>-2625.14014661492</v>
      </c>
      <c r="V26" s="63">
        <f>'насел.'!V26+пільги!V26+субсидії!V26+'держ.бюджет'!V26+'місц.-районн.бюджет'!V26+обласний!V26+інші!V26</f>
        <v>-26</v>
      </c>
      <c r="W26" s="63">
        <f>'насел.'!W26+пільги!W26+субсидії!W26+'держ.бюджет'!W26+'місц.-районн.бюджет'!W26+обласний!W26+інші!W26</f>
        <v>1907.9999999999998</v>
      </c>
      <c r="X26" s="62">
        <f t="shared" si="20"/>
        <v>-7338.461538461537</v>
      </c>
      <c r="Y26" s="63">
        <f>'насел.'!Y26+пільги!Y26+субсидії!Y26+'держ.бюджет'!Y26+'місц.-районн.бюджет'!Y26+обласний!Y26+інші!Y26</f>
        <v>1743.8999999999999</v>
      </c>
      <c r="Z26" s="63">
        <f>'насел.'!Z26+пільги!Z26+субсидії!Z26+'держ.бюджет'!Z26+'місц.-районн.бюджет'!Z26+обласний!Z26+інші!Z26</f>
        <v>18318.300000000003</v>
      </c>
      <c r="AA26" s="62">
        <f t="shared" si="21"/>
        <v>1050.421469120936</v>
      </c>
      <c r="AB26" s="63">
        <f>'насел.'!AB26+пільги!AB26+субсидії!AB26+'держ.бюджет'!AB26+'місц.-районн.бюджет'!AB26+обласний!AB26+інші!AB26</f>
        <v>0</v>
      </c>
      <c r="AC26" s="63">
        <f>'насел.'!AC26+пільги!AC26+субсидії!AC26+'держ.бюджет'!AC26+'місц.-районн.бюджет'!AC26+обласний!AC26+інші!AC26</f>
        <v>0</v>
      </c>
      <c r="AD26" s="62" t="e">
        <f t="shared" si="22"/>
        <v>#DIV/0!</v>
      </c>
      <c r="AE26" s="63">
        <f>'насел.'!AE26+пільги!AE26+субсидії!AE26+'держ.бюджет'!AE26+'місц.-районн.бюджет'!AE26+обласний!AE26+інші!AE26</f>
        <v>0</v>
      </c>
      <c r="AF26" s="63">
        <f>'насел.'!AF26+пільги!AF26+субсидії!AF26+'держ.бюджет'!AF26+'місц.-районн.бюджет'!AF26+обласний!AF26+інші!AF26</f>
        <v>0</v>
      </c>
      <c r="AG26" s="62" t="e">
        <f t="shared" si="23"/>
        <v>#DIV/0!</v>
      </c>
      <c r="AH26" s="63">
        <f>'насел.'!AH26+пільги!AH26+субсидії!AH26+'держ.бюджет'!AH26+'місц.-районн.бюджет'!AH26+обласний!AH26+інші!AH26</f>
        <v>0</v>
      </c>
      <c r="AI26" s="63">
        <f>'насел.'!AI26+пільги!AI26+субсидії!AI26+'держ.бюджет'!AI26+'місц.-районн.бюджет'!AI26+обласний!AI26+інші!AI26</f>
        <v>0</v>
      </c>
      <c r="AJ26" s="62" t="e">
        <f t="shared" si="24"/>
        <v>#DIV/0!</v>
      </c>
      <c r="AK26" s="79">
        <f>'насел.'!AK26+пільги!AR26+субсидії!AK26+'держ.бюджет'!AK26+'місц.-районн.бюджет'!AK26+обласний!AK26+інші!AK26</f>
        <v>0</v>
      </c>
      <c r="AL26" s="63">
        <f>'насел.'!AL26+пільги!AK26+субсидії!AL26+'держ.бюджет'!AL26+'місц.-районн.бюджет'!AL26+обласний!AL26+інші!AL26</f>
        <v>0</v>
      </c>
      <c r="AM26" s="63" t="e">
        <f t="shared" si="25"/>
        <v>#DIV/0!</v>
      </c>
      <c r="AN26" s="79">
        <f>'насел.'!AN26+пільги!AN26+субсидії!AN26+'держ.бюджет'!AN26+'місц.-районн.бюджет'!AN26+обласний!AN26+інші!AN26</f>
        <v>0</v>
      </c>
      <c r="AO26" s="63">
        <f>'насел.'!AO26+пільги!AN26+субсидії!AO26+'держ.бюджет'!AO26+'місц.-районн.бюджет'!AO26+обласний!AO26+інші!AO26</f>
        <v>0</v>
      </c>
      <c r="AP26" s="63">
        <f>'насел.'!AP26+пільги!AO26+субсидії!AP26+'держ.бюджет'!AP26+'місц.-районн.бюджет'!AP26+обласний!AP26+інші!AP26</f>
        <v>0</v>
      </c>
      <c r="AQ26" s="63">
        <f>'насел.'!AQ26+пільги!AP26+субсидії!AQ26+'держ.бюджет'!AQ26+'місц.-районн.бюджет'!AQ26+обласний!AQ26+інші!AQ26</f>
        <v>0</v>
      </c>
      <c r="AR26" s="63">
        <f>'насел.'!AR26+пільги!AQ26+субсидії!AR26+'держ.бюджет'!AR26+'місц.-районн.бюджет'!AR26+обласний!AR26+інші!AR26</f>
        <v>0</v>
      </c>
      <c r="AS26" s="63">
        <f>'насел.'!AS26+пільги!AR26+субсидії!AS26+'держ.бюджет'!AS26+'місц.-районн.бюджет'!AS26+обласний!AS26+інші!AS26</f>
        <v>0</v>
      </c>
      <c r="AT26" s="63">
        <f>'насел.'!AT26+пільги!AT26+субсидії!AT26+'держ.бюджет'!AT26+'місц.-районн.бюджет'!AT26+обласний!AT26+інші!AT26</f>
        <v>47327.50000000001</v>
      </c>
      <c r="AU26" s="63">
        <f>'насел.'!AU26+пільги!AU26+субсидії!AU26+'держ.бюджет'!AU26+'місц.-районн.бюджет'!AU26+обласний!AU26+інші!AU26</f>
        <v>51105.700000000004</v>
      </c>
      <c r="AV26" s="62">
        <f t="shared" si="26"/>
        <v>107.9830965083725</v>
      </c>
      <c r="AW26" s="63">
        <f t="shared" si="13"/>
        <v>-3778.199999999997</v>
      </c>
      <c r="AX26" s="66">
        <f>'насел.'!AX26+пільги!AX26+субсидії!AX26+'держ.бюджет'!AX26+'місц.-районн.бюджет'!AX26+обласний!AX26+інші!AX26</f>
        <v>16597.300000000007</v>
      </c>
      <c r="AY26" s="144"/>
      <c r="AZ26" s="144"/>
      <c r="BA26" s="144"/>
      <c r="BB26" s="144"/>
    </row>
    <row r="27" spans="1:54" s="35" customFormat="1" ht="34.5" customHeight="1" hidden="1">
      <c r="A27" s="159" t="s">
        <v>4</v>
      </c>
      <c r="B27" s="153" t="s">
        <v>89</v>
      </c>
      <c r="C27" s="63">
        <f>'насел.'!C27+пільги!C27+субсидії!C27+'держ.бюджет'!C27+'місц.-районн.бюджет'!C27+обласний!C27+інші!C27</f>
        <v>0</v>
      </c>
      <c r="D27" s="63">
        <f>'насел.'!D27+пільги!D27+субсидії!D27+'держ.бюджет'!D27+'місц.-районн.бюджет'!D27+обласний!D27+інші!D27</f>
        <v>0</v>
      </c>
      <c r="E27" s="63">
        <f>'насел.'!E27+пільги!E27+субсидії!E27+'держ.бюджет'!E27+'місц.-районн.бюджет'!E27+обласний!E27+інші!E27</f>
        <v>0</v>
      </c>
      <c r="F27" s="62" t="e">
        <f t="shared" si="14"/>
        <v>#DIV/0!</v>
      </c>
      <c r="G27" s="63">
        <f>'насел.'!G27+пільги!G27+субсидії!G27+'держ.бюджет'!G27+'місц.-районн.бюджет'!G27+обласний!G27+інші!G27</f>
        <v>0</v>
      </c>
      <c r="H27" s="63">
        <f>'насел.'!H27+пільги!H27+субсидії!H27+'держ.бюджет'!H27+'місц.-районн.бюджет'!H27+обласний!H27+інші!H27</f>
        <v>0</v>
      </c>
      <c r="I27" s="62" t="e">
        <f t="shared" si="15"/>
        <v>#DIV/0!</v>
      </c>
      <c r="J27" s="63">
        <f>'насел.'!J27+пільги!J27+субсидії!J27+'держ.бюджет'!J27+'місц.-районн.бюджет'!J27+обласний!J27+інші!J27</f>
        <v>0</v>
      </c>
      <c r="K27" s="63">
        <f>'насел.'!K27+пільги!K27+субсидії!K27+'держ.бюджет'!K27+'місц.-районн.бюджет'!K27+обласний!K27+інші!K27</f>
        <v>0</v>
      </c>
      <c r="L27" s="62" t="e">
        <f t="shared" si="16"/>
        <v>#DIV/0!</v>
      </c>
      <c r="M27" s="62">
        <f>'насел.'!M27+пільги!M27+субсидії!M27+'держ.бюджет'!M27+'місц.-районн.бюджет'!M27+обласний!M27+інші!M27</f>
        <v>0</v>
      </c>
      <c r="N27" s="62">
        <f>'насел.'!N27+пільги!N27+субсидії!N27+'держ.бюджет'!N27+'місц.-районн.бюджет'!N27+обласний!N27+інші!N27</f>
        <v>0</v>
      </c>
      <c r="O27" s="62" t="e">
        <f t="shared" si="17"/>
        <v>#DIV/0!</v>
      </c>
      <c r="P27" s="63">
        <f>'насел.'!P27+пільги!P27+субсидії!P27+'держ.бюджет'!P27+'місц.-районн.бюджет'!P27+обласний!P27+інші!P27</f>
        <v>0</v>
      </c>
      <c r="Q27" s="63">
        <f>'насел.'!Q27+пільги!Q27+субсидії!Q27+'держ.бюджет'!Q27+'місц.-районн.бюджет'!Q27+обласний!Q27+інші!Q27</f>
        <v>0</v>
      </c>
      <c r="R27" s="63" t="e">
        <f t="shared" si="18"/>
        <v>#DIV/0!</v>
      </c>
      <c r="S27" s="63">
        <f>'насел.'!S27+пільги!S27+субсидії!S27+'держ.бюджет'!S27+'місц.-районн.бюджет'!S27+обласний!S27+інші!S27</f>
        <v>0</v>
      </c>
      <c r="T27" s="63">
        <f>'насел.'!T27+пільги!T27+субсидії!T27+'держ.бюджет'!T27+'місц.-районн.бюджет'!T27+обласний!T27+інші!T27</f>
        <v>0</v>
      </c>
      <c r="U27" s="62" t="e">
        <f t="shared" si="19"/>
        <v>#DIV/0!</v>
      </c>
      <c r="V27" s="63">
        <f>'насел.'!V27+пільги!V27+субсидії!V27+'держ.бюджет'!V27+'місц.-районн.бюджет'!V27+обласний!V27+інші!V27</f>
        <v>0</v>
      </c>
      <c r="W27" s="63">
        <f>'насел.'!W27+пільги!W27+субсидії!W27+'держ.бюджет'!W27+'місц.-районн.бюджет'!W27+обласний!W27+інші!W27</f>
        <v>0</v>
      </c>
      <c r="X27" s="62" t="e">
        <f t="shared" si="20"/>
        <v>#DIV/0!</v>
      </c>
      <c r="Y27" s="63">
        <f>'насел.'!Y27+пільги!Y27+субсидії!Y27+'держ.бюджет'!Y27+'місц.-районн.бюджет'!Y27+обласний!Y27+інші!Y27</f>
        <v>0</v>
      </c>
      <c r="Z27" s="63">
        <f>'насел.'!Z27+пільги!Z27+субсидії!Z27+'держ.бюджет'!Z27+'місц.-районн.бюджет'!Z27+обласний!Z27+інші!Z27</f>
        <v>0</v>
      </c>
      <c r="AA27" s="62" t="e">
        <f t="shared" si="21"/>
        <v>#DIV/0!</v>
      </c>
      <c r="AB27" s="63">
        <f>'насел.'!AB27+пільги!AB27+субсидії!AB27+'держ.бюджет'!AB27+'місц.-районн.бюджет'!AB27+обласний!AB27+інші!AB27</f>
        <v>0</v>
      </c>
      <c r="AC27" s="63">
        <f>'насел.'!AC27+пільги!AC27+субсидії!AC27+'держ.бюджет'!AC27+'місц.-районн.бюджет'!AC27+обласний!AC27+інші!AC27</f>
        <v>0</v>
      </c>
      <c r="AD27" s="62" t="e">
        <f t="shared" si="22"/>
        <v>#DIV/0!</v>
      </c>
      <c r="AE27" s="63">
        <f>'насел.'!AE27+пільги!AE27+субсидії!AE27+'держ.бюджет'!AE27+'місц.-районн.бюджет'!AE27+обласний!AE27+інші!AE27</f>
        <v>0</v>
      </c>
      <c r="AF27" s="63">
        <f>'насел.'!AF27+пільги!AF27+субсидії!AF27+'держ.бюджет'!AF27+'місц.-районн.бюджет'!AF27+обласний!AF27+інші!AF27</f>
        <v>0</v>
      </c>
      <c r="AG27" s="62" t="e">
        <f t="shared" si="23"/>
        <v>#DIV/0!</v>
      </c>
      <c r="AH27" s="63">
        <f>'насел.'!AH27+пільги!AH27+субсидії!AH27+'держ.бюджет'!AH27+'місц.-районн.бюджет'!AH27+обласний!AH27+інші!AH27</f>
        <v>0</v>
      </c>
      <c r="AI27" s="63">
        <f>'насел.'!AI27+пільги!AI27+субсидії!AI27+'держ.бюджет'!AI27+'місц.-районн.бюджет'!AI27+обласний!AI27+інші!AI27</f>
        <v>0</v>
      </c>
      <c r="AJ27" s="62" t="e">
        <f t="shared" si="24"/>
        <v>#DIV/0!</v>
      </c>
      <c r="AK27" s="79">
        <f>'насел.'!AK27+пільги!AR27+субсидії!AK27+'держ.бюджет'!AK27+'місц.-районн.бюджет'!AK27+обласний!AK27+інші!AK27</f>
        <v>0</v>
      </c>
      <c r="AL27" s="63">
        <f>'насел.'!AL27+пільги!AK27+субсидії!AL27+'держ.бюджет'!AL27+'місц.-районн.бюджет'!AL27+обласний!AL27+інші!AL27</f>
        <v>0</v>
      </c>
      <c r="AM27" s="63" t="e">
        <f t="shared" si="25"/>
        <v>#DIV/0!</v>
      </c>
      <c r="AN27" s="79">
        <f>'насел.'!AN27+пільги!AN27+субсидії!AN27+'держ.бюджет'!AN27+'місц.-районн.бюджет'!AN27+обласний!AN27+інші!AN27</f>
        <v>0</v>
      </c>
      <c r="AO27" s="63">
        <f>'насел.'!AO27+пільги!AN27+субсидії!AO27+'держ.бюджет'!AO27+'місц.-районн.бюджет'!AO27+обласний!AO27+інші!AO27</f>
        <v>0</v>
      </c>
      <c r="AP27" s="63">
        <f>'насел.'!AP27+пільги!AO27+субсидії!AP27+'держ.бюджет'!AP27+'місц.-районн.бюджет'!AP27+обласний!AP27+інші!AP27</f>
        <v>0</v>
      </c>
      <c r="AQ27" s="63">
        <f>'насел.'!AQ27+пільги!AP27+субсидії!AQ27+'держ.бюджет'!AQ27+'місц.-районн.бюджет'!AQ27+обласний!AQ27+інші!AQ27</f>
        <v>0</v>
      </c>
      <c r="AR27" s="63">
        <f>'насел.'!AR27+пільги!AQ27+субсидії!AR27+'держ.бюджет'!AR27+'місц.-районн.бюджет'!AR27+обласний!AR27+інші!AR27</f>
        <v>0</v>
      </c>
      <c r="AS27" s="63">
        <f>'насел.'!AS27+пільги!AR27+субсидії!AS27+'держ.бюджет'!AS27+'місц.-районн.бюджет'!AS27+обласний!AS27+інші!AS27</f>
        <v>0</v>
      </c>
      <c r="AT27" s="63">
        <f>'насел.'!AT27+пільги!AT27+субсидії!AT27+'держ.бюджет'!AT27+'місц.-районн.бюджет'!AT27+обласний!AT27+інші!AT27</f>
        <v>0</v>
      </c>
      <c r="AU27" s="63">
        <f>'насел.'!AU27+пільги!AU27+субсидії!AU27+'держ.бюджет'!AU27+'місц.-районн.бюджет'!AU27+обласний!AU27+інші!AU27</f>
        <v>0</v>
      </c>
      <c r="AV27" s="62" t="e">
        <f t="shared" si="26"/>
        <v>#DIV/0!</v>
      </c>
      <c r="AW27" s="63">
        <f t="shared" si="13"/>
        <v>0</v>
      </c>
      <c r="AX27" s="66">
        <f>'насел.'!AX27+пільги!AX27+субсидії!AX27+'держ.бюджет'!AX27+'місц.-районн.бюджет'!AX27+обласний!AX27+інші!AX27</f>
        <v>0</v>
      </c>
      <c r="AY27" s="144"/>
      <c r="AZ27" s="144"/>
      <c r="BA27" s="144"/>
      <c r="BB27" s="144"/>
    </row>
    <row r="28" spans="1:54" ht="34.5" customHeight="1" hidden="1">
      <c r="A28" s="10" t="s">
        <v>24</v>
      </c>
      <c r="B28" s="153" t="s">
        <v>90</v>
      </c>
      <c r="C28" s="63">
        <f>'насел.'!C28+пільги!C28+субсидії!C28+'держ.бюджет'!C28+'місц.-районн.бюджет'!C28+обласний!C28+інші!C28</f>
        <v>0</v>
      </c>
      <c r="D28" s="63">
        <f>'насел.'!D28+пільги!D28+субсидії!D28+'держ.бюджет'!D28+'місц.-районн.бюджет'!D28+обласний!D28+інші!D28</f>
        <v>0</v>
      </c>
      <c r="E28" s="63">
        <f>'насел.'!E28+пільги!E28+субсидії!E28+'держ.бюджет'!E28+'місц.-районн.бюджет'!E28+обласний!E28+інші!E28</f>
        <v>0</v>
      </c>
      <c r="F28" s="62" t="e">
        <f t="shared" si="14"/>
        <v>#DIV/0!</v>
      </c>
      <c r="G28" s="63">
        <f>'насел.'!G28+пільги!G28+субсидії!G28+'держ.бюджет'!G28+'місц.-районн.бюджет'!G28+обласний!G28+інші!G28</f>
        <v>0</v>
      </c>
      <c r="H28" s="63">
        <f>'насел.'!H28+пільги!H28+субсидії!H28+'держ.бюджет'!H28+'місц.-районн.бюджет'!H28+обласний!H28+інші!H28</f>
        <v>0</v>
      </c>
      <c r="I28" s="62" t="e">
        <f t="shared" si="15"/>
        <v>#DIV/0!</v>
      </c>
      <c r="J28" s="63">
        <f>'насел.'!J28+пільги!J28+субсидії!J28+'держ.бюджет'!J28+'місц.-районн.бюджет'!J28+обласний!J28+інші!J28</f>
        <v>0</v>
      </c>
      <c r="K28" s="63">
        <f>'насел.'!K28+пільги!K28+субсидії!K28+'держ.бюджет'!K28+'місц.-районн.бюджет'!K28+обласний!K28+інші!K28</f>
        <v>0</v>
      </c>
      <c r="L28" s="62" t="e">
        <f t="shared" si="16"/>
        <v>#DIV/0!</v>
      </c>
      <c r="M28" s="62">
        <f>'насел.'!M28+пільги!M28+субсидії!M28+'держ.бюджет'!M28+'місц.-районн.бюджет'!M28+обласний!M28+інші!M28</f>
        <v>0</v>
      </c>
      <c r="N28" s="62">
        <f>'насел.'!N28+пільги!N28+субсидії!N28+'держ.бюджет'!N28+'місц.-районн.бюджет'!N28+обласний!N28+інші!N28</f>
        <v>0</v>
      </c>
      <c r="O28" s="62" t="e">
        <f t="shared" si="17"/>
        <v>#DIV/0!</v>
      </c>
      <c r="P28" s="63">
        <f>'насел.'!P28+пільги!P28+субсидії!P28+'держ.бюджет'!P28+'місц.-районн.бюджет'!P28+обласний!P28+інші!P28</f>
        <v>0</v>
      </c>
      <c r="Q28" s="63">
        <f>'насел.'!Q28+пільги!Q28+субсидії!Q28+'держ.бюджет'!Q28+'місц.-районн.бюджет'!Q28+обласний!Q28+інші!Q28</f>
        <v>0</v>
      </c>
      <c r="R28" s="63" t="e">
        <f t="shared" si="18"/>
        <v>#DIV/0!</v>
      </c>
      <c r="S28" s="63">
        <f>'насел.'!S28+пільги!S28+субсидії!S28+'держ.бюджет'!S28+'місц.-районн.бюджет'!S28+обласний!S28+інші!S28</f>
        <v>0</v>
      </c>
      <c r="T28" s="63">
        <f>'насел.'!T28+пільги!T28+субсидії!T28+'держ.бюджет'!T28+'місц.-районн.бюджет'!T28+обласний!T28+інші!T28</f>
        <v>0</v>
      </c>
      <c r="U28" s="62" t="e">
        <f t="shared" si="19"/>
        <v>#DIV/0!</v>
      </c>
      <c r="V28" s="63">
        <f>'насел.'!V28+пільги!V28+субсидії!V28+'держ.бюджет'!V28+'місц.-районн.бюджет'!V28+обласний!V28+інші!V28</f>
        <v>0</v>
      </c>
      <c r="W28" s="63">
        <f>'насел.'!W28+пільги!W28+субсидії!W28+'держ.бюджет'!W28+'місц.-районн.бюджет'!W28+обласний!W28+інші!W28</f>
        <v>0</v>
      </c>
      <c r="X28" s="62" t="e">
        <f t="shared" si="20"/>
        <v>#DIV/0!</v>
      </c>
      <c r="Y28" s="63">
        <f>'насел.'!Y28+пільги!Y28+субсидії!Y28+'держ.бюджет'!Y28+'місц.-районн.бюджет'!Y28+обласний!Y28+інші!Y28</f>
        <v>0</v>
      </c>
      <c r="Z28" s="63">
        <f>'насел.'!Z28+пільги!Z28+субсидії!Z28+'держ.бюджет'!Z28+'місц.-районн.бюджет'!Z28+обласний!Z28+інші!Z28</f>
        <v>0</v>
      </c>
      <c r="AA28" s="62" t="e">
        <f t="shared" si="21"/>
        <v>#DIV/0!</v>
      </c>
      <c r="AB28" s="63">
        <f>'насел.'!AB28+пільги!AB28+субсидії!AB28+'держ.бюджет'!AB28+'місц.-районн.бюджет'!AB28+обласний!AB28+інші!AB28</f>
        <v>0</v>
      </c>
      <c r="AC28" s="63">
        <f>'насел.'!AC28+пільги!AC28+субсидії!AC28+'держ.бюджет'!AC28+'місц.-районн.бюджет'!AC28+обласний!AC28+інші!AC28</f>
        <v>0</v>
      </c>
      <c r="AD28" s="62" t="e">
        <f t="shared" si="22"/>
        <v>#DIV/0!</v>
      </c>
      <c r="AE28" s="63">
        <f>'насел.'!AE28+пільги!AE28+субсидії!AE28+'держ.бюджет'!AE28+'місц.-районн.бюджет'!AE28+обласний!AE28+інші!AE28</f>
        <v>0</v>
      </c>
      <c r="AF28" s="63">
        <f>'насел.'!AF28+пільги!AF28+субсидії!AF28+'держ.бюджет'!AF28+'місц.-районн.бюджет'!AF28+обласний!AF28+інші!AF28</f>
        <v>0</v>
      </c>
      <c r="AG28" s="62" t="e">
        <f t="shared" si="23"/>
        <v>#DIV/0!</v>
      </c>
      <c r="AH28" s="63">
        <f>'насел.'!AH28+пільги!AH28+субсидії!AH28+'держ.бюджет'!AH28+'місц.-районн.бюджет'!AH28+обласний!AH28+інші!AH28</f>
        <v>0</v>
      </c>
      <c r="AI28" s="63">
        <f>'насел.'!AI28+пільги!AI28+субсидії!AI28+'держ.бюджет'!AI28+'місц.-районн.бюджет'!AI28+обласний!AI28+інші!AI28</f>
        <v>0</v>
      </c>
      <c r="AJ28" s="62" t="e">
        <f t="shared" si="24"/>
        <v>#DIV/0!</v>
      </c>
      <c r="AK28" s="79">
        <f>'насел.'!AK28+пільги!AR28+субсидії!AK28+'держ.бюджет'!AK28+'місц.-районн.бюджет'!AK28+обласний!AK28+інші!AK28</f>
        <v>0</v>
      </c>
      <c r="AL28" s="63">
        <f>'насел.'!AL28+пільги!AK28+субсидії!AL28+'держ.бюджет'!AL28+'місц.-районн.бюджет'!AL28+обласний!AL28+інші!AL28</f>
        <v>0</v>
      </c>
      <c r="AM28" s="63" t="e">
        <f t="shared" si="25"/>
        <v>#DIV/0!</v>
      </c>
      <c r="AN28" s="79">
        <f>'насел.'!AN28+пільги!AN28+субсидії!AN28+'держ.бюджет'!AN28+'місц.-районн.бюджет'!AN28+обласний!AN28+інші!AN28</f>
        <v>0</v>
      </c>
      <c r="AO28" s="63">
        <f>'насел.'!AO28+пільги!AN28+субсидії!AO28+'держ.бюджет'!AO28+'місц.-районн.бюджет'!AO28+обласний!AO28+інші!AO28</f>
        <v>0</v>
      </c>
      <c r="AP28" s="63">
        <f>'насел.'!AP28+пільги!AO28+субсидії!AP28+'держ.бюджет'!AP28+'місц.-районн.бюджет'!AP28+обласний!AP28+інші!AP28</f>
        <v>0</v>
      </c>
      <c r="AQ28" s="63">
        <f>'насел.'!AQ28+пільги!AP28+субсидії!AQ28+'держ.бюджет'!AQ28+'місц.-районн.бюджет'!AQ28+обласний!AQ28+інші!AQ28</f>
        <v>0</v>
      </c>
      <c r="AR28" s="63">
        <f>'насел.'!AR28+пільги!AQ28+субсидії!AR28+'держ.бюджет'!AR28+'місц.-районн.бюджет'!AR28+обласний!AR28+інші!AR28</f>
        <v>0</v>
      </c>
      <c r="AS28" s="63">
        <f>'насел.'!AS28+пільги!AR28+субсидії!AS28+'держ.бюджет'!AS28+'місц.-районн.бюджет'!AS28+обласний!AS28+інші!AS28</f>
        <v>0</v>
      </c>
      <c r="AT28" s="63">
        <f>'насел.'!AT28+пільги!AT28+субсидії!AT28+'держ.бюджет'!AT28+'місц.-районн.бюджет'!AT28+обласний!AT28+інші!AT28</f>
        <v>0</v>
      </c>
      <c r="AU28" s="63">
        <f>'насел.'!AU28+пільги!AU28+субсидії!AU28+'держ.бюджет'!AU28+'місц.-районн.бюджет'!AU28+обласний!AU28+інші!AU28</f>
        <v>0</v>
      </c>
      <c r="AV28" s="62" t="e">
        <f t="shared" si="26"/>
        <v>#DIV/0!</v>
      </c>
      <c r="AW28" s="63">
        <f t="shared" si="13"/>
        <v>0</v>
      </c>
      <c r="AX28" s="66">
        <f>'насел.'!AX28+пільги!AX28+субсидії!AX28+'держ.бюджет'!AX28+'місц.-районн.бюджет'!AX28+обласний!AX28+інші!AX28</f>
        <v>0</v>
      </c>
      <c r="AY28" s="144"/>
      <c r="AZ28" s="144"/>
      <c r="BA28" s="144"/>
      <c r="BB28" s="144"/>
    </row>
    <row r="29" spans="1:54" ht="34.5" customHeight="1" hidden="1">
      <c r="A29" s="10" t="s">
        <v>24</v>
      </c>
      <c r="B29" s="153" t="s">
        <v>91</v>
      </c>
      <c r="C29" s="63">
        <f>'насел.'!C29+пільги!C29+субсидії!C29+'держ.бюджет'!C29+'місц.-районн.бюджет'!C29+обласний!C29+інші!C29</f>
        <v>0</v>
      </c>
      <c r="D29" s="63">
        <f>'насел.'!D29+пільги!D29+субсидії!D29+'держ.бюджет'!D29+'місц.-районн.бюджет'!D29+обласний!D29+інші!D29</f>
        <v>0</v>
      </c>
      <c r="E29" s="63">
        <f>'насел.'!E29+пільги!E29+субсидії!E29+'держ.бюджет'!E29+'місц.-районн.бюджет'!E29+обласний!E29+інші!E29</f>
        <v>0</v>
      </c>
      <c r="F29" s="62" t="e">
        <f t="shared" si="14"/>
        <v>#DIV/0!</v>
      </c>
      <c r="G29" s="63">
        <f>'насел.'!G29+пільги!G29+субсидії!G29+'держ.бюджет'!G29+'місц.-районн.бюджет'!G29+обласний!G29+інші!G29</f>
        <v>0</v>
      </c>
      <c r="H29" s="63">
        <f>'насел.'!H29+пільги!H29+субсидії!H29+'держ.бюджет'!H29+'місц.-районн.бюджет'!H29+обласний!H29+інші!H29</f>
        <v>0</v>
      </c>
      <c r="I29" s="62" t="e">
        <f t="shared" si="15"/>
        <v>#DIV/0!</v>
      </c>
      <c r="J29" s="63">
        <f>'насел.'!J29+пільги!J29+субсидії!J29+'держ.бюджет'!J29+'місц.-районн.бюджет'!J29+обласний!J29+інші!J29</f>
        <v>0</v>
      </c>
      <c r="K29" s="63">
        <f>'насел.'!K29+пільги!K29+субсидії!K29+'держ.бюджет'!K29+'місц.-районн.бюджет'!K29+обласний!K29+інші!K29</f>
        <v>0</v>
      </c>
      <c r="L29" s="62" t="e">
        <f t="shared" si="16"/>
        <v>#DIV/0!</v>
      </c>
      <c r="M29" s="62">
        <f>'насел.'!M29+пільги!M29+субсидії!M29+'держ.бюджет'!M29+'місц.-районн.бюджет'!M29+обласний!M29+інші!M29</f>
        <v>0</v>
      </c>
      <c r="N29" s="62">
        <f>'насел.'!N29+пільги!N29+субсидії!N29+'держ.бюджет'!N29+'місц.-районн.бюджет'!N29+обласний!N29+інші!N29</f>
        <v>0</v>
      </c>
      <c r="O29" s="62" t="e">
        <f t="shared" si="17"/>
        <v>#DIV/0!</v>
      </c>
      <c r="P29" s="63">
        <f>'насел.'!P29+пільги!P29+субсидії!P29+'держ.бюджет'!P29+'місц.-районн.бюджет'!P29+обласний!P29+інші!P29</f>
        <v>0</v>
      </c>
      <c r="Q29" s="63">
        <f>'насел.'!Q29+пільги!Q29+субсидії!Q29+'держ.бюджет'!Q29+'місц.-районн.бюджет'!Q29+обласний!Q29+інші!Q29</f>
        <v>0</v>
      </c>
      <c r="R29" s="63" t="e">
        <f t="shared" si="18"/>
        <v>#DIV/0!</v>
      </c>
      <c r="S29" s="63">
        <f>'насел.'!S29+пільги!S29+субсидії!S29+'держ.бюджет'!S29+'місц.-районн.бюджет'!S29+обласний!S29+інші!S29</f>
        <v>0</v>
      </c>
      <c r="T29" s="63">
        <f>'насел.'!T29+пільги!T29+субсидії!T29+'держ.бюджет'!T29+'місц.-районн.бюджет'!T29+обласний!T29+інші!T29</f>
        <v>0</v>
      </c>
      <c r="U29" s="62" t="e">
        <f t="shared" si="19"/>
        <v>#DIV/0!</v>
      </c>
      <c r="V29" s="63">
        <f>'насел.'!V29+пільги!V29+субсидії!V29+'держ.бюджет'!V29+'місц.-районн.бюджет'!V29+обласний!V29+інші!V29</f>
        <v>0</v>
      </c>
      <c r="W29" s="63">
        <f>'насел.'!W29+пільги!W29+субсидії!W29+'держ.бюджет'!W29+'місц.-районн.бюджет'!W29+обласний!W29+інші!W29</f>
        <v>0</v>
      </c>
      <c r="X29" s="62" t="e">
        <f t="shared" si="20"/>
        <v>#DIV/0!</v>
      </c>
      <c r="Y29" s="63">
        <f>'насел.'!Y29+пільги!Y29+субсидії!Y29+'держ.бюджет'!Y29+'місц.-районн.бюджет'!Y29+обласний!Y29+інші!Y29</f>
        <v>0</v>
      </c>
      <c r="Z29" s="63">
        <f>'насел.'!Z29+пільги!Z29+субсидії!Z29+'держ.бюджет'!Z29+'місц.-районн.бюджет'!Z29+обласний!Z29+інші!Z29</f>
        <v>0</v>
      </c>
      <c r="AA29" s="62" t="e">
        <f t="shared" si="21"/>
        <v>#DIV/0!</v>
      </c>
      <c r="AB29" s="63">
        <f>'насел.'!AB29+пільги!AB29+субсидії!AB29+'держ.бюджет'!AB29+'місц.-районн.бюджет'!AB29+обласний!AB29+інші!AB29</f>
        <v>0</v>
      </c>
      <c r="AC29" s="63">
        <f>'насел.'!AC29+пільги!AC29+субсидії!AC29+'держ.бюджет'!AC29+'місц.-районн.бюджет'!AC29+обласний!AC29+інші!AC29</f>
        <v>0</v>
      </c>
      <c r="AD29" s="62" t="e">
        <f t="shared" si="22"/>
        <v>#DIV/0!</v>
      </c>
      <c r="AE29" s="63">
        <f>'насел.'!AE29+пільги!AE29+субсидії!AE29+'держ.бюджет'!AE29+'місц.-районн.бюджет'!AE29+обласний!AE29+інші!AE29</f>
        <v>0</v>
      </c>
      <c r="AF29" s="63">
        <f>'насел.'!AF29+пільги!AF29+субсидії!AF29+'держ.бюджет'!AF29+'місц.-районн.бюджет'!AF29+обласний!AF29+інші!AF29</f>
        <v>0</v>
      </c>
      <c r="AG29" s="62" t="e">
        <f t="shared" si="23"/>
        <v>#DIV/0!</v>
      </c>
      <c r="AH29" s="63">
        <f>'насел.'!AH29+пільги!AH29+субсидії!AH29+'держ.бюджет'!AH29+'місц.-районн.бюджет'!AH29+обласний!AH29+інші!AH29</f>
        <v>0</v>
      </c>
      <c r="AI29" s="63">
        <f>'насел.'!AI29+пільги!AI29+субсидії!AI29+'держ.бюджет'!AI29+'місц.-районн.бюджет'!AI29+обласний!AI29+інші!AI29</f>
        <v>0</v>
      </c>
      <c r="AJ29" s="62" t="e">
        <f t="shared" si="24"/>
        <v>#DIV/0!</v>
      </c>
      <c r="AK29" s="79">
        <f>'насел.'!AK29+пільги!AR29+субсидії!AK29+'держ.бюджет'!AK29+'місц.-районн.бюджет'!AK29+обласний!AK29+інші!AK29</f>
        <v>0</v>
      </c>
      <c r="AL29" s="63">
        <f>'насел.'!AL29+пільги!AK29+субсидії!AL29+'держ.бюджет'!AL29+'місц.-районн.бюджет'!AL29+обласний!AL29+інші!AL29</f>
        <v>0</v>
      </c>
      <c r="AM29" s="63" t="e">
        <f t="shared" si="25"/>
        <v>#DIV/0!</v>
      </c>
      <c r="AN29" s="79">
        <f>'насел.'!AN29+пільги!AN29+субсидії!AN29+'держ.бюджет'!AN29+'місц.-районн.бюджет'!AN29+обласний!AN29+інші!AN29</f>
        <v>0</v>
      </c>
      <c r="AO29" s="63">
        <f>'насел.'!AO29+пільги!AN29+субсидії!AO29+'держ.бюджет'!AO29+'місц.-районн.бюджет'!AO29+обласний!AO29+інші!AO29</f>
        <v>0</v>
      </c>
      <c r="AP29" s="63">
        <f>'насел.'!AP29+пільги!AO29+субсидії!AP29+'держ.бюджет'!AP29+'місц.-районн.бюджет'!AP29+обласний!AP29+інші!AP29</f>
        <v>0</v>
      </c>
      <c r="AQ29" s="63">
        <f>'насел.'!AQ29+пільги!AP29+субсидії!AQ29+'держ.бюджет'!AQ29+'місц.-районн.бюджет'!AQ29+обласний!AQ29+інші!AQ29</f>
        <v>0</v>
      </c>
      <c r="AR29" s="63">
        <f>'насел.'!AR29+пільги!AQ29+субсидії!AR29+'держ.бюджет'!AR29+'місц.-районн.бюджет'!AR29+обласний!AR29+інші!AR29</f>
        <v>0</v>
      </c>
      <c r="AS29" s="63">
        <f>'насел.'!AS29+пільги!AR29+субсидії!AS29+'держ.бюджет'!AS29+'місц.-районн.бюджет'!AS29+обласний!AS29+інші!AS29</f>
        <v>0</v>
      </c>
      <c r="AT29" s="63">
        <f>'насел.'!AT29+пільги!AT29+субсидії!AT29+'держ.бюджет'!AT29+'місц.-районн.бюджет'!AT29+обласний!AT29+інші!AT29</f>
        <v>0</v>
      </c>
      <c r="AU29" s="63">
        <f>'насел.'!AU29+пільги!AU29+субсидії!AU29+'держ.бюджет'!AU29+'місц.-районн.бюджет'!AU29+обласний!AU29+інші!AU29</f>
        <v>0</v>
      </c>
      <c r="AV29" s="62" t="e">
        <f t="shared" si="26"/>
        <v>#DIV/0!</v>
      </c>
      <c r="AW29" s="63">
        <f t="shared" si="13"/>
        <v>0</v>
      </c>
      <c r="AX29" s="66">
        <f>'насел.'!AX29+пільги!AX29+субсидії!AX29+'держ.бюджет'!AX29+'місц.-районн.бюджет'!AX29+обласний!AX29+інші!AX29</f>
        <v>0</v>
      </c>
      <c r="AY29" s="144"/>
      <c r="AZ29" s="144"/>
      <c r="BA29" s="144"/>
      <c r="BB29" s="144"/>
    </row>
    <row r="30" spans="1:54" ht="34.5" customHeight="1">
      <c r="A30" s="10" t="s">
        <v>20</v>
      </c>
      <c r="B30" s="156" t="s">
        <v>53</v>
      </c>
      <c r="C30" s="79">
        <f>'насел.'!C30+пільги!C30+субсидії!C30+'держ.бюджет'!C30+'місц.-районн.бюджет'!C30+обласний!C30+інші!C30</f>
        <v>53314.200000000004</v>
      </c>
      <c r="D30" s="79">
        <f>'насел.'!D30+пільги!D30+субсидії!D30+'держ.бюджет'!D30+'місц.-районн.бюджет'!D30+обласний!D30+інші!D30</f>
        <v>29644.100000000002</v>
      </c>
      <c r="E30" s="79">
        <f>'насел.'!E30+пільги!E30+субсидії!E30+'держ.бюджет'!E30+'місц.-районн.бюджет'!E30+обласний!E30+інші!E30</f>
        <v>15061.5</v>
      </c>
      <c r="F30" s="58">
        <f t="shared" si="14"/>
        <v>50.807749265452486</v>
      </c>
      <c r="G30" s="79">
        <f>'насел.'!G30+пільги!G30+субсидії!G30+'держ.бюджет'!G30+'місц.-районн.бюджет'!G30+обласний!G30+інші!G30</f>
        <v>30921.899999999998</v>
      </c>
      <c r="H30" s="79">
        <f>'насел.'!H30+пільги!H30+субсидії!H30+'держ.бюджет'!H30+'місц.-районн.бюджет'!H30+обласний!H30+інші!H30</f>
        <v>23100.200000000004</v>
      </c>
      <c r="I30" s="58">
        <f t="shared" si="15"/>
        <v>74.70498255281858</v>
      </c>
      <c r="J30" s="79">
        <f>'насел.'!J30+пільги!J30+субсидії!J30+'держ.бюджет'!J30+'місц.-районн.бюджет'!J30+обласний!J30+інші!J30</f>
        <v>28491.199999999997</v>
      </c>
      <c r="K30" s="79">
        <f>'насел.'!K30+пільги!K30+субсидії!K30+'держ.бюджет'!K30+'місц.-районн.бюджет'!K30+обласний!K30+інші!K30</f>
        <v>24200.1</v>
      </c>
      <c r="L30" s="58">
        <f t="shared" si="16"/>
        <v>84.93885831414613</v>
      </c>
      <c r="M30" s="58">
        <f>'насел.'!M30+пільги!M30+субсидії!M30+'держ.бюджет'!M30+'місц.-районн.бюджет'!M30+обласний!M30+інші!M30</f>
        <v>89057.19999999998</v>
      </c>
      <c r="N30" s="58">
        <f>'насел.'!N30+пільги!N30+субсидії!N30+'держ.бюджет'!N30+'місц.-районн.бюджет'!N30+обласний!N30+інші!N30</f>
        <v>62361.8</v>
      </c>
      <c r="O30" s="58">
        <f t="shared" si="17"/>
        <v>70.02443373472332</v>
      </c>
      <c r="P30" s="79">
        <f>'насел.'!P30+пільги!P30+субсидії!P30+'держ.бюджет'!P30+'місц.-районн.бюджет'!P30+обласний!P30+інші!P30</f>
        <v>3319.2999999999997</v>
      </c>
      <c r="Q30" s="79">
        <f>'насел.'!Q30+пільги!Q30+субсидії!Q30+'держ.бюджет'!Q30+'місц.-районн.бюджет'!Q30+обласний!Q30+інші!Q30</f>
        <v>19266.899999999994</v>
      </c>
      <c r="R30" s="79">
        <f t="shared" si="18"/>
        <v>580.4506974362063</v>
      </c>
      <c r="S30" s="79">
        <f>'насел.'!S30+пільги!S30+субсидії!S30+'держ.бюджет'!S30+'місц.-районн.бюджет'!S30+обласний!S30+інші!S30</f>
        <v>61.2</v>
      </c>
      <c r="T30" s="79">
        <f>'насел.'!T30+пільги!T30+субсидії!T30+'держ.бюджет'!T30+'місц.-районн.бюджет'!T30+обласний!T30+інші!T30</f>
        <v>6404.4</v>
      </c>
      <c r="U30" s="58">
        <f t="shared" si="19"/>
        <v>10464.70588235294</v>
      </c>
      <c r="V30" s="79">
        <f>'насел.'!V30+пільги!V30+субсидії!V30+'держ.бюджет'!V30+'місц.-районн.бюджет'!V30+обласний!V30+інші!V30</f>
        <v>55.8</v>
      </c>
      <c r="W30" s="79">
        <f>'насел.'!W30+пільги!W30+субсидії!W30+'держ.бюджет'!W30+'місц.-районн.бюджет'!W30+обласний!W30+інші!W30</f>
        <v>1355.9</v>
      </c>
      <c r="X30" s="58">
        <f t="shared" si="20"/>
        <v>2429.9283154121867</v>
      </c>
      <c r="Y30" s="79">
        <f>'насел.'!Y30+пільги!Y30+субсидії!Y30+'держ.бюджет'!Y30+'місц.-районн.бюджет'!Y30+обласний!Y30+інші!Y30</f>
        <v>3436.3</v>
      </c>
      <c r="Z30" s="79">
        <f>'насел.'!Z30+пільги!Z30+субсидії!Z30+'держ.бюджет'!Z30+'місц.-районн.бюджет'!Z30+обласний!Z30+інші!Z30</f>
        <v>27027.199999999997</v>
      </c>
      <c r="AA30" s="58">
        <f t="shared" si="21"/>
        <v>786.5203852981404</v>
      </c>
      <c r="AB30" s="79">
        <f>'насел.'!AB30+пільги!AB30+субсидії!AB30+'держ.бюджет'!AB30+'місц.-районн.бюджет'!AB30+обласний!AB30+інші!AB30</f>
        <v>0</v>
      </c>
      <c r="AC30" s="79">
        <f>'насел.'!AC30+пільги!AC30+субсидії!AC30+'держ.бюджет'!AC30+'місц.-районн.бюджет'!AC30+обласний!AC30+інші!AC30</f>
        <v>0</v>
      </c>
      <c r="AD30" s="58" t="e">
        <f t="shared" si="22"/>
        <v>#DIV/0!</v>
      </c>
      <c r="AE30" s="79">
        <f>'насел.'!AE30+пільги!AE30+субсидії!AE30+'держ.бюджет'!AE30+'місц.-районн.бюджет'!AE30+обласний!AE30+інші!AE30</f>
        <v>0</v>
      </c>
      <c r="AF30" s="79">
        <f>'насел.'!AF30+пільги!AF30+субсидії!AF30+'держ.бюджет'!AF30+'місц.-районн.бюджет'!AF30+обласний!AF30+інші!AF30</f>
        <v>0</v>
      </c>
      <c r="AG30" s="58" t="e">
        <f t="shared" si="23"/>
        <v>#DIV/0!</v>
      </c>
      <c r="AH30" s="79">
        <f>'насел.'!AH30+пільги!AH30+субсидії!AH30+'держ.бюджет'!AH30+'місц.-районн.бюджет'!AH30+обласний!AH30+інші!AH30</f>
        <v>0</v>
      </c>
      <c r="AI30" s="79">
        <f>'насел.'!AI30+пільги!AI30+субсидії!AI30+'держ.бюджет'!AI30+'місц.-районн.бюджет'!AI30+обласний!AI30+інші!AI30</f>
        <v>0</v>
      </c>
      <c r="AJ30" s="58" t="e">
        <f t="shared" si="24"/>
        <v>#DIV/0!</v>
      </c>
      <c r="AK30" s="79">
        <f>'насел.'!AK30+пільги!AR30+субсидії!AK30+'держ.бюджет'!AK30+'місц.-районн.бюджет'!AK30+обласний!AK30+інші!AK30</f>
        <v>0</v>
      </c>
      <c r="AL30" s="79">
        <f>'насел.'!AL30+пільги!AK30+субсидії!AL30+'держ.бюджет'!AL30+'місц.-районн.бюджет'!AL30+обласний!AL30+інші!AL30</f>
        <v>0</v>
      </c>
      <c r="AM30" s="79" t="e">
        <f t="shared" si="25"/>
        <v>#DIV/0!</v>
      </c>
      <c r="AN30" s="79">
        <f>'насел.'!AN30+пільги!AN30+субсидії!AN30+'держ.бюджет'!AN30+'місц.-районн.бюджет'!AN30+обласний!AN30+інші!AN30</f>
        <v>0</v>
      </c>
      <c r="AO30" s="79">
        <f>'насел.'!AO30+пільги!AN30+субсидії!AO30+'держ.бюджет'!AO30+'місц.-районн.бюджет'!AO30+обласний!AO30+інші!AO30</f>
        <v>0</v>
      </c>
      <c r="AP30" s="79">
        <f>'насел.'!AP30+пільги!AO30+субсидії!AP30+'держ.бюджет'!AP30+'місц.-районн.бюджет'!AP30+обласний!AP30+інші!AP30</f>
        <v>0</v>
      </c>
      <c r="AQ30" s="79">
        <f>'насел.'!AQ30+пільги!AP30+субсидії!AQ30+'держ.бюджет'!AQ30+'місц.-районн.бюджет'!AQ30+обласний!AQ30+інші!AQ30</f>
        <v>0</v>
      </c>
      <c r="AR30" s="79">
        <f>'насел.'!AR30+пільги!AQ30+субсидії!AR30+'держ.бюджет'!AR30+'місц.-районн.бюджет'!AR30+обласний!AR30+інші!AR30</f>
        <v>0</v>
      </c>
      <c r="AS30" s="79">
        <f>'насел.'!AS30+пільги!AR30+субсидії!AS30+'держ.бюджет'!AS30+'місц.-районн.бюджет'!AS30+обласний!AS30+інші!AS30</f>
        <v>0</v>
      </c>
      <c r="AT30" s="79">
        <f>'насел.'!AT30+пільги!AT30+субсидії!AT30+'держ.бюджет'!AT30+'місц.-районн.бюджет'!AT30+обласний!AT30+інші!AT30</f>
        <v>92493.49999999999</v>
      </c>
      <c r="AU30" s="79">
        <f>'насел.'!AU30+пільги!AU30+субсидії!AU30+'держ.бюджет'!AU30+'місц.-районн.бюджет'!AU30+обласний!AU30+інші!AU30</f>
        <v>89388.99999999999</v>
      </c>
      <c r="AV30" s="58">
        <f t="shared" si="26"/>
        <v>96.64354792498932</v>
      </c>
      <c r="AW30" s="79">
        <f t="shared" si="13"/>
        <v>3104.5</v>
      </c>
      <c r="AX30" s="66">
        <f>'насел.'!AX30+пільги!AX30+субсидії!AX30+'держ.бюджет'!AX30+'місц.-районн.бюджет'!AX30+обласний!AX30+інші!AX30</f>
        <v>56418.7</v>
      </c>
      <c r="AY30" s="150"/>
      <c r="AZ30" s="150"/>
      <c r="BA30" s="150"/>
      <c r="BB30" s="150"/>
    </row>
    <row r="31" spans="1:54" ht="34.5" customHeight="1">
      <c r="A31" s="10" t="s">
        <v>8</v>
      </c>
      <c r="B31" s="110" t="s">
        <v>155</v>
      </c>
      <c r="C31" s="63">
        <f>'насел.'!C31+пільги!C31+субсидії!C31+'держ.бюджет'!C31+'місц.-районн.бюджет'!C31+обласний!C31+інші!C31</f>
        <v>0</v>
      </c>
      <c r="D31" s="63">
        <f>'насел.'!D31+пільги!D31+субсидії!D31+'держ.бюджет'!D31+'місц.-районн.бюджет'!D31+обласний!D31+інші!D31</f>
        <v>954.0999999999999</v>
      </c>
      <c r="E31" s="63">
        <f>'насел.'!E31+пільги!E31+субсидії!E31+'держ.бюджет'!E31+'місц.-районн.бюджет'!E31+обласний!E31+інші!E31</f>
        <v>0</v>
      </c>
      <c r="F31" s="62">
        <f t="shared" si="14"/>
        <v>0</v>
      </c>
      <c r="G31" s="63">
        <f>'насел.'!G31+пільги!G31+субсидії!G31+'держ.бюджет'!G31+'місц.-районн.бюджет'!G31+обласний!G31+інші!G31</f>
        <v>1083.3</v>
      </c>
      <c r="H31" s="63">
        <f>'насел.'!H31+пільги!H31+субсидії!H31+'держ.бюджет'!H31+'місц.-районн.бюджет'!H31+обласний!H31+інші!H31</f>
        <v>851.9</v>
      </c>
      <c r="I31" s="62">
        <f t="shared" si="15"/>
        <v>78.63934274900767</v>
      </c>
      <c r="J31" s="63">
        <f>'насел.'!J31+пільги!J31+субсидії!J31+'держ.бюджет'!J31+'місц.-районн.бюджет'!J31+обласний!J31+інші!J31</f>
        <v>906.5</v>
      </c>
      <c r="K31" s="63">
        <f>'насел.'!K31+пільги!K31+субсидії!K31+'держ.бюджет'!K31+'місц.-районн.бюджет'!K31+обласний!K31+інші!K31</f>
        <v>1155.2</v>
      </c>
      <c r="L31" s="62">
        <f t="shared" si="16"/>
        <v>127.43519029233315</v>
      </c>
      <c r="M31" s="62">
        <f>'насел.'!M31+пільги!M31+субсидії!M31+'держ.бюджет'!M31+'місц.-районн.бюджет'!M31+обласний!M31+інші!M31</f>
        <v>2943.9</v>
      </c>
      <c r="N31" s="62">
        <f>'насел.'!N31+пільги!N31+субсидії!N31+'держ.бюджет'!N31+'місц.-районн.бюджет'!N31+обласний!N31+інші!N31</f>
        <v>2007.1</v>
      </c>
      <c r="O31" s="62">
        <f t="shared" si="17"/>
        <v>68.1782669248276</v>
      </c>
      <c r="P31" s="63">
        <f>'насел.'!P31+пільги!P31+субсидії!P31+'держ.бюджет'!P31+'місц.-районн.бюджет'!P31+обласний!P31+інші!P31</f>
        <v>239.4</v>
      </c>
      <c r="Q31" s="63">
        <f>'насел.'!Q31+пільги!Q31+субсидії!Q31+'держ.бюджет'!Q31+'місц.-районн.бюджет'!Q31+обласний!Q31+інші!Q31</f>
        <v>1086.2</v>
      </c>
      <c r="R31" s="63">
        <f t="shared" si="18"/>
        <v>453.71762740183794</v>
      </c>
      <c r="S31" s="63">
        <f>'насел.'!S31+пільги!S31+субсидії!S31+'держ.бюджет'!S31+'місц.-районн.бюджет'!S31+обласний!S31+інші!S31</f>
        <v>8.1</v>
      </c>
      <c r="T31" s="63">
        <f>'насел.'!T31+пільги!T31+субсидії!T31+'держ.бюджет'!T31+'місц.-районн.бюджет'!T31+обласний!T31+інші!T31</f>
        <v>63.2</v>
      </c>
      <c r="U31" s="62">
        <f t="shared" si="19"/>
        <v>780.246913580247</v>
      </c>
      <c r="V31" s="63">
        <f>'насел.'!V31+пільги!V31+субсидії!V31+'держ.бюджет'!V31+'місц.-районн.бюджет'!V31+обласний!V31+інші!V31</f>
        <v>0</v>
      </c>
      <c r="W31" s="63">
        <f>'насел.'!W31+пільги!W31+субсидії!W31+'держ.бюджет'!W31+'місц.-районн.бюджет'!W31+обласний!W31+інші!W31</f>
        <v>21.9</v>
      </c>
      <c r="X31" s="62" t="e">
        <f t="shared" si="20"/>
        <v>#DIV/0!</v>
      </c>
      <c r="Y31" s="63">
        <f>'насел.'!Y31+пільги!Y31+субсидії!Y31+'держ.бюджет'!Y31+'місц.-районн.бюджет'!Y31+обласний!Y31+інші!Y31</f>
        <v>247.5</v>
      </c>
      <c r="Z31" s="63">
        <f>'насел.'!Z31+пільги!Z31+субсидії!Z31+'держ.бюджет'!Z31+'місц.-районн.бюджет'!Z31+обласний!Z31+інші!Z31</f>
        <v>1171.3</v>
      </c>
      <c r="AA31" s="62">
        <f t="shared" si="21"/>
        <v>473.25252525252523</v>
      </c>
      <c r="AB31" s="63">
        <f>'насел.'!AB31+пільги!AB31+субсидії!AB31+'держ.бюджет'!AB31+'місц.-районн.бюджет'!AB31+обласний!AB31+інші!AB31</f>
        <v>0</v>
      </c>
      <c r="AC31" s="63">
        <f>'насел.'!AC31+пільги!AC31+субсидії!AC31+'держ.бюджет'!AC31+'місц.-районн.бюджет'!AC31+обласний!AC31+інші!AC31</f>
        <v>0</v>
      </c>
      <c r="AD31" s="62" t="e">
        <f t="shared" si="22"/>
        <v>#DIV/0!</v>
      </c>
      <c r="AE31" s="63">
        <f>'насел.'!AE31+пільги!AE31+субсидії!AE31+'держ.бюджет'!AE31+'місц.-районн.бюджет'!AE31+обласний!AE31+інші!AE31</f>
        <v>0</v>
      </c>
      <c r="AF31" s="63">
        <f>'насел.'!AF31+пільги!AF31+субсидії!AF31+'держ.бюджет'!AF31+'місц.-районн.бюджет'!AF31+обласний!AF31+інші!AF31</f>
        <v>0</v>
      </c>
      <c r="AG31" s="62" t="e">
        <f t="shared" si="23"/>
        <v>#DIV/0!</v>
      </c>
      <c r="AH31" s="63">
        <f>'насел.'!AH31+пільги!AH31+субсидії!AH31+'держ.бюджет'!AH31+'місц.-районн.бюджет'!AH31+обласний!AH31+інші!AH31</f>
        <v>0</v>
      </c>
      <c r="AI31" s="63">
        <f>'насел.'!AI31+пільги!AI31+субсидії!AI31+'держ.бюджет'!AI31+'місц.-районн.бюджет'!AI31+обласний!AI31+інші!AI31</f>
        <v>0</v>
      </c>
      <c r="AJ31" s="62" t="e">
        <f t="shared" si="24"/>
        <v>#DIV/0!</v>
      </c>
      <c r="AK31" s="79">
        <f>'насел.'!AK31+пільги!AR31+субсидії!AK31+'держ.бюджет'!AK31+'місц.-районн.бюджет'!AK31+обласний!AK31+інші!AK31</f>
        <v>0</v>
      </c>
      <c r="AL31" s="63">
        <f>'насел.'!AL31+пільги!AK31+субсидії!AL31+'держ.бюджет'!AL31+'місц.-районн.бюджет'!AL31+обласний!AL31+інші!AL31</f>
        <v>0</v>
      </c>
      <c r="AM31" s="63" t="e">
        <f t="shared" si="25"/>
        <v>#DIV/0!</v>
      </c>
      <c r="AN31" s="79">
        <f>'насел.'!AN31+пільги!AN31+субсидії!AN31+'держ.бюджет'!AN31+'місц.-районн.бюджет'!AN31+обласний!AN31+інші!AN31</f>
        <v>0</v>
      </c>
      <c r="AO31" s="63">
        <f>'насел.'!AO31+пільги!AN31+субсидії!AO31+'держ.бюджет'!AO31+'місц.-районн.бюджет'!AO31+обласний!AO31+інші!AO31</f>
        <v>0</v>
      </c>
      <c r="AP31" s="63">
        <f>'насел.'!AP31+пільги!AO31+субсидії!AP31+'держ.бюджет'!AP31+'місц.-районн.бюджет'!AP31+обласний!AP31+інші!AP31</f>
        <v>0</v>
      </c>
      <c r="AQ31" s="63">
        <f>'насел.'!AQ31+пільги!AP31+субсидії!AQ31+'держ.бюджет'!AQ31+'місц.-районн.бюджет'!AQ31+обласний!AQ31+інші!AQ31</f>
        <v>0</v>
      </c>
      <c r="AR31" s="63">
        <f>'насел.'!AR31+пільги!AQ31+субсидії!AR31+'держ.бюджет'!AR31+'місц.-районн.бюджет'!AR31+обласний!AR31+інші!AR31</f>
        <v>0</v>
      </c>
      <c r="AS31" s="63">
        <f>'насел.'!AS31+пільги!AR31+субсидії!AS31+'держ.бюджет'!AS31+'місц.-районн.бюджет'!AS31+обласний!AS31+інші!AS31</f>
        <v>0</v>
      </c>
      <c r="AT31" s="63">
        <f>'насел.'!AT31+пільги!AT31+субсидії!AT31+'держ.бюджет'!AT31+'місц.-районн.бюджет'!AT31+обласний!AT31+інші!AT31</f>
        <v>3191.4</v>
      </c>
      <c r="AU31" s="63">
        <f>'насел.'!AU31+пільги!AU31+субсидії!AU31+'держ.бюджет'!AU31+'місц.-районн.бюджет'!AU31+обласний!AU31+інші!AU31</f>
        <v>3178.3999999999996</v>
      </c>
      <c r="AV31" s="62">
        <f t="shared" si="26"/>
        <v>99.59265526101396</v>
      </c>
      <c r="AW31" s="63">
        <f t="shared" si="13"/>
        <v>13.000000000000455</v>
      </c>
      <c r="AX31" s="66">
        <f>'насел.'!AX31+пільги!AX31+субсидії!AX31+'держ.бюджет'!AX31+'місц.-районн.бюджет'!AX31+обласний!AX31+інші!AX31</f>
        <v>12.999999999999943</v>
      </c>
      <c r="AY31" s="144"/>
      <c r="AZ31" s="144"/>
      <c r="BA31" s="144"/>
      <c r="BB31" s="144"/>
    </row>
    <row r="32" spans="1:54" ht="34.5" customHeight="1" hidden="1">
      <c r="A32" s="10" t="s">
        <v>8</v>
      </c>
      <c r="B32" s="110" t="s">
        <v>170</v>
      </c>
      <c r="C32" s="63">
        <f>'насел.'!C32+пільги!C32+субсидії!C32+'держ.бюджет'!C32+'місц.-районн.бюджет'!C32+обласний!C32+інші!C32</f>
        <v>0</v>
      </c>
      <c r="D32" s="63">
        <f>'насел.'!D32+пільги!D32+субсидії!D32+'держ.бюджет'!D32+'місц.-районн.бюджет'!D32+обласний!D32+інші!D32</f>
        <v>0</v>
      </c>
      <c r="E32" s="63">
        <f>'насел.'!E32+пільги!E32+субсидії!E32+'держ.бюджет'!E32+'місц.-районн.бюджет'!E32+обласний!E32+інші!E32</f>
        <v>0</v>
      </c>
      <c r="F32" s="62" t="e">
        <f aca="true" t="shared" si="27" ref="F32:F38">E32/D32*100</f>
        <v>#DIV/0!</v>
      </c>
      <c r="G32" s="63">
        <f>'насел.'!G32+пільги!G32+субсидії!G32+'держ.бюджет'!G32+'місц.-районн.бюджет'!G32+обласний!G32+інші!G32</f>
        <v>0</v>
      </c>
      <c r="H32" s="63">
        <f>'насел.'!H32+пільги!H32+субсидії!H32+'держ.бюджет'!H32+'місц.-районн.бюджет'!H32+обласний!H32+інші!H32</f>
        <v>0</v>
      </c>
      <c r="I32" s="62" t="e">
        <f aca="true" t="shared" si="28" ref="I32:I38">H32/G32*100</f>
        <v>#DIV/0!</v>
      </c>
      <c r="J32" s="63">
        <f>'насел.'!J32+пільги!J32+субсидії!J32+'держ.бюджет'!J32+'місц.-районн.бюджет'!J32+обласний!J32+інші!J32</f>
        <v>0</v>
      </c>
      <c r="K32" s="63">
        <f>'насел.'!K32+пільги!K32+субсидії!K32+'держ.бюджет'!K32+'місц.-районн.бюджет'!K32+обласний!K32+інші!K32</f>
        <v>0</v>
      </c>
      <c r="L32" s="62" t="e">
        <f aca="true" t="shared" si="29" ref="L32:L38">K32/J32*100</f>
        <v>#DIV/0!</v>
      </c>
      <c r="M32" s="62">
        <f>'насел.'!M32+пільги!M32+субсидії!M32+'держ.бюджет'!M32+'місц.-районн.бюджет'!M32+обласний!M32+інші!M32</f>
        <v>0</v>
      </c>
      <c r="N32" s="62">
        <f>'насел.'!N32+пільги!N32+субсидії!N32+'держ.бюджет'!N32+'місц.-районн.бюджет'!N32+обласний!N32+інші!N32</f>
        <v>0</v>
      </c>
      <c r="O32" s="62" t="e">
        <f aca="true" t="shared" si="30" ref="O32:O38">N32/M32*100</f>
        <v>#DIV/0!</v>
      </c>
      <c r="P32" s="63">
        <f>'насел.'!P32+пільги!P32+субсидії!P32+'держ.бюджет'!P32+'місц.-районн.бюджет'!P32+обласний!P32+інші!P32</f>
        <v>0</v>
      </c>
      <c r="Q32" s="63">
        <f>'насел.'!Q32+пільги!Q32+субсидії!Q32+'держ.бюджет'!Q32+'місц.-районн.бюджет'!Q32+обласний!Q32+інші!Q32</f>
        <v>0</v>
      </c>
      <c r="R32" s="63" t="e">
        <f aca="true" t="shared" si="31" ref="R32:R38">Q32/P32*100</f>
        <v>#DIV/0!</v>
      </c>
      <c r="S32" s="63">
        <f>'насел.'!S32+пільги!S32+субсидії!S32+'держ.бюджет'!S32+'місц.-районн.бюджет'!S32+обласний!S32+інші!S32</f>
        <v>0</v>
      </c>
      <c r="T32" s="63">
        <f>'насел.'!T32+пільги!T32+субсидії!T32+'держ.бюджет'!T32+'місц.-районн.бюджет'!T32+обласний!T32+інші!T32</f>
        <v>0</v>
      </c>
      <c r="U32" s="62" t="e">
        <f aca="true" t="shared" si="32" ref="U32:U38">T32/S32*100</f>
        <v>#DIV/0!</v>
      </c>
      <c r="V32" s="63">
        <f>'насел.'!V32+пільги!V32+субсидії!V32+'держ.бюджет'!V32+'місц.-районн.бюджет'!V32+обласний!V32+інші!V32</f>
        <v>0</v>
      </c>
      <c r="W32" s="63">
        <f>'насел.'!W32+пільги!W32+субсидії!W32+'держ.бюджет'!W32+'місц.-районн.бюджет'!W32+обласний!W32+інші!W32</f>
        <v>0</v>
      </c>
      <c r="X32" s="62" t="e">
        <f aca="true" t="shared" si="33" ref="X32:X38">W32/V32*100</f>
        <v>#DIV/0!</v>
      </c>
      <c r="Y32" s="63">
        <f>'насел.'!Y32+пільги!Y32+субсидії!Y32+'держ.бюджет'!Y32+'місц.-районн.бюджет'!Y32+обласний!Y32+інші!Y32</f>
        <v>0</v>
      </c>
      <c r="Z32" s="63">
        <f>'насел.'!Z32+пільги!Z32+субсидії!Z32+'держ.бюджет'!Z32+'місц.-районн.бюджет'!Z32+обласний!Z32+інші!Z32</f>
        <v>0</v>
      </c>
      <c r="AA32" s="62" t="e">
        <f aca="true" t="shared" si="34" ref="AA32:AA38">Z32/Y32*100</f>
        <v>#DIV/0!</v>
      </c>
      <c r="AB32" s="63">
        <f>'насел.'!AB32+пільги!AB32+субсидії!AB32+'держ.бюджет'!AB32+'місц.-районн.бюджет'!AB32+обласний!AB32+інші!AB32</f>
        <v>0</v>
      </c>
      <c r="AC32" s="63">
        <f>'насел.'!AC32+пільги!AC32+субсидії!AC32+'держ.бюджет'!AC32+'місц.-районн.бюджет'!AC32+обласний!AC32+інші!AC32</f>
        <v>0</v>
      </c>
      <c r="AD32" s="62" t="e">
        <f aca="true" t="shared" si="35" ref="AD32:AD38">AC32/AB32*100</f>
        <v>#DIV/0!</v>
      </c>
      <c r="AE32" s="63">
        <f>'насел.'!AE32+пільги!AE32+субсидії!AE32+'держ.бюджет'!AE32+'місц.-районн.бюджет'!AE32+обласний!AE32+інші!AE32</f>
        <v>0</v>
      </c>
      <c r="AF32" s="63">
        <f>'насел.'!AF32+пільги!AF32+субсидії!AF32+'держ.бюджет'!AF32+'місц.-районн.бюджет'!AF32+обласний!AF32+інші!AF32</f>
        <v>0</v>
      </c>
      <c r="AG32" s="62" t="e">
        <f aca="true" t="shared" si="36" ref="AG32:AG38">AF32/AE32*100</f>
        <v>#DIV/0!</v>
      </c>
      <c r="AH32" s="63">
        <f>'насел.'!AH32+пільги!AH32+субсидії!AH32+'держ.бюджет'!AH32+'місц.-районн.бюджет'!AH32+обласний!AH32+інші!AH32</f>
        <v>0</v>
      </c>
      <c r="AI32" s="63">
        <f>'насел.'!AI32+пільги!AI32+субсидії!AI32+'держ.бюджет'!AI32+'місц.-районн.бюджет'!AI32+обласний!AI32+інші!AI32</f>
        <v>0</v>
      </c>
      <c r="AJ32" s="62" t="e">
        <f aca="true" t="shared" si="37" ref="AJ32:AJ38">AI32/AH32*100</f>
        <v>#DIV/0!</v>
      </c>
      <c r="AK32" s="79">
        <f>'насел.'!AK32+пільги!AR32+субсидії!AK32+'держ.бюджет'!AK32+'місц.-районн.бюджет'!AK32+обласний!AK32+інші!AK32</f>
        <v>0</v>
      </c>
      <c r="AL32" s="63">
        <f>'насел.'!AL32+пільги!AK32+субсидії!AL32+'держ.бюджет'!AL32+'місц.-районн.бюджет'!AL32+обласний!AL32+інші!AL32</f>
        <v>0</v>
      </c>
      <c r="AM32" s="63" t="e">
        <f aca="true" t="shared" si="38" ref="AM32:AM38">AL32/AK32*100</f>
        <v>#DIV/0!</v>
      </c>
      <c r="AN32" s="79">
        <f>'насел.'!AN32+пільги!AN32+субсидії!AN32+'держ.бюджет'!AN32+'місц.-районн.бюджет'!AN32+обласний!AN32+інші!AN32</f>
        <v>0</v>
      </c>
      <c r="AO32" s="63">
        <f>'насел.'!AO32+пільги!AN32+субсидії!AO32+'держ.бюджет'!AO32+'місц.-районн.бюджет'!AO32+обласний!AO32+інші!AO32</f>
        <v>0</v>
      </c>
      <c r="AP32" s="63">
        <f>'насел.'!AP32+пільги!AO32+субсидії!AP32+'держ.бюджет'!AP32+'місц.-районн.бюджет'!AP32+обласний!AP32+інші!AP32</f>
        <v>0</v>
      </c>
      <c r="AQ32" s="63">
        <f>'насел.'!AQ32+пільги!AP32+субсидії!AQ32+'держ.бюджет'!AQ32+'місц.-районн.бюджет'!AQ32+обласний!AQ32+інші!AQ32</f>
        <v>0</v>
      </c>
      <c r="AR32" s="63">
        <f>'насел.'!AR32+пільги!AQ32+субсидії!AR32+'держ.бюджет'!AR32+'місц.-районн.бюджет'!AR32+обласний!AR32+інші!AR32</f>
        <v>0</v>
      </c>
      <c r="AS32" s="63">
        <f>'насел.'!AS32+пільги!AR32+субсидії!AS32+'держ.бюджет'!AS32+'місц.-районн.бюджет'!AS32+обласний!AS32+інші!AS32</f>
        <v>0</v>
      </c>
      <c r="AT32" s="63">
        <f>'насел.'!AT32+пільги!AT32+субсидії!AT32+'держ.бюджет'!AT32+'місц.-районн.бюджет'!AT32+обласний!AT32+інші!AT32</f>
        <v>0</v>
      </c>
      <c r="AU32" s="63">
        <f>'насел.'!AU32+пільги!AU32+субсидії!AU32+'держ.бюджет'!AU32+'місц.-районн.бюджет'!AU32+обласний!AU32+інші!AU32</f>
        <v>0</v>
      </c>
      <c r="AV32" s="62" t="e">
        <f aca="true" t="shared" si="39" ref="AV32:AV38">AU32/AT32*100</f>
        <v>#DIV/0!</v>
      </c>
      <c r="AW32" s="63">
        <f t="shared" si="13"/>
        <v>0</v>
      </c>
      <c r="AX32" s="66">
        <f>'насел.'!AX32+пільги!AX32+субсидії!AX32+'держ.бюджет'!AX32+'місц.-районн.бюджет'!AX32+обласний!AX32+інші!AX32</f>
        <v>0</v>
      </c>
      <c r="AY32" s="144"/>
      <c r="AZ32" s="144"/>
      <c r="BA32" s="144"/>
      <c r="BB32" s="144"/>
    </row>
    <row r="33" spans="1:54" ht="34.5" customHeight="1">
      <c r="A33" s="10" t="s">
        <v>10</v>
      </c>
      <c r="B33" s="110" t="s">
        <v>156</v>
      </c>
      <c r="C33" s="63">
        <f>'насел.'!C33+пільги!C33+субсидії!C33+'держ.бюджет'!C33+'місц.-районн.бюджет'!C33+обласний!C33+інші!C33</f>
        <v>-65.8</v>
      </c>
      <c r="D33" s="63">
        <f>'насел.'!D33+пільги!D33+субсидії!D33+'держ.бюджет'!D33+'місц.-районн.бюджет'!D33+обласний!D33+інші!D33</f>
        <v>1274.6</v>
      </c>
      <c r="E33" s="63">
        <f>'насел.'!E33+пільги!E33+субсидії!E33+'держ.бюджет'!E33+'місц.-районн.бюджет'!E33+обласний!E33+інші!E33</f>
        <v>0</v>
      </c>
      <c r="F33" s="62">
        <f t="shared" si="27"/>
        <v>0</v>
      </c>
      <c r="G33" s="63">
        <f>'насел.'!G33+пільги!G33+субсидії!G33+'держ.бюджет'!G33+'місц.-районн.бюджет'!G33+обласний!G33+інші!G33</f>
        <v>1778.3</v>
      </c>
      <c r="H33" s="63">
        <f>'насел.'!H33+пільги!H33+субсидії!H33+'держ.бюджет'!H33+'місц.-районн.бюджет'!H33+обласний!H33+інші!H33</f>
        <v>809.1</v>
      </c>
      <c r="I33" s="62">
        <f t="shared" si="28"/>
        <v>45.49850981274251</v>
      </c>
      <c r="J33" s="63">
        <f>'насел.'!J33+пільги!J33+субсидії!J33+'держ.бюджет'!J33+'місц.-районн.бюджет'!J33+обласний!J33+інші!J33</f>
        <v>1627.1</v>
      </c>
      <c r="K33" s="63">
        <f>'насел.'!K33+пільги!K33+субсидії!K33+'держ.бюджет'!K33+'місц.-районн.бюджет'!K33+обласний!K33+інші!K33</f>
        <v>1994.9</v>
      </c>
      <c r="L33" s="62">
        <f t="shared" si="29"/>
        <v>122.6046340114314</v>
      </c>
      <c r="M33" s="62">
        <f>'насел.'!M33+пільги!M33+субсидії!M33+'держ.бюджет'!M33+'місц.-районн.бюджет'!M33+обласний!M33+інші!M33</f>
        <v>4680</v>
      </c>
      <c r="N33" s="62">
        <f>'насел.'!N33+пільги!N33+субсидії!N33+'держ.бюджет'!N33+'місц.-районн.бюджет'!N33+обласний!N33+інші!N33</f>
        <v>2804</v>
      </c>
      <c r="O33" s="62">
        <f t="shared" si="30"/>
        <v>59.914529914529915</v>
      </c>
      <c r="P33" s="63">
        <f>'насел.'!P33+пільги!P33+субсидії!P33+'держ.бюджет'!P33+'місц.-районн.бюджет'!P33+обласний!P33+інші!P33</f>
        <v>73.6</v>
      </c>
      <c r="Q33" s="63">
        <f>'насел.'!Q33+пільги!Q33+субсидії!Q33+'держ.бюджет'!Q33+'місц.-районн.бюджет'!Q33+обласний!Q33+інші!Q33</f>
        <v>1779.1000000000001</v>
      </c>
      <c r="R33" s="63">
        <f t="shared" si="31"/>
        <v>2417.255434782609</v>
      </c>
      <c r="S33" s="63">
        <f>'насел.'!S33+пільги!S33+субсидії!S33+'держ.бюджет'!S33+'місц.-районн.бюджет'!S33+обласний!S33+інші!S33</f>
        <v>0</v>
      </c>
      <c r="T33" s="63">
        <f>'насел.'!T33+пільги!T33+субсидії!T33+'держ.бюджет'!T33+'місц.-районн.бюджет'!T33+обласний!T33+інші!T33</f>
        <v>86.1</v>
      </c>
      <c r="U33" s="62" t="e">
        <f t="shared" si="32"/>
        <v>#DIV/0!</v>
      </c>
      <c r="V33" s="63">
        <f>'насел.'!V33+пільги!V33+субсидії!V33+'держ.бюджет'!V33+'місц.-районн.бюджет'!V33+обласний!V33+інші!V33</f>
        <v>0</v>
      </c>
      <c r="W33" s="63">
        <f>'насел.'!W33+пільги!W33+субсидії!W33+'держ.бюджет'!W33+'місц.-районн.бюджет'!W33+обласний!W33+інші!W33</f>
        <v>18.6</v>
      </c>
      <c r="X33" s="62" t="e">
        <f t="shared" si="33"/>
        <v>#DIV/0!</v>
      </c>
      <c r="Y33" s="63">
        <f>'насел.'!Y33+пільги!Y33+субсидії!Y33+'держ.бюджет'!Y33+'місц.-районн.бюджет'!Y33+обласний!Y33+інші!Y33</f>
        <v>73.6</v>
      </c>
      <c r="Z33" s="63">
        <f>'насел.'!Z33+пільги!Z33+субсидії!Z33+'держ.бюджет'!Z33+'місц.-районн.бюджет'!Z33+обласний!Z33+інші!Z33</f>
        <v>1883.8</v>
      </c>
      <c r="AA33" s="62">
        <f t="shared" si="34"/>
        <v>2559.5108695652175</v>
      </c>
      <c r="AB33" s="63">
        <f>'насел.'!AB33+пільги!AB33+субсидії!AB33+'держ.бюджет'!AB33+'місц.-районн.бюджет'!AB33+обласний!AB33+інші!AB33</f>
        <v>0</v>
      </c>
      <c r="AC33" s="63">
        <f>'насел.'!AC33+пільги!AC33+субсидії!AC33+'держ.бюджет'!AC33+'місц.-районн.бюджет'!AC33+обласний!AC33+інші!AC33</f>
        <v>0</v>
      </c>
      <c r="AD33" s="62" t="e">
        <f t="shared" si="35"/>
        <v>#DIV/0!</v>
      </c>
      <c r="AE33" s="63">
        <f>'насел.'!AE33+пільги!AE33+субсидії!AE33+'держ.бюджет'!AE33+'місц.-районн.бюджет'!AE33+обласний!AE33+інші!AE33</f>
        <v>0</v>
      </c>
      <c r="AF33" s="63">
        <f>'насел.'!AF33+пільги!AF33+субсидії!AF33+'держ.бюджет'!AF33+'місц.-районн.бюджет'!AF33+обласний!AF33+інші!AF33</f>
        <v>0</v>
      </c>
      <c r="AG33" s="62" t="e">
        <f t="shared" si="36"/>
        <v>#DIV/0!</v>
      </c>
      <c r="AH33" s="63">
        <f>'насел.'!AH33+пільги!AH33+субсидії!AH33+'держ.бюджет'!AH33+'місц.-районн.бюджет'!AH33+обласний!AH33+інші!AH33</f>
        <v>0</v>
      </c>
      <c r="AI33" s="63">
        <f>'насел.'!AI33+пільги!AI33+субсидії!AI33+'держ.бюджет'!AI33+'місц.-районн.бюджет'!AI33+обласний!AI33+інші!AI33</f>
        <v>0</v>
      </c>
      <c r="AJ33" s="62" t="e">
        <f t="shared" si="37"/>
        <v>#DIV/0!</v>
      </c>
      <c r="AK33" s="79">
        <f>'насел.'!AK33+пільги!AR33+субсидії!AK33+'держ.бюджет'!AK33+'місц.-районн.бюджет'!AK33+обласний!AK33+інші!AK33</f>
        <v>0</v>
      </c>
      <c r="AL33" s="63">
        <f>'насел.'!AL33+пільги!AK33+субсидії!AL33+'держ.бюджет'!AL33+'місц.-районн.бюджет'!AL33+обласний!AL33+інші!AL33</f>
        <v>0</v>
      </c>
      <c r="AM33" s="63" t="e">
        <f t="shared" si="38"/>
        <v>#DIV/0!</v>
      </c>
      <c r="AN33" s="79">
        <f>'насел.'!AN33+пільги!AN33+субсидії!AN33+'держ.бюджет'!AN33+'місц.-районн.бюджет'!AN33+обласний!AN33+інші!AN33</f>
        <v>0</v>
      </c>
      <c r="AO33" s="63">
        <f>'насел.'!AO33+пільги!AN33+субсидії!AO33+'держ.бюджет'!AO33+'місц.-районн.бюджет'!AO33+обласний!AO33+інші!AO33</f>
        <v>0</v>
      </c>
      <c r="AP33" s="63">
        <f>'насел.'!AP33+пільги!AO33+субсидії!AP33+'держ.бюджет'!AP33+'місц.-районн.бюджет'!AP33+обласний!AP33+інші!AP33</f>
        <v>0</v>
      </c>
      <c r="AQ33" s="63">
        <f>'насел.'!AQ33+пільги!AP33+субсидії!AQ33+'держ.бюджет'!AQ33+'місц.-районн.бюджет'!AQ33+обласний!AQ33+інші!AQ33</f>
        <v>0</v>
      </c>
      <c r="AR33" s="63">
        <f>'насел.'!AR33+пільги!AQ33+субсидії!AR33+'держ.бюджет'!AR33+'місц.-районн.бюджет'!AR33+обласний!AR33+інші!AR33</f>
        <v>0</v>
      </c>
      <c r="AS33" s="63">
        <f>'насел.'!AS33+пільги!AR33+субсидії!AS33+'держ.бюджет'!AS33+'місц.-районн.бюджет'!AS33+обласний!AS33+інші!AS33</f>
        <v>0</v>
      </c>
      <c r="AT33" s="63">
        <f>'насел.'!AT33+пільги!AT33+субсидії!AT33+'держ.бюджет'!AT33+'місц.-районн.бюджет'!AT33+обласний!AT33+інші!AT33</f>
        <v>4753.6</v>
      </c>
      <c r="AU33" s="63">
        <f>'насел.'!AU33+пільги!AU33+субсидії!AU33+'держ.бюджет'!AU33+'місц.-районн.бюджет'!AU33+обласний!AU33+інші!AU33</f>
        <v>4687.8</v>
      </c>
      <c r="AV33" s="62">
        <f t="shared" si="39"/>
        <v>98.61578593066307</v>
      </c>
      <c r="AW33" s="63">
        <f t="shared" si="13"/>
        <v>65.80000000000018</v>
      </c>
      <c r="AX33" s="66">
        <f>'насел.'!AX33+пільги!AX33+субсидії!AX33+'держ.бюджет'!AX33+'місц.-районн.бюджет'!AX33+обласний!AX33+інші!AX33</f>
        <v>0</v>
      </c>
      <c r="AY33" s="144"/>
      <c r="AZ33" s="144"/>
      <c r="BA33" s="144"/>
      <c r="BB33" s="144"/>
    </row>
    <row r="34" spans="1:54" ht="34.5" customHeight="1" hidden="1">
      <c r="A34" s="10" t="s">
        <v>11</v>
      </c>
      <c r="B34" s="153" t="s">
        <v>95</v>
      </c>
      <c r="C34" s="63">
        <f>'насел.'!C34+пільги!C34+субсидії!C34+'держ.бюджет'!C34+'місц.-районн.бюджет'!C34+обласний!C34+інші!C34</f>
        <v>0</v>
      </c>
      <c r="D34" s="63">
        <f>'насел.'!D34+пільги!D34+субсидії!D34+'держ.бюджет'!D34+'місц.-районн.бюджет'!D34+обласний!D34+інші!D34</f>
        <v>0</v>
      </c>
      <c r="E34" s="63">
        <f>'насел.'!E34+пільги!E34+субсидії!E34+'держ.бюджет'!E34+'місц.-районн.бюджет'!E34+обласний!E34+інші!E34</f>
        <v>0</v>
      </c>
      <c r="F34" s="62" t="e">
        <f t="shared" si="27"/>
        <v>#DIV/0!</v>
      </c>
      <c r="G34" s="63">
        <f>'насел.'!G34+пільги!G34+субсидії!G34+'держ.бюджет'!G34+'місц.-районн.бюджет'!G34+обласний!G34+інші!G34</f>
        <v>0</v>
      </c>
      <c r="H34" s="63">
        <f>'насел.'!H34+пільги!H34+субсидії!H34+'держ.бюджет'!H34+'місц.-районн.бюджет'!H34+обласний!H34+інші!H34</f>
        <v>0</v>
      </c>
      <c r="I34" s="62" t="e">
        <f t="shared" si="28"/>
        <v>#DIV/0!</v>
      </c>
      <c r="J34" s="63">
        <f>'насел.'!J34+пільги!J34+субсидії!J34+'держ.бюджет'!J34+'місц.-районн.бюджет'!J34+обласний!J34+інші!J34</f>
        <v>0</v>
      </c>
      <c r="K34" s="63">
        <f>'насел.'!K34+пільги!K34+субсидії!K34+'держ.бюджет'!K34+'місц.-районн.бюджет'!K34+обласний!K34+інші!K34</f>
        <v>0</v>
      </c>
      <c r="L34" s="62" t="e">
        <f t="shared" si="29"/>
        <v>#DIV/0!</v>
      </c>
      <c r="M34" s="62">
        <f>'насел.'!M34+пільги!M34+субсидії!M34+'держ.бюджет'!M34+'місц.-районн.бюджет'!M34+обласний!M34+інші!M34</f>
        <v>0</v>
      </c>
      <c r="N34" s="62">
        <f>'насел.'!N34+пільги!N34+субсидії!N34+'держ.бюджет'!N34+'місц.-районн.бюджет'!N34+обласний!N34+інші!N34</f>
        <v>0</v>
      </c>
      <c r="O34" s="62" t="e">
        <f t="shared" si="30"/>
        <v>#DIV/0!</v>
      </c>
      <c r="P34" s="63">
        <f>'насел.'!P34+пільги!P34+субсидії!P34+'держ.бюджет'!P34+'місц.-районн.бюджет'!P34+обласний!P34+інші!P34</f>
        <v>0</v>
      </c>
      <c r="Q34" s="63">
        <f>'насел.'!Q34+пільги!Q34+субсидії!Q34+'держ.бюджет'!Q34+'місц.-районн.бюджет'!Q34+обласний!Q34+інші!Q34</f>
        <v>0</v>
      </c>
      <c r="R34" s="63" t="e">
        <f t="shared" si="31"/>
        <v>#DIV/0!</v>
      </c>
      <c r="S34" s="63">
        <f>'насел.'!S34+пільги!S34+субсидії!S34+'держ.бюджет'!S34+'місц.-районн.бюджет'!S34+обласний!S34+інші!S34</f>
        <v>0</v>
      </c>
      <c r="T34" s="63">
        <f>'насел.'!T34+пільги!T34+субсидії!T34+'держ.бюджет'!T34+'місц.-районн.бюджет'!T34+обласний!T34+інші!T34</f>
        <v>0</v>
      </c>
      <c r="U34" s="62" t="e">
        <f t="shared" si="32"/>
        <v>#DIV/0!</v>
      </c>
      <c r="V34" s="63">
        <f>'насел.'!V34+пільги!V34+субсидії!V34+'держ.бюджет'!V34+'місц.-районн.бюджет'!V34+обласний!V34+інші!V34</f>
        <v>0</v>
      </c>
      <c r="W34" s="63">
        <f>'насел.'!W34+пільги!W34+субсидії!W34+'держ.бюджет'!W34+'місц.-районн.бюджет'!W34+обласний!W34+інші!W34</f>
        <v>0</v>
      </c>
      <c r="X34" s="62" t="e">
        <f t="shared" si="33"/>
        <v>#DIV/0!</v>
      </c>
      <c r="Y34" s="63">
        <f>'насел.'!Y34+пільги!Y34+субсидії!Y34+'держ.бюджет'!Y34+'місц.-районн.бюджет'!Y34+обласний!Y34+інші!Y34</f>
        <v>0</v>
      </c>
      <c r="Z34" s="63">
        <f>'насел.'!Z34+пільги!Z34+субсидії!Z34+'держ.бюджет'!Z34+'місц.-районн.бюджет'!Z34+обласний!Z34+інші!Z34</f>
        <v>0</v>
      </c>
      <c r="AA34" s="62" t="e">
        <f t="shared" si="34"/>
        <v>#DIV/0!</v>
      </c>
      <c r="AB34" s="63">
        <f>'насел.'!AB34+пільги!AB34+субсидії!AB34+'держ.бюджет'!AB34+'місц.-районн.бюджет'!AB34+обласний!AB34+інші!AB34</f>
        <v>0</v>
      </c>
      <c r="AC34" s="63">
        <f>'насел.'!AC34+пільги!AC34+субсидії!AC34+'держ.бюджет'!AC34+'місц.-районн.бюджет'!AC34+обласний!AC34+інші!AC34</f>
        <v>0</v>
      </c>
      <c r="AD34" s="62" t="e">
        <f t="shared" si="35"/>
        <v>#DIV/0!</v>
      </c>
      <c r="AE34" s="63">
        <f>'насел.'!AE34+пільги!AE34+субсидії!AE34+'держ.бюджет'!AE34+'місц.-районн.бюджет'!AE34+обласний!AE34+інші!AE34</f>
        <v>0</v>
      </c>
      <c r="AF34" s="63">
        <f>'насел.'!AF34+пільги!AF34+субсидії!AF34+'держ.бюджет'!AF34+'місц.-районн.бюджет'!AF34+обласний!AF34+інші!AF34</f>
        <v>0</v>
      </c>
      <c r="AG34" s="62" t="e">
        <f t="shared" si="36"/>
        <v>#DIV/0!</v>
      </c>
      <c r="AH34" s="63">
        <f>'насел.'!AH34+пільги!AH34+субсидії!AH34+'держ.бюджет'!AH34+'місц.-районн.бюджет'!AH34+обласний!AH34+інші!AH34</f>
        <v>0</v>
      </c>
      <c r="AI34" s="63">
        <f>'насел.'!AI34+пільги!AI34+субсидії!AI34+'держ.бюджет'!AI34+'місц.-районн.бюджет'!AI34+обласний!AI34+інші!AI34</f>
        <v>0</v>
      </c>
      <c r="AJ34" s="62" t="e">
        <f t="shared" si="37"/>
        <v>#DIV/0!</v>
      </c>
      <c r="AK34" s="79">
        <f>'насел.'!AK34+пільги!AR34+субсидії!AK34+'держ.бюджет'!AK34+'місц.-районн.бюджет'!AK34+обласний!AK34+інші!AK34</f>
        <v>0</v>
      </c>
      <c r="AL34" s="63">
        <f>'насел.'!AL34+пільги!AK34+субсидії!AL34+'держ.бюджет'!AL34+'місц.-районн.бюджет'!AL34+обласний!AL34+інші!AL34</f>
        <v>0</v>
      </c>
      <c r="AM34" s="63" t="e">
        <f t="shared" si="38"/>
        <v>#DIV/0!</v>
      </c>
      <c r="AN34" s="79">
        <f>'насел.'!AN34+пільги!AN34+субсидії!AN34+'держ.бюджет'!AN34+'місц.-районн.бюджет'!AN34+обласний!AN34+інші!AN34</f>
        <v>0</v>
      </c>
      <c r="AO34" s="63">
        <f>'насел.'!AO34+пільги!AN34+субсидії!AO34+'держ.бюджет'!AO34+'місц.-районн.бюджет'!AO34+обласний!AO34+інші!AO34</f>
        <v>0</v>
      </c>
      <c r="AP34" s="63">
        <f>'насел.'!AP34+пільги!AO34+субсидії!AP34+'держ.бюджет'!AP34+'місц.-районн.бюджет'!AP34+обласний!AP34+інші!AP34</f>
        <v>0</v>
      </c>
      <c r="AQ34" s="63">
        <f>'насел.'!AQ34+пільги!AP34+субсидії!AQ34+'держ.бюджет'!AQ34+'місц.-районн.бюджет'!AQ34+обласний!AQ34+інші!AQ34</f>
        <v>0</v>
      </c>
      <c r="AR34" s="63">
        <f>'насел.'!AR34+пільги!AQ34+субсидії!AR34+'держ.бюджет'!AR34+'місц.-районн.бюджет'!AR34+обласний!AR34+інші!AR34</f>
        <v>0</v>
      </c>
      <c r="AS34" s="63">
        <f>'насел.'!AS34+пільги!AR34+субсидії!AS34+'держ.бюджет'!AS34+'місц.-районн.бюджет'!AS34+обласний!AS34+інші!AS34</f>
        <v>0</v>
      </c>
      <c r="AT34" s="63">
        <f>'насел.'!AT34+пільги!AT34+субсидії!AT34+'держ.бюджет'!AT34+'місц.-районн.бюджет'!AT34+обласний!AT34+інші!AT34</f>
        <v>0</v>
      </c>
      <c r="AU34" s="63">
        <f>'насел.'!AU34+пільги!AU34+субсидії!AU34+'держ.бюджет'!AU34+'місц.-районн.бюджет'!AU34+обласний!AU34+інші!AU34</f>
        <v>0</v>
      </c>
      <c r="AV34" s="62" t="e">
        <f t="shared" si="39"/>
        <v>#DIV/0!</v>
      </c>
      <c r="AW34" s="63">
        <f t="shared" si="13"/>
        <v>0</v>
      </c>
      <c r="AX34" s="66">
        <f>'насел.'!AX34+пільги!AX34+субсидії!AX34+'держ.бюджет'!AX34+'місц.-районн.бюджет'!AX34+обласний!AX34+інші!AX34</f>
        <v>0</v>
      </c>
      <c r="AY34" s="144"/>
      <c r="AZ34" s="144"/>
      <c r="BA34" s="144"/>
      <c r="BB34" s="144"/>
    </row>
    <row r="35" spans="1:54" ht="34.5" customHeight="1">
      <c r="A35" s="10" t="s">
        <v>29</v>
      </c>
      <c r="B35" s="162" t="s">
        <v>141</v>
      </c>
      <c r="C35" s="63">
        <f>'насел.'!C35+пільги!C35+субсидії!C35+'держ.бюджет'!C35+'місц.-районн.бюджет'!C35+обласний!C35+інші!C35</f>
        <v>50154</v>
      </c>
      <c r="D35" s="63">
        <f>'насел.'!D35+пільги!D35+субсидії!D35+'держ.бюджет'!D35+'місц.-районн.бюджет'!D35+обласний!D35+інші!D35</f>
        <v>20133.500000000004</v>
      </c>
      <c r="E35" s="63">
        <f>'насел.'!E35+пільги!E35+субсидії!E35+'держ.бюджет'!E35+'місц.-районн.бюджет'!E35+обласний!E35+інші!E35</f>
        <v>14364</v>
      </c>
      <c r="F35" s="62">
        <f t="shared" si="27"/>
        <v>71.34378026671963</v>
      </c>
      <c r="G35" s="63">
        <f>'насел.'!G35+пільги!G35+субсидії!G35+'держ.бюджет'!G35+'місц.-районн.бюджет'!G35+обласний!G35+інші!G35</f>
        <v>21302</v>
      </c>
      <c r="H35" s="63">
        <f>'насел.'!H35+пільги!H35+субсидії!H35+'держ.бюджет'!H35+'місц.-районн.бюджет'!H35+обласний!H35+інші!H35</f>
        <v>15202.1</v>
      </c>
      <c r="I35" s="62">
        <f t="shared" si="28"/>
        <v>71.36466059524928</v>
      </c>
      <c r="J35" s="63">
        <f>'насел.'!J35+пільги!J35+субсидії!J35+'держ.бюджет'!J35+'місц.-районн.бюджет'!J35+обласний!J35+інші!J35</f>
        <v>20302.7</v>
      </c>
      <c r="K35" s="63">
        <f>'насел.'!K35+пільги!K35+субсидії!K35+'держ.бюджет'!K35+'місц.-районн.бюджет'!K35+обласний!K35+інші!K35</f>
        <v>14752.500000000002</v>
      </c>
      <c r="L35" s="62">
        <f t="shared" si="29"/>
        <v>72.66274928950337</v>
      </c>
      <c r="M35" s="62">
        <f>'насел.'!M35+пільги!M35+субсидії!M35+'держ.бюджет'!M35+'місц.-районн.бюджет'!M35+обласний!M35+інші!M35</f>
        <v>61738.200000000004</v>
      </c>
      <c r="N35" s="62">
        <f>'насел.'!N35+пільги!N35+субсидії!N35+'держ.бюджет'!N35+'місц.-районн.бюджет'!N35+обласний!N35+інші!N35</f>
        <v>44318.6</v>
      </c>
      <c r="O35" s="62">
        <f t="shared" si="30"/>
        <v>71.78472971353229</v>
      </c>
      <c r="P35" s="63">
        <f>'насел.'!P35+пільги!P35+субсидії!P35+'держ.бюджет'!P35+'місц.-районн.бюджет'!P35+обласний!P35+інші!P35</f>
        <v>2296.7999999999997</v>
      </c>
      <c r="Q35" s="63">
        <f>'насел.'!Q35+пільги!Q35+субсидії!Q35+'держ.бюджет'!Q35+'місц.-районн.бюджет'!Q35+обласний!Q35+інші!Q35</f>
        <v>11939.099999999999</v>
      </c>
      <c r="R35" s="63">
        <f t="shared" si="31"/>
        <v>519.8145245559039</v>
      </c>
      <c r="S35" s="63">
        <f>'насел.'!S35+пільги!S35+субсидії!S35+'держ.бюджет'!S35+'місц.-районн.бюджет'!S35+обласний!S35+інші!S35</f>
        <v>0</v>
      </c>
      <c r="T35" s="63">
        <f>'насел.'!T35+пільги!T35+субсидії!T35+'держ.бюджет'!T35+'місц.-районн.бюджет'!T35+обласний!T35+інші!T35</f>
        <v>4307.799999999999</v>
      </c>
      <c r="U35" s="62" t="e">
        <f t="shared" si="32"/>
        <v>#DIV/0!</v>
      </c>
      <c r="V35" s="63">
        <f>'насел.'!V35+пільги!V35+субсидії!V35+'держ.бюджет'!V35+'місц.-районн.бюджет'!V35+обласний!V35+інші!V35</f>
        <v>0</v>
      </c>
      <c r="W35" s="63">
        <f>'насел.'!W35+пільги!W35+субсидії!W35+'держ.бюджет'!W35+'місц.-районн.бюджет'!W35+обласний!W35+інші!W35</f>
        <v>1150.8000000000002</v>
      </c>
      <c r="X35" s="62" t="e">
        <f t="shared" si="33"/>
        <v>#DIV/0!</v>
      </c>
      <c r="Y35" s="63">
        <f>'насел.'!Y35+пільги!Y35+субсидії!Y35+'держ.бюджет'!Y35+'місц.-районн.бюджет'!Y35+обласний!Y35+інші!Y35</f>
        <v>2296.7999999999997</v>
      </c>
      <c r="Z35" s="63">
        <f>'насел.'!Z35+пільги!Z35+субсидії!Z35+'держ.бюджет'!Z35+'місц.-районн.бюджет'!Z35+обласний!Z35+інші!Z35</f>
        <v>17397.699999999997</v>
      </c>
      <c r="AA35" s="62">
        <f t="shared" si="34"/>
        <v>757.4756182514803</v>
      </c>
      <c r="AB35" s="63">
        <f>'насел.'!AB35+пільги!AB35+субсидії!AB35+'держ.бюджет'!AB35+'місц.-районн.бюджет'!AB35+обласний!AB35+інші!AB35</f>
        <v>0</v>
      </c>
      <c r="AC35" s="63">
        <f>'насел.'!AC35+пільги!AC35+субсидії!AC35+'держ.бюджет'!AC35+'місц.-районн.бюджет'!AC35+обласний!AC35+інші!AC35</f>
        <v>0</v>
      </c>
      <c r="AD35" s="62" t="e">
        <f t="shared" si="35"/>
        <v>#DIV/0!</v>
      </c>
      <c r="AE35" s="63">
        <f>'насел.'!AE35+пільги!AE35+субсидії!AE35+'держ.бюджет'!AE35+'місц.-районн.бюджет'!AE35+обласний!AE35+інші!AE35</f>
        <v>0</v>
      </c>
      <c r="AF35" s="63">
        <f>'насел.'!AF35+пільги!AF35+субсидії!AF35+'держ.бюджет'!AF35+'місц.-районн.бюджет'!AF35+обласний!AF35+інші!AF35</f>
        <v>0</v>
      </c>
      <c r="AG35" s="62" t="e">
        <f t="shared" si="36"/>
        <v>#DIV/0!</v>
      </c>
      <c r="AH35" s="63">
        <f>'насел.'!AH35+пільги!AH35+субсидії!AH35+'держ.бюджет'!AH35+'місц.-районн.бюджет'!AH35+обласний!AH35+інші!AH35</f>
        <v>0</v>
      </c>
      <c r="AI35" s="63">
        <f>'насел.'!AI35+пільги!AI35+субсидії!AI35+'держ.бюджет'!AI35+'місц.-районн.бюджет'!AI35+обласний!AI35+інші!AI35</f>
        <v>0</v>
      </c>
      <c r="AJ35" s="62" t="e">
        <f t="shared" si="37"/>
        <v>#DIV/0!</v>
      </c>
      <c r="AK35" s="79">
        <f>'насел.'!AK35+пільги!AR35+субсидії!AK35+'держ.бюджет'!AK35+'місц.-районн.бюджет'!AK35+обласний!AK35+інші!AK35</f>
        <v>0</v>
      </c>
      <c r="AL35" s="63">
        <f>'насел.'!AL35+пільги!AK35+субсидії!AL35+'держ.бюджет'!AL35+'місц.-районн.бюджет'!AL35+обласний!AL35+інші!AL35</f>
        <v>0</v>
      </c>
      <c r="AM35" s="63" t="e">
        <f t="shared" si="38"/>
        <v>#DIV/0!</v>
      </c>
      <c r="AN35" s="79">
        <f>'насел.'!AN35+пільги!AN35+субсидії!AN35+'держ.бюджет'!AN35+'місц.-районн.бюджет'!AN35+обласний!AN35+інші!AN35</f>
        <v>0</v>
      </c>
      <c r="AO35" s="63">
        <f>'насел.'!AO35+пільги!AN35+субсидії!AO35+'держ.бюджет'!AO35+'місц.-районн.бюджет'!AO35+обласний!AO35+інші!AO35</f>
        <v>0</v>
      </c>
      <c r="AP35" s="63">
        <f>'насел.'!AP35+пільги!AO35+субсидії!AP35+'держ.бюджет'!AP35+'місц.-районн.бюджет'!AP35+обласний!AP35+інші!AP35</f>
        <v>0</v>
      </c>
      <c r="AQ35" s="63">
        <f>'насел.'!AQ35+пільги!AP35+субсидії!AQ35+'держ.бюджет'!AQ35+'місц.-районн.бюджет'!AQ35+обласний!AQ35+інші!AQ35</f>
        <v>0</v>
      </c>
      <c r="AR35" s="63">
        <f>'насел.'!AR35+пільги!AQ35+субсидії!AR35+'держ.бюджет'!AR35+'місц.-районн.бюджет'!AR35+обласний!AR35+інші!AR35</f>
        <v>0</v>
      </c>
      <c r="AS35" s="63">
        <f>'насел.'!AS35+пільги!AR35+субсидії!AS35+'держ.бюджет'!AS35+'місц.-районн.бюджет'!AS35+обласний!AS35+інші!AS35</f>
        <v>0</v>
      </c>
      <c r="AT35" s="79">
        <f>'насел.'!AT35+пільги!AT35+субсидії!AT35+'держ.бюджет'!AT35+'місц.-районн.бюджет'!AT35+обласний!AT35+інші!AT35</f>
        <v>64035.00000000001</v>
      </c>
      <c r="AU35" s="79">
        <f>'насел.'!AU35+пільги!AU35+субсидії!AU35+'держ.бюджет'!AU35+'місц.-районн.бюджет'!AU35+обласний!AU35+інші!AU35</f>
        <v>61716.299999999996</v>
      </c>
      <c r="AV35" s="62">
        <f t="shared" si="39"/>
        <v>96.3790114780979</v>
      </c>
      <c r="AW35" s="63">
        <f t="shared" si="13"/>
        <v>2318.7000000000116</v>
      </c>
      <c r="AX35" s="66">
        <f>'насел.'!AX35+пільги!AX35+субсидії!AX35+'держ.бюджет'!AX35+'місц.-районн.бюджет'!AX35+обласний!AX35+інші!AX35</f>
        <v>52472.7</v>
      </c>
      <c r="AY35" s="144"/>
      <c r="AZ35" s="144"/>
      <c r="BA35" s="144"/>
      <c r="BB35" s="144"/>
    </row>
    <row r="36" spans="1:54" ht="34.5" customHeight="1">
      <c r="A36" s="10" t="s">
        <v>30</v>
      </c>
      <c r="B36" s="162" t="s">
        <v>157</v>
      </c>
      <c r="C36" s="63">
        <f>'насел.'!C36+пільги!C36+субсидії!C36+'держ.бюджет'!C36+'місц.-районн.бюджет'!C36+обласний!C36+інші!C36</f>
        <v>3132.1000000000004</v>
      </c>
      <c r="D36" s="63">
        <f>'насел.'!D36+пільги!D36+субсидії!D36+'держ.бюджет'!D36+'місц.-районн.бюджет'!D36+обласний!D36+інші!D36</f>
        <v>2677.5</v>
      </c>
      <c r="E36" s="63">
        <f>'насел.'!E36+пільги!E36+субсидії!E36+'держ.бюджет'!E36+'місц.-районн.бюджет'!E36+обласний!E36+інші!E36</f>
        <v>542.5</v>
      </c>
      <c r="F36" s="62">
        <f t="shared" si="27"/>
        <v>20.26143790849673</v>
      </c>
      <c r="G36" s="63">
        <f>'насел.'!G36+пільги!G36+субсидії!G36+'держ.бюджет'!G36+'місц.-районн.бюджет'!G36+обласний!G36+інші!G36</f>
        <v>2317.5</v>
      </c>
      <c r="H36" s="63">
        <f>'насел.'!H36+пільги!H36+субсидії!H36+'держ.бюджет'!H36+'місц.-районн.бюджет'!H36+обласний!H36+інші!H36</f>
        <v>2289</v>
      </c>
      <c r="I36" s="62">
        <f t="shared" si="28"/>
        <v>98.77022653721683</v>
      </c>
      <c r="J36" s="63">
        <f>'насел.'!J36+пільги!J36+субсидії!J36+'держ.бюджет'!J36+'місц.-районн.бюджет'!J36+обласний!J36+інші!J36</f>
        <v>1708.4</v>
      </c>
      <c r="K36" s="63">
        <f>'насел.'!K36+пільги!K36+субсидії!K36+'держ.бюджет'!K36+'місц.-районн.бюджет'!K36+обласний!K36+інші!K36</f>
        <v>1712.6</v>
      </c>
      <c r="L36" s="62">
        <f t="shared" si="29"/>
        <v>100.24584406462185</v>
      </c>
      <c r="M36" s="62">
        <f>'насел.'!M36+пільги!M36+субсидії!M36+'держ.бюджет'!M36+'місц.-районн.бюджет'!M36+обласний!M36+інші!M36</f>
        <v>6703.400000000001</v>
      </c>
      <c r="N36" s="62">
        <f>'насел.'!N36+пільги!N36+субсидії!N36+'держ.бюджет'!N36+'місц.-районн.бюджет'!N36+обласний!N36+інші!N36</f>
        <v>4544.1</v>
      </c>
      <c r="O36" s="62">
        <f t="shared" si="30"/>
        <v>67.7879881851001</v>
      </c>
      <c r="P36" s="63">
        <f>'насел.'!P36+пільги!P36+субсидії!P36+'держ.бюджет'!P36+'місц.-районн.бюджет'!P36+обласний!P36+інші!P36</f>
        <v>57.599999999999994</v>
      </c>
      <c r="Q36" s="63">
        <f>'насел.'!Q36+пільги!Q36+субсидії!Q36+'держ.бюджет'!Q36+'місц.-районн.бюджет'!Q36+обласний!Q36+інші!Q36</f>
        <v>1331.3</v>
      </c>
      <c r="R36" s="63">
        <f t="shared" si="31"/>
        <v>2311.2847222222226</v>
      </c>
      <c r="S36" s="63">
        <f>'насел.'!S36+пільги!S36+субсидії!S36+'держ.бюджет'!S36+'місц.-районн.бюджет'!S36+обласний!S36+інші!S36</f>
        <v>0</v>
      </c>
      <c r="T36" s="63">
        <f>'насел.'!T36+пільги!T36+субсидії!T36+'держ.бюджет'!T36+'місц.-районн.бюджет'!T36+обласний!T36+інші!T36</f>
        <v>187.10000000000002</v>
      </c>
      <c r="U36" s="62" t="e">
        <f t="shared" si="32"/>
        <v>#DIV/0!</v>
      </c>
      <c r="V36" s="63">
        <f>'насел.'!V36+пільги!V36+субсидії!V36+'держ.бюджет'!V36+'місц.-районн.бюджет'!V36+обласний!V36+інші!V36</f>
        <v>0</v>
      </c>
      <c r="W36" s="63">
        <f>'насел.'!W36+пільги!W36+субсидії!W36+'держ.бюджет'!W36+'місц.-районн.бюджет'!W36+обласний!W36+інші!W36</f>
        <v>80.2</v>
      </c>
      <c r="X36" s="62" t="e">
        <f t="shared" si="33"/>
        <v>#DIV/0!</v>
      </c>
      <c r="Y36" s="63">
        <f>'насел.'!Y36+пільги!Y36+субсидії!Y36+'держ.бюджет'!Y36+'місц.-районн.бюджет'!Y36+обласний!Y36+інші!Y36</f>
        <v>57.599999999999994</v>
      </c>
      <c r="Z36" s="63">
        <f>'насел.'!Z36+пільги!Z36+субсидії!Z36+'держ.бюджет'!Z36+'місц.-районн.бюджет'!Z36+обласний!Z36+інші!Z36</f>
        <v>1598.6</v>
      </c>
      <c r="AA36" s="62">
        <f t="shared" si="34"/>
        <v>2775.3472222222226</v>
      </c>
      <c r="AB36" s="63">
        <f>'насел.'!AB36+пільги!AB36+субсидії!AB36+'держ.бюджет'!AB36+'місц.-районн.бюджет'!AB36+обласний!AB36+інші!AB36</f>
        <v>0</v>
      </c>
      <c r="AC36" s="63">
        <f>'насел.'!AC36+пільги!AC36+субсидії!AC36+'держ.бюджет'!AC36+'місц.-районн.бюджет'!AC36+обласний!AC36+інші!AC36</f>
        <v>0</v>
      </c>
      <c r="AD36" s="62" t="e">
        <f t="shared" si="35"/>
        <v>#DIV/0!</v>
      </c>
      <c r="AE36" s="63">
        <f>'насел.'!AE36+пільги!AE36+субсидії!AE36+'держ.бюджет'!AE36+'місц.-районн.бюджет'!AE36+обласний!AE36+інші!AE36</f>
        <v>0</v>
      </c>
      <c r="AF36" s="63">
        <f>'насел.'!AF36+пільги!AF36+субсидії!AF36+'держ.бюджет'!AF36+'місц.-районн.бюджет'!AF36+обласний!AF36+інші!AF36</f>
        <v>0</v>
      </c>
      <c r="AG36" s="62" t="e">
        <f t="shared" si="36"/>
        <v>#DIV/0!</v>
      </c>
      <c r="AH36" s="63">
        <f>'насел.'!AH36+пільги!AH36+субсидії!AH36+'держ.бюджет'!AH36+'місц.-районн.бюджет'!AH36+обласний!AH36+інші!AH36</f>
        <v>0</v>
      </c>
      <c r="AI36" s="63">
        <f>'насел.'!AI36+пільги!AI36+субсидії!AI36+'держ.бюджет'!AI36+'місц.-районн.бюджет'!AI36+обласний!AI36+інші!AI36</f>
        <v>0</v>
      </c>
      <c r="AJ36" s="62" t="e">
        <f t="shared" si="37"/>
        <v>#DIV/0!</v>
      </c>
      <c r="AK36" s="79">
        <f>'насел.'!AK36+пільги!AR36+субсидії!AK36+'держ.бюджет'!AK36+'місц.-районн.бюджет'!AK36+обласний!AK36+інші!AK36</f>
        <v>0</v>
      </c>
      <c r="AL36" s="63">
        <f>'насел.'!AL36+пільги!AK36+субсидії!AL36+'держ.бюджет'!AL36+'місц.-районн.бюджет'!AL36+обласний!AL36+інші!AL36</f>
        <v>0</v>
      </c>
      <c r="AM36" s="63" t="e">
        <f t="shared" si="38"/>
        <v>#DIV/0!</v>
      </c>
      <c r="AN36" s="79">
        <f>'насел.'!AN36+пільги!AN36+субсидії!AN36+'держ.бюджет'!AN36+'місц.-районн.бюджет'!AN36+обласний!AN36+інші!AN36</f>
        <v>0</v>
      </c>
      <c r="AO36" s="63">
        <f>'насел.'!AO36+пільги!AN36+субсидії!AO36+'держ.бюджет'!AO36+'місц.-районн.бюджет'!AO36+обласний!AO36+інші!AO36</f>
        <v>0</v>
      </c>
      <c r="AP36" s="63">
        <f>'насел.'!AP36+пільги!AO36+субсидії!AP36+'держ.бюджет'!AP36+'місц.-районн.бюджет'!AP36+обласний!AP36+інші!AP36</f>
        <v>0</v>
      </c>
      <c r="AQ36" s="63">
        <f>'насел.'!AQ36+пільги!AP36+субсидії!AQ36+'держ.бюджет'!AQ36+'місц.-районн.бюджет'!AQ36+обласний!AQ36+інші!AQ36</f>
        <v>0</v>
      </c>
      <c r="AR36" s="63">
        <f>'насел.'!AR36+пільги!AQ36+субсидії!AR36+'держ.бюджет'!AR36+'місц.-районн.бюджет'!AR36+обласний!AR36+інші!AR36</f>
        <v>0</v>
      </c>
      <c r="AS36" s="63">
        <f>'насел.'!AS36+пільги!AR36+субсидії!AS36+'держ.бюджет'!AS36+'місц.-районн.бюджет'!AS36+обласний!AS36+інші!AS36</f>
        <v>0</v>
      </c>
      <c r="AT36" s="63">
        <f>'насел.'!AT36+пільги!AT36+субсидії!AT36+'держ.бюджет'!AT36+'місц.-районн.бюджет'!AT36+обласний!AT36+інші!AT36</f>
        <v>6761.000000000001</v>
      </c>
      <c r="AU36" s="63">
        <f>'насел.'!AU36+пільги!AU36+субсидії!AU36+'держ.бюджет'!AU36+'місц.-районн.бюджет'!AU36+обласний!AU36+інші!AU36</f>
        <v>6142.7</v>
      </c>
      <c r="AV36" s="62">
        <f t="shared" si="39"/>
        <v>90.8549031208401</v>
      </c>
      <c r="AW36" s="63">
        <f t="shared" si="13"/>
        <v>618.3000000000011</v>
      </c>
      <c r="AX36" s="66">
        <f>'насел.'!AX36+пільги!AX36+субсидії!AX36+'держ.бюджет'!AX36+'місц.-районн.бюджет'!AX36+обласний!AX36+інші!AX36</f>
        <v>3750.4000000000015</v>
      </c>
      <c r="AY36" s="144"/>
      <c r="AZ36" s="144"/>
      <c r="BA36" s="144"/>
      <c r="BB36" s="144"/>
    </row>
    <row r="37" spans="1:54" ht="34.5" customHeight="1" hidden="1">
      <c r="A37" s="10" t="s">
        <v>13</v>
      </c>
      <c r="B37" s="110" t="s">
        <v>98</v>
      </c>
      <c r="C37" s="63">
        <f>'насел.'!C37+пільги!C37+субсидії!C37+'держ.бюджет'!C37+'місц.-районн.бюджет'!C37+обласний!C37+інші!C37</f>
        <v>0</v>
      </c>
      <c r="D37" s="63">
        <f>'насел.'!D37+пільги!D37+субсидії!D37+'держ.бюджет'!D37+'місц.-районн.бюджет'!D37+обласний!D37+інші!D37</f>
        <v>0</v>
      </c>
      <c r="E37" s="63">
        <f>'насел.'!E37+пільги!E37+субсидії!E37+'держ.бюджет'!E37+'місц.-районн.бюджет'!E37+обласний!E37+інші!E37</f>
        <v>0</v>
      </c>
      <c r="F37" s="62" t="e">
        <f t="shared" si="27"/>
        <v>#DIV/0!</v>
      </c>
      <c r="G37" s="63">
        <f>'насел.'!G37+пільги!G37+субсидії!G37+'держ.бюджет'!G37+'місц.-районн.бюджет'!G37+обласний!G37+інші!G37</f>
        <v>0</v>
      </c>
      <c r="H37" s="63">
        <f>'насел.'!H37+пільги!H37+субсидії!H37+'держ.бюджет'!H37+'місц.-районн.бюджет'!H37+обласний!H37+інші!H37</f>
        <v>0</v>
      </c>
      <c r="I37" s="62" t="e">
        <f t="shared" si="28"/>
        <v>#DIV/0!</v>
      </c>
      <c r="J37" s="63">
        <f>'насел.'!J37+пільги!J37+субсидії!J37+'держ.бюджет'!J37+'місц.-районн.бюджет'!J37+обласний!J37+інші!J37</f>
        <v>0</v>
      </c>
      <c r="K37" s="63">
        <f>'насел.'!K37+пільги!K37+субсидії!K37+'держ.бюджет'!K37+'місц.-районн.бюджет'!K37+обласний!K37+інші!K37</f>
        <v>0</v>
      </c>
      <c r="L37" s="62" t="e">
        <f t="shared" si="29"/>
        <v>#DIV/0!</v>
      </c>
      <c r="M37" s="62">
        <f>'насел.'!M37+пільги!M37+субсидії!M37+'держ.бюджет'!M37+'місц.-районн.бюджет'!M37+обласний!M37+інші!M37</f>
        <v>0</v>
      </c>
      <c r="N37" s="62">
        <f>'насел.'!N37+пільги!N37+субсидії!N37+'держ.бюджет'!N37+'місц.-районн.бюджет'!N37+обласний!N37+інші!N37</f>
        <v>0</v>
      </c>
      <c r="O37" s="62" t="e">
        <f t="shared" si="30"/>
        <v>#DIV/0!</v>
      </c>
      <c r="P37" s="63">
        <f>'насел.'!P37+пільги!P37+субсидії!P37+'держ.бюджет'!P37+'місц.-районн.бюджет'!P37+обласний!P37+інші!P37</f>
        <v>0</v>
      </c>
      <c r="Q37" s="63">
        <f>'насел.'!Q37+пільги!Q37+субсидії!Q37+'держ.бюджет'!Q37+'місц.-районн.бюджет'!Q37+обласний!Q37+інші!Q37</f>
        <v>0</v>
      </c>
      <c r="R37" s="63" t="e">
        <f t="shared" si="31"/>
        <v>#DIV/0!</v>
      </c>
      <c r="S37" s="63">
        <f>'насел.'!S37+пільги!S37+субсидії!S37+'держ.бюджет'!S37+'місц.-районн.бюджет'!S37+обласний!S37+інші!S37</f>
        <v>0</v>
      </c>
      <c r="T37" s="63">
        <f>'насел.'!T37+пільги!T37+субсидії!T37+'держ.бюджет'!T37+'місц.-районн.бюджет'!T37+обласний!T37+інші!T37</f>
        <v>0</v>
      </c>
      <c r="U37" s="62" t="e">
        <f t="shared" si="32"/>
        <v>#DIV/0!</v>
      </c>
      <c r="V37" s="63">
        <f>'насел.'!V37+пільги!V37+субсидії!V37+'держ.бюджет'!V37+'місц.-районн.бюджет'!V37+обласний!V37+інші!V37</f>
        <v>0</v>
      </c>
      <c r="W37" s="63">
        <f>'насел.'!W37+пільги!W37+субсидії!W37+'держ.бюджет'!W37+'місц.-районн.бюджет'!W37+обласний!W37+інші!W37</f>
        <v>0</v>
      </c>
      <c r="X37" s="62" t="e">
        <f t="shared" si="33"/>
        <v>#DIV/0!</v>
      </c>
      <c r="Y37" s="63">
        <f>'насел.'!Y37+пільги!Y37+субсидії!Y37+'держ.бюджет'!Y37+'місц.-районн.бюджет'!Y37+обласний!Y37+інші!Y37</f>
        <v>0</v>
      </c>
      <c r="Z37" s="63">
        <f>'насел.'!Z37+пільги!Z37+субсидії!Z37+'держ.бюджет'!Z37+'місц.-районн.бюджет'!Z37+обласний!Z37+інші!Z37</f>
        <v>0</v>
      </c>
      <c r="AA37" s="62" t="e">
        <f t="shared" si="34"/>
        <v>#DIV/0!</v>
      </c>
      <c r="AB37" s="63">
        <f>'насел.'!AB37+пільги!AB37+субсидії!AB37+'держ.бюджет'!AB37+'місц.-районн.бюджет'!AB37+обласний!AB37+інші!AB37</f>
        <v>0</v>
      </c>
      <c r="AC37" s="63">
        <f>'насел.'!AC37+пільги!AC37+субсидії!AC37+'держ.бюджет'!AC37+'місц.-районн.бюджет'!AC37+обласний!AC37+інші!AC37</f>
        <v>0</v>
      </c>
      <c r="AD37" s="62" t="e">
        <f t="shared" si="35"/>
        <v>#DIV/0!</v>
      </c>
      <c r="AE37" s="63">
        <f>'насел.'!AE37+пільги!AE37+субсидії!AE37+'держ.бюджет'!AE37+'місц.-районн.бюджет'!AE37+обласний!AE37+інші!AE37</f>
        <v>0</v>
      </c>
      <c r="AF37" s="63">
        <f>'насел.'!AF37+пільги!AF37+субсидії!AF37+'держ.бюджет'!AF37+'місц.-районн.бюджет'!AF37+обласний!AF37+інші!AF37</f>
        <v>0</v>
      </c>
      <c r="AG37" s="62" t="e">
        <f t="shared" si="36"/>
        <v>#DIV/0!</v>
      </c>
      <c r="AH37" s="63">
        <f>'насел.'!AH37+пільги!AH37+субсидії!AH37+'держ.бюджет'!AH37+'місц.-районн.бюджет'!AH37+обласний!AH37+інші!AH37</f>
        <v>0</v>
      </c>
      <c r="AI37" s="63">
        <f>'насел.'!AI37+пільги!AI37+субсидії!AI37+'держ.бюджет'!AI37+'місц.-районн.бюджет'!AI37+обласний!AI37+інші!AI37</f>
        <v>0</v>
      </c>
      <c r="AJ37" s="62" t="e">
        <f t="shared" si="37"/>
        <v>#DIV/0!</v>
      </c>
      <c r="AK37" s="79">
        <f>'насел.'!AK37+пільги!AR37+субсидії!AK37+'держ.бюджет'!AK37+'місц.-районн.бюджет'!AK37+обласний!AK37+інші!AK37</f>
        <v>0</v>
      </c>
      <c r="AL37" s="63">
        <f>'насел.'!AL37+пільги!AK37+субсидії!AL37+'держ.бюджет'!AL37+'місц.-районн.бюджет'!AL37+обласний!AL37+інші!AL37</f>
        <v>0</v>
      </c>
      <c r="AM37" s="63" t="e">
        <f t="shared" si="38"/>
        <v>#DIV/0!</v>
      </c>
      <c r="AN37" s="79">
        <f>'насел.'!AN37+пільги!AN37+субсидії!AN37+'держ.бюджет'!AN37+'місц.-районн.бюджет'!AN37+обласний!AN37+інші!AN37</f>
        <v>0</v>
      </c>
      <c r="AO37" s="63">
        <f>'насел.'!AO37+пільги!AN37+субсидії!AO37+'держ.бюджет'!AO37+'місц.-районн.бюджет'!AO37+обласний!AO37+інші!AO37</f>
        <v>0</v>
      </c>
      <c r="AP37" s="63">
        <f>'насел.'!AP37+пільги!AO37+субсидії!AP37+'держ.бюджет'!AP37+'місц.-районн.бюджет'!AP37+обласний!AP37+інші!AP37</f>
        <v>0</v>
      </c>
      <c r="AQ37" s="63">
        <f>'насел.'!AQ37+пільги!AP37+субсидії!AQ37+'держ.бюджет'!AQ37+'місц.-районн.бюджет'!AQ37+обласний!AQ37+інші!AQ37</f>
        <v>0</v>
      </c>
      <c r="AR37" s="63">
        <f>'насел.'!AR37+пільги!AQ37+субсидії!AR37+'держ.бюджет'!AR37+'місц.-районн.бюджет'!AR37+обласний!AR37+інші!AR37</f>
        <v>0</v>
      </c>
      <c r="AS37" s="63">
        <f>'насел.'!AS37+пільги!AR37+субсидії!AS37+'держ.бюджет'!AS37+'місц.-районн.бюджет'!AS37+обласний!AS37+інші!AS37</f>
        <v>0</v>
      </c>
      <c r="AT37" s="63">
        <f>'насел.'!AT37+пільги!AT37+субсидії!AT37+'держ.бюджет'!AT37+'місц.-районн.бюджет'!AT37+обласний!AT37+інші!AT37</f>
        <v>0</v>
      </c>
      <c r="AU37" s="63">
        <f>'насел.'!AU37+пільги!AU37+субсидії!AU37+'держ.бюджет'!AU37+'місц.-районн.бюджет'!AU37+обласний!AU37+інші!AU37</f>
        <v>0</v>
      </c>
      <c r="AV37" s="62" t="e">
        <f t="shared" si="39"/>
        <v>#DIV/0!</v>
      </c>
      <c r="AW37" s="63">
        <f t="shared" si="13"/>
        <v>0</v>
      </c>
      <c r="AX37" s="66">
        <f>'насел.'!AX37+пільги!AX37+субсидії!AX37+'держ.бюджет'!AX37+'місц.-районн.бюджет'!AX37+обласний!AX37+інші!AX37</f>
        <v>0</v>
      </c>
      <c r="AY37" s="144"/>
      <c r="AZ37" s="144"/>
      <c r="BA37" s="144"/>
      <c r="BB37" s="144"/>
    </row>
    <row r="38" spans="1:54" ht="34.5" customHeight="1">
      <c r="A38" s="10" t="s">
        <v>27</v>
      </c>
      <c r="B38" s="163" t="s">
        <v>158</v>
      </c>
      <c r="C38" s="63">
        <f>'насел.'!C38+пільги!C38+субсидії!C38+'держ.бюджет'!C38+'місц.-районн.бюджет'!C38+обласний!C38+інші!C38</f>
        <v>93.9</v>
      </c>
      <c r="D38" s="63">
        <f>'насел.'!D38+пільги!D38+субсидії!D38+'держ.бюджет'!D38+'місц.-районн.бюджет'!D38+обласний!D38+інші!D38</f>
        <v>4604.400000000001</v>
      </c>
      <c r="E38" s="63">
        <f>'насел.'!E38+пільги!E38+субсидії!E38+'держ.бюджет'!E38+'місц.-районн.бюджет'!E38+обласний!E38+інші!E38</f>
        <v>155</v>
      </c>
      <c r="F38" s="62">
        <f t="shared" si="27"/>
        <v>3.3663452349926155</v>
      </c>
      <c r="G38" s="63">
        <f>'насел.'!G38+пільги!G38+субсидії!G38+'держ.бюджет'!G38+'місц.-районн.бюджет'!G38+обласний!G38+інші!G38</f>
        <v>4440.799999999999</v>
      </c>
      <c r="H38" s="63">
        <f>'насел.'!H38+пільги!H38+субсидії!H38+'держ.бюджет'!H38+'місц.-районн.бюджет'!H38+обласний!H38+інші!H38</f>
        <v>3948.1</v>
      </c>
      <c r="I38" s="62">
        <f t="shared" si="28"/>
        <v>88.90515222482436</v>
      </c>
      <c r="J38" s="63">
        <f>'насел.'!J38+пільги!J38+субсидії!J38+'держ.бюджет'!J38+'місц.-районн.бюджет'!J38+обласний!J38+інші!J38</f>
        <v>3946.4999999999995</v>
      </c>
      <c r="K38" s="63">
        <f>'насел.'!K38+пільги!K38+субсидії!K38+'держ.бюджет'!K38+'місц.-районн.бюджет'!K38+обласний!K38+інші!K38</f>
        <v>4584.9</v>
      </c>
      <c r="L38" s="62">
        <f t="shared" si="29"/>
        <v>116.17635879893578</v>
      </c>
      <c r="M38" s="62">
        <f>'насел.'!M38+пільги!M38+субсидії!M38+'держ.бюджет'!M38+'місц.-районн.бюджет'!M38+обласний!M38+інші!M38</f>
        <v>12991.7</v>
      </c>
      <c r="N38" s="62">
        <f>'насел.'!N38+пільги!N38+субсидії!N38+'держ.бюджет'!N38+'місц.-районн.бюджет'!N38+обласний!N38+інші!N38</f>
        <v>8688</v>
      </c>
      <c r="O38" s="62">
        <f t="shared" si="30"/>
        <v>66.87346536634928</v>
      </c>
      <c r="P38" s="63">
        <f>'насел.'!P38+пільги!P38+субсидії!P38+'держ.бюджет'!P38+'місц.-районн.бюджет'!P38+обласний!P38+інші!P38</f>
        <v>651.9</v>
      </c>
      <c r="Q38" s="63">
        <f>'насел.'!Q38+пільги!Q38+субсидії!Q38+'держ.бюджет'!Q38+'місц.-районн.бюджет'!Q38+обласний!Q38+інші!Q38</f>
        <v>3131.2000000000003</v>
      </c>
      <c r="R38" s="63">
        <f t="shared" si="31"/>
        <v>480.3190673416169</v>
      </c>
      <c r="S38" s="63">
        <f>'насел.'!S38+пільги!S38+субсидії!S38+'держ.бюджет'!S38+'місц.-районн.бюджет'!S38+обласний!S38+інші!S38</f>
        <v>53.1</v>
      </c>
      <c r="T38" s="63">
        <f>'насел.'!T38+пільги!T38+субсидії!T38+'держ.бюджет'!T38+'місц.-районн.бюджет'!T38+обласний!T38+інші!T38</f>
        <v>1760.2</v>
      </c>
      <c r="U38" s="62">
        <f t="shared" si="32"/>
        <v>3314.8775894538608</v>
      </c>
      <c r="V38" s="63">
        <f>'насел.'!V38+пільги!V38+субсидії!V38+'держ.бюджет'!V38+'місц.-районн.бюджет'!V38+обласний!V38+інші!V38</f>
        <v>55.8</v>
      </c>
      <c r="W38" s="63">
        <f>'насел.'!W38+пільги!W38+субсидії!W38+'держ.бюджет'!W38+'місц.-районн.бюджет'!W38+обласний!W38+інші!W38</f>
        <v>84.4</v>
      </c>
      <c r="X38" s="62">
        <f t="shared" si="33"/>
        <v>151.25448028673839</v>
      </c>
      <c r="Y38" s="63">
        <f>'насел.'!Y38+пільги!Y38+субсидії!Y38+'держ.бюджет'!Y38+'місц.-районн.бюджет'!Y38+обласний!Y38+інші!Y38</f>
        <v>760.8000000000001</v>
      </c>
      <c r="Z38" s="63">
        <f>'насел.'!Z38+пільги!Z38+субсидії!Z38+'держ.бюджет'!Z38+'місц.-районн.бюджет'!Z38+обласний!Z38+інші!Z38</f>
        <v>4975.8</v>
      </c>
      <c r="AA38" s="62">
        <f t="shared" si="34"/>
        <v>654.0220820189274</v>
      </c>
      <c r="AB38" s="63">
        <f>'насел.'!AB38+пільги!AB38+субсидії!AB38+'держ.бюджет'!AB38+'місц.-районн.бюджет'!AB38+обласний!AB38+інші!AB38</f>
        <v>0</v>
      </c>
      <c r="AC38" s="63">
        <f>'насел.'!AC38+пільги!AC38+субсидії!AC38+'держ.бюджет'!AC38+'місц.-районн.бюджет'!AC38+обласний!AC38+інші!AC38</f>
        <v>0</v>
      </c>
      <c r="AD38" s="62" t="e">
        <f t="shared" si="35"/>
        <v>#DIV/0!</v>
      </c>
      <c r="AE38" s="63">
        <f>'насел.'!AE38+пільги!AE38+субсидії!AE38+'держ.бюджет'!AE38+'місц.-районн.бюджет'!AE38+обласний!AE38+інші!AE38</f>
        <v>0</v>
      </c>
      <c r="AF38" s="63">
        <f>'насел.'!AF38+пільги!AF38+субсидії!AF38+'держ.бюджет'!AF38+'місц.-районн.бюджет'!AF38+обласний!AF38+інші!AF38</f>
        <v>0</v>
      </c>
      <c r="AG38" s="62" t="e">
        <f t="shared" si="36"/>
        <v>#DIV/0!</v>
      </c>
      <c r="AH38" s="63">
        <f>'насел.'!AH38+пільги!AH38+субсидії!AH38+'держ.бюджет'!AH38+'місц.-районн.бюджет'!AH38+обласний!AH38+інші!AH38</f>
        <v>0</v>
      </c>
      <c r="AI38" s="63">
        <f>'насел.'!AI38+пільги!AI38+субсидії!AI38+'держ.бюджет'!AI38+'місц.-районн.бюджет'!AI38+обласний!AI38+інші!AI38</f>
        <v>0</v>
      </c>
      <c r="AJ38" s="62" t="e">
        <f t="shared" si="37"/>
        <v>#DIV/0!</v>
      </c>
      <c r="AK38" s="79">
        <f>'насел.'!AK38+пільги!AR38+субсидії!AK38+'держ.бюджет'!AK38+'місц.-районн.бюджет'!AK38+обласний!AK38+інші!AK38</f>
        <v>0</v>
      </c>
      <c r="AL38" s="63">
        <f>'насел.'!AL38+пільги!AK38+субсидії!AL38+'держ.бюджет'!AL38+'місц.-районн.бюджет'!AL38+обласний!AL38+інші!AL38</f>
        <v>0</v>
      </c>
      <c r="AM38" s="63" t="e">
        <f t="shared" si="38"/>
        <v>#DIV/0!</v>
      </c>
      <c r="AN38" s="79">
        <f>'насел.'!AN38+пільги!AN38+субсидії!AN38+'держ.бюджет'!AN38+'місц.-районн.бюджет'!AN38+обласний!AN38+інші!AN38</f>
        <v>0</v>
      </c>
      <c r="AO38" s="63">
        <f>'насел.'!AO38+пільги!AN38+субсидії!AO38+'держ.бюджет'!AO38+'місц.-районн.бюджет'!AO38+обласний!AO38+інші!AO38</f>
        <v>0</v>
      </c>
      <c r="AP38" s="63">
        <f>'насел.'!AP38+пільги!AO38+субсидії!AP38+'держ.бюджет'!AP38+'місц.-районн.бюджет'!AP38+обласний!AP38+інші!AP38</f>
        <v>0</v>
      </c>
      <c r="AQ38" s="63">
        <f>'насел.'!AQ38+пільги!AP38+субсидії!AQ38+'держ.бюджет'!AQ38+'місц.-районн.бюджет'!AQ38+обласний!AQ38+інші!AQ38</f>
        <v>0</v>
      </c>
      <c r="AR38" s="63">
        <f>'насел.'!AR38+пільги!AQ38+субсидії!AR38+'держ.бюджет'!AR38+'місц.-районн.бюджет'!AR38+обласний!AR38+інші!AR38</f>
        <v>0</v>
      </c>
      <c r="AS38" s="63">
        <f>'насел.'!AS38+пільги!AR38+субсидії!AS38+'держ.бюджет'!AS38+'місц.-районн.бюджет'!AS38+обласний!AS38+інші!AS38</f>
        <v>0</v>
      </c>
      <c r="AT38" s="63">
        <f>'насел.'!AT38+пільги!AT38+субсидії!AT38+'держ.бюджет'!AT38+'місц.-районн.бюджет'!AT38+обласний!AT38+інші!AT38</f>
        <v>13752.5</v>
      </c>
      <c r="AU38" s="63">
        <f>'насел.'!AU38+пільги!AU38+субсидії!AU38+'держ.бюджет'!AU38+'місц.-районн.бюджет'!AU38+обласний!AU38+інші!AU38</f>
        <v>13663.800000000001</v>
      </c>
      <c r="AV38" s="62">
        <f t="shared" si="39"/>
        <v>99.35502635884386</v>
      </c>
      <c r="AW38" s="63">
        <f t="shared" si="13"/>
        <v>88.69999999999891</v>
      </c>
      <c r="AX38" s="66">
        <f>'насел.'!AX38+пільги!AX38+субсидії!AX38+'держ.бюджет'!AX38+'місц.-районн.бюджет'!AX38+обласний!AX38+інші!AX38</f>
        <v>182.60000000000014</v>
      </c>
      <c r="AY38" s="144"/>
      <c r="AZ38" s="144"/>
      <c r="BA38" s="144"/>
      <c r="BB38" s="144"/>
    </row>
    <row r="39" spans="1:54" s="9" customFormat="1" ht="34.5" customHeight="1">
      <c r="A39" s="8" t="s">
        <v>21</v>
      </c>
      <c r="B39" s="156" t="s">
        <v>40</v>
      </c>
      <c r="C39" s="79">
        <f>'насел.'!C39+пільги!C39+субсидії!C39+'держ.бюджет'!C39+'місц.-районн.бюджет'!C39+обласний!C39+інші!C39</f>
        <v>206788.2</v>
      </c>
      <c r="D39" s="79">
        <f>'насел.'!D39+пільги!D39+субсидії!D39+'держ.бюджет'!D39+'місц.-районн.бюджет'!D39+обласний!D39+інші!D39</f>
        <v>82639.50000000001</v>
      </c>
      <c r="E39" s="79">
        <f>'насел.'!E39+пільги!E39+субсидії!E39+'держ.бюджет'!E39+'місц.-районн.бюджет'!E39+обласний!E39+інші!E39</f>
        <v>47260.799999999996</v>
      </c>
      <c r="F39" s="58">
        <f aca="true" t="shared" si="40" ref="F39:F44">E39/D39*100</f>
        <v>57.189116584684065</v>
      </c>
      <c r="G39" s="79">
        <f>'насел.'!G39+пільги!G39+субсидії!G39+'держ.бюджет'!G39+'місц.-районн.бюджет'!G39+обласний!G39+інші!G39</f>
        <v>83024.59999999999</v>
      </c>
      <c r="H39" s="79">
        <f>'насел.'!H39+пільги!H39+субсидії!H39+'держ.бюджет'!H39+'місц.-районн.бюджет'!H39+обласний!H39+інші!H39</f>
        <v>64684.200000000004</v>
      </c>
      <c r="I39" s="58">
        <f aca="true" t="shared" si="41" ref="I39:I44">H39/G39*100</f>
        <v>77.9096797816551</v>
      </c>
      <c r="J39" s="79">
        <f>'насел.'!J39+пільги!J39+субсидії!J39+'держ.бюджет'!J39+'місц.-районн.бюджет'!J39+обласний!J39+інші!J39</f>
        <v>67670.59999999999</v>
      </c>
      <c r="K39" s="79">
        <f>'насел.'!K39+пільги!K39+субсидії!K39+'держ.бюджет'!K39+'місц.-районн.бюджет'!K39+обласний!K39+інші!K39</f>
        <v>61710.8</v>
      </c>
      <c r="L39" s="58">
        <f aca="true" t="shared" si="42" ref="L39:L44">K39/J39*100</f>
        <v>91.1929257314107</v>
      </c>
      <c r="M39" s="58">
        <f>'насел.'!M39+пільги!M39+субсидії!M39+'держ.бюджет'!M39+'місц.-районн.бюджет'!M39+обласний!M39+інші!M39</f>
        <v>233334.7</v>
      </c>
      <c r="N39" s="58">
        <f>'насел.'!N39+пільги!N39+субсидії!N39+'держ.бюджет'!N39+'місц.-районн.бюджет'!N39+обласний!N39+інші!N39</f>
        <v>173655.80000000005</v>
      </c>
      <c r="O39" s="58">
        <f aca="true" t="shared" si="43" ref="O39:O44">N39/M39*100</f>
        <v>74.42347837676952</v>
      </c>
      <c r="P39" s="79">
        <f>'насел.'!P39+пільги!P39+субсидії!P39+'держ.бюджет'!P39+'місц.-районн.бюджет'!P39+обласний!P39+інші!P39</f>
        <v>17227.2</v>
      </c>
      <c r="Q39" s="79">
        <f>'насел.'!Q39+пільги!Q39+субсидії!Q39+'держ.бюджет'!Q39+'місц.-районн.бюджет'!Q39+обласний!Q39+інші!Q39</f>
        <v>48617.1</v>
      </c>
      <c r="R39" s="79">
        <f aca="true" t="shared" si="44" ref="R39:R44">Q39/P39*100</f>
        <v>282.2112705488994</v>
      </c>
      <c r="S39" s="79">
        <f>'насел.'!S39+пільги!S39+субсидії!S39+'держ.бюджет'!S39+'місц.-районн.бюджет'!S39+обласний!S39+інші!S39</f>
        <v>0</v>
      </c>
      <c r="T39" s="79">
        <f>'насел.'!T39+пільги!T39+субсидії!T39+'держ.бюджет'!T39+'місц.-районн.бюджет'!T39+обласний!T39+інші!T39</f>
        <v>22243.400000000005</v>
      </c>
      <c r="U39" s="58" t="e">
        <f aca="true" t="shared" si="45" ref="U39:U44">T39/S39*100</f>
        <v>#DIV/0!</v>
      </c>
      <c r="V39" s="79">
        <f>'насел.'!V39+пільги!V39+субсидії!V39+'держ.бюджет'!V39+'місц.-районн.бюджет'!V39+обласний!V39+інші!V39</f>
        <v>0</v>
      </c>
      <c r="W39" s="79">
        <f>'насел.'!W39+пільги!W39+субсидії!W39+'держ.бюджет'!W39+'місц.-районн.бюджет'!W39+обласний!W39+інші!W39</f>
        <v>11549.8</v>
      </c>
      <c r="X39" s="58" t="e">
        <f aca="true" t="shared" si="46" ref="X39:X44">W39/V39*100</f>
        <v>#DIV/0!</v>
      </c>
      <c r="Y39" s="79">
        <f>'насел.'!Y39+пільги!Y39+субсидії!Y39+'держ.бюджет'!Y39+'місц.-районн.бюджет'!Y39+обласний!Y39+інші!Y39</f>
        <v>17227.2</v>
      </c>
      <c r="Z39" s="79">
        <f>'насел.'!Z39+пільги!Z39+субсидії!Z39+'держ.бюджет'!Z39+'місц.-районн.бюджет'!Z39+обласний!Z39+інші!Z39</f>
        <v>82410.3</v>
      </c>
      <c r="AA39" s="58">
        <f aca="true" t="shared" si="47" ref="AA39:AA44">Z39/Y39*100</f>
        <v>478.37315408191694</v>
      </c>
      <c r="AB39" s="79">
        <f>'насел.'!AB39+пільги!AB39+субсидії!AB39+'держ.бюджет'!AB39+'місц.-районн.бюджет'!AB39+обласний!AB39+інші!AB39</f>
        <v>0</v>
      </c>
      <c r="AC39" s="79">
        <f>'насел.'!AC39+пільги!AC39+субсидії!AC39+'держ.бюджет'!AC39+'місц.-районн.бюджет'!AC39+обласний!AC39+інші!AC39</f>
        <v>0</v>
      </c>
      <c r="AD39" s="58" t="e">
        <f aca="true" t="shared" si="48" ref="AD39:AD44">AC39/AB39*100</f>
        <v>#DIV/0!</v>
      </c>
      <c r="AE39" s="79">
        <f>'насел.'!AE39+пільги!AE39+субсидії!AE39+'держ.бюджет'!AE39+'місц.-районн.бюджет'!AE39+обласний!AE39+інші!AE39</f>
        <v>0</v>
      </c>
      <c r="AF39" s="79">
        <f>'насел.'!AF39+пільги!AF39+субсидії!AF39+'держ.бюджет'!AF39+'місц.-районн.бюджет'!AF39+обласний!AF39+інші!AF39</f>
        <v>0</v>
      </c>
      <c r="AG39" s="58" t="e">
        <f aca="true" t="shared" si="49" ref="AG39:AG44">AF39/AE39*100</f>
        <v>#DIV/0!</v>
      </c>
      <c r="AH39" s="79">
        <f>'насел.'!AH39+пільги!AH39+субсидії!AH39+'держ.бюджет'!AH39+'місц.-районн.бюджет'!AH39+обласний!AH39+інші!AH39</f>
        <v>0</v>
      </c>
      <c r="AI39" s="79">
        <f>'насел.'!AI39+пільги!AI39+субсидії!AI39+'держ.бюджет'!AI39+'місц.-районн.бюджет'!AI39+обласний!AI39+інші!AI39</f>
        <v>0</v>
      </c>
      <c r="AJ39" s="58" t="e">
        <f aca="true" t="shared" si="50" ref="AJ39:AJ44">AI39/AH39*100</f>
        <v>#DIV/0!</v>
      </c>
      <c r="AK39" s="79">
        <f>'насел.'!AK39+пільги!AR39+субсидії!AK39+'держ.бюджет'!AK39+'місц.-районн.бюджет'!AK39+обласний!AK39+інші!AK39</f>
        <v>0</v>
      </c>
      <c r="AL39" s="79">
        <f>'насел.'!AL39+пільги!AK39+субсидії!AL39+'держ.бюджет'!AL39+'місц.-районн.бюджет'!AL39+обласний!AL39+інші!AL39</f>
        <v>0</v>
      </c>
      <c r="AM39" s="79" t="e">
        <f aca="true" t="shared" si="51" ref="AM39:AM44">AL39/AK39*100</f>
        <v>#DIV/0!</v>
      </c>
      <c r="AN39" s="79">
        <f>'насел.'!AN39+пільги!AN39+субсидії!AN39+'держ.бюджет'!AN39+'місц.-районн.бюджет'!AN39+обласний!AN39+інші!AN39</f>
        <v>0</v>
      </c>
      <c r="AO39" s="79">
        <f>'насел.'!AO39+пільги!AN39+субсидії!AO39+'держ.бюджет'!AO39+'місц.-районн.бюджет'!AO39+обласний!AO39+інші!AO39</f>
        <v>0</v>
      </c>
      <c r="AP39" s="79">
        <f>'насел.'!AP39+пільги!AO39+субсидії!AP39+'держ.бюджет'!AP39+'місц.-районн.бюджет'!AP39+обласний!AP39+інші!AP39</f>
        <v>0</v>
      </c>
      <c r="AQ39" s="79">
        <f>'насел.'!AQ39+пільги!AP39+субсидії!AQ39+'держ.бюджет'!AQ39+'місц.-районн.бюджет'!AQ39+обласний!AQ39+інші!AQ39</f>
        <v>0</v>
      </c>
      <c r="AR39" s="79">
        <f>'насел.'!AR39+пільги!AQ39+субсидії!AR39+'держ.бюджет'!AR39+'місц.-районн.бюджет'!AR39+обласний!AR39+інші!AR39</f>
        <v>0</v>
      </c>
      <c r="AS39" s="79">
        <f>'насел.'!AS39+пільги!AR39+субсидії!AS39+'держ.бюджет'!AS39+'місц.-районн.бюджет'!AS39+обласний!AS39+інші!AS39</f>
        <v>0</v>
      </c>
      <c r="AT39" s="63">
        <f>'насел.'!AT39+пільги!AT39+субсидії!AT39+'держ.бюджет'!AT39+'місц.-районн.бюджет'!AT39+обласний!AT39+інші!AT39</f>
        <v>250561.9</v>
      </c>
      <c r="AU39" s="63">
        <f>'насел.'!AU39+пільги!AU39+субсидії!AU39+'держ.бюджет'!AU39+'місц.-районн.бюджет'!AU39+обласний!AU39+інші!AU39</f>
        <v>256066.09999999998</v>
      </c>
      <c r="AV39" s="58">
        <f aca="true" t="shared" si="52" ref="AV39:AV44">AU39/AT39*100</f>
        <v>102.19674260132925</v>
      </c>
      <c r="AW39" s="79">
        <f t="shared" si="13"/>
        <v>-5504.1999999999825</v>
      </c>
      <c r="AX39" s="66">
        <f>'насел.'!AX39+пільги!AX39+субсидії!AX39+'держ.бюджет'!AX39+'місц.-районн.бюджет'!AX39+обласний!AX39+інші!AX39</f>
        <v>201284.00000000003</v>
      </c>
      <c r="AY39" s="150"/>
      <c r="AZ39" s="150"/>
      <c r="BA39" s="150"/>
      <c r="BB39" s="150"/>
    </row>
    <row r="40" spans="1:54" s="35" customFormat="1" ht="34.5" customHeight="1" hidden="1">
      <c r="A40" s="159" t="s">
        <v>4</v>
      </c>
      <c r="B40" s="153" t="s">
        <v>101</v>
      </c>
      <c r="C40" s="63">
        <f>'насел.'!C40+пільги!C40+субсидії!C40+'держ.бюджет'!C40+'місц.-районн.бюджет'!C40+обласний!C40+інші!C40</f>
        <v>0</v>
      </c>
      <c r="D40" s="63">
        <f>'насел.'!D40+пільги!D40+субсидії!D40+'держ.бюджет'!D40+'місц.-районн.бюджет'!D40+обласний!D40+інші!D40</f>
        <v>0</v>
      </c>
      <c r="E40" s="63">
        <f>'насел.'!E40+пільги!E40+субсидії!E40+'держ.бюджет'!E40+'місц.-районн.бюджет'!E40+обласний!E40+інші!E40</f>
        <v>0</v>
      </c>
      <c r="F40" s="62" t="e">
        <f t="shared" si="40"/>
        <v>#DIV/0!</v>
      </c>
      <c r="G40" s="63">
        <f>'насел.'!G40+пільги!G40+субсидії!G40+'держ.бюджет'!G40+'місц.-районн.бюджет'!G40+обласний!G40+інші!G40</f>
        <v>0</v>
      </c>
      <c r="H40" s="63">
        <f>'насел.'!H40+пільги!H40+субсидії!H40+'держ.бюджет'!H40+'місц.-районн.бюджет'!H40+обласний!H40+інші!H40</f>
        <v>0</v>
      </c>
      <c r="I40" s="62" t="e">
        <f t="shared" si="41"/>
        <v>#DIV/0!</v>
      </c>
      <c r="J40" s="63">
        <f>'насел.'!J40+пільги!J40+субсидії!J40+'держ.бюджет'!J40+'місц.-районн.бюджет'!J40+обласний!J40+інші!J40</f>
        <v>0</v>
      </c>
      <c r="K40" s="63">
        <f>'насел.'!K40+пільги!K40+субсидії!K40+'держ.бюджет'!K40+'місц.-районн.бюджет'!K40+обласний!K40+інші!K40</f>
        <v>0</v>
      </c>
      <c r="L40" s="62" t="e">
        <f t="shared" si="42"/>
        <v>#DIV/0!</v>
      </c>
      <c r="M40" s="62">
        <f>'насел.'!M40+пільги!M40+субсидії!M40+'держ.бюджет'!M40+'місц.-районн.бюджет'!M40+обласний!M40+інші!M40</f>
        <v>0</v>
      </c>
      <c r="N40" s="62">
        <f>'насел.'!N40+пільги!N40+субсидії!N40+'держ.бюджет'!N40+'місц.-районн.бюджет'!N40+обласний!N40+інші!N40</f>
        <v>0</v>
      </c>
      <c r="O40" s="62" t="e">
        <f t="shared" si="43"/>
        <v>#DIV/0!</v>
      </c>
      <c r="P40" s="63">
        <f>'насел.'!P40+пільги!P40+субсидії!P40+'держ.бюджет'!P40+'місц.-районн.бюджет'!P40+обласний!P40+інші!P40</f>
        <v>0</v>
      </c>
      <c r="Q40" s="63">
        <f>'насел.'!Q40+пільги!Q40+субсидії!Q40+'держ.бюджет'!Q40+'місц.-районн.бюджет'!Q40+обласний!Q40+інші!Q40</f>
        <v>0</v>
      </c>
      <c r="R40" s="63" t="e">
        <f t="shared" si="44"/>
        <v>#DIV/0!</v>
      </c>
      <c r="S40" s="63">
        <f>'насел.'!S40+пільги!S40+субсидії!S40+'держ.бюджет'!S40+'місц.-районн.бюджет'!S40+обласний!S40+інші!S40</f>
        <v>0</v>
      </c>
      <c r="T40" s="63">
        <f>'насел.'!T40+пільги!T40+субсидії!T40+'держ.бюджет'!T40+'місц.-районн.бюджет'!T40+обласний!T40+інші!T40</f>
        <v>0</v>
      </c>
      <c r="U40" s="62" t="e">
        <f t="shared" si="45"/>
        <v>#DIV/0!</v>
      </c>
      <c r="V40" s="63">
        <f>'насел.'!V40+пільги!V40+субсидії!V40+'держ.бюджет'!V40+'місц.-районн.бюджет'!V40+обласний!V40+інші!V40</f>
        <v>0</v>
      </c>
      <c r="W40" s="63">
        <f>'насел.'!W40+пільги!W40+субсидії!W40+'держ.бюджет'!W40+'місц.-районн.бюджет'!W40+обласний!W40+інші!W40</f>
        <v>0</v>
      </c>
      <c r="X40" s="62" t="e">
        <f t="shared" si="46"/>
        <v>#DIV/0!</v>
      </c>
      <c r="Y40" s="63">
        <f>'насел.'!Y40+пільги!Y40+субсидії!Y40+'держ.бюджет'!Y40+'місц.-районн.бюджет'!Y40+обласний!Y40+інші!Y40</f>
        <v>0</v>
      </c>
      <c r="Z40" s="63">
        <f>'насел.'!Z40+пільги!Z40+субсидії!Z40+'держ.бюджет'!Z40+'місц.-районн.бюджет'!Z40+обласний!Z40+інші!Z40</f>
        <v>0</v>
      </c>
      <c r="AA40" s="62" t="e">
        <f t="shared" si="47"/>
        <v>#DIV/0!</v>
      </c>
      <c r="AB40" s="63">
        <f>'насел.'!AB40+пільги!AB40+субсидії!AB40+'держ.бюджет'!AB40+'місц.-районн.бюджет'!AB40+обласний!AB40+інші!AB40</f>
        <v>0</v>
      </c>
      <c r="AC40" s="63">
        <f>'насел.'!AC40+пільги!AC40+субсидії!AC40+'держ.бюджет'!AC40+'місц.-районн.бюджет'!AC40+обласний!AC40+інші!AC40</f>
        <v>0</v>
      </c>
      <c r="AD40" s="62" t="e">
        <f t="shared" si="48"/>
        <v>#DIV/0!</v>
      </c>
      <c r="AE40" s="63">
        <f>'насел.'!AE40+пільги!AE40+субсидії!AE40+'держ.бюджет'!AE40+'місц.-районн.бюджет'!AE40+обласний!AE40+інші!AE40</f>
        <v>0</v>
      </c>
      <c r="AF40" s="63">
        <f>'насел.'!AF40+пільги!AF40+субсидії!AF40+'держ.бюджет'!AF40+'місц.-районн.бюджет'!AF40+обласний!AF40+інші!AF40</f>
        <v>0</v>
      </c>
      <c r="AG40" s="62" t="e">
        <f t="shared" si="49"/>
        <v>#DIV/0!</v>
      </c>
      <c r="AH40" s="63">
        <f>'насел.'!AH40+пільги!AH40+субсидії!AH40+'держ.бюджет'!AH40+'місц.-районн.бюджет'!AH40+обласний!AH40+інші!AH40</f>
        <v>0</v>
      </c>
      <c r="AI40" s="63">
        <f>'насел.'!AI40+пільги!AI40+субсидії!AI40+'держ.бюджет'!AI40+'місц.-районн.бюджет'!AI40+обласний!AI40+інші!AI40</f>
        <v>0</v>
      </c>
      <c r="AJ40" s="62" t="e">
        <f t="shared" si="50"/>
        <v>#DIV/0!</v>
      </c>
      <c r="AK40" s="79">
        <f>'насел.'!AK40+пільги!AR40+субсидії!AK40+'держ.бюджет'!AK40+'місц.-районн.бюджет'!AK40+обласний!AK40+інші!AK40</f>
        <v>0</v>
      </c>
      <c r="AL40" s="63">
        <f>'насел.'!AL40+пільги!AK40+субсидії!AL40+'держ.бюджет'!AL40+'місц.-районн.бюджет'!AL40+обласний!AL40+інші!AL40</f>
        <v>0</v>
      </c>
      <c r="AM40" s="63" t="e">
        <f t="shared" si="51"/>
        <v>#DIV/0!</v>
      </c>
      <c r="AN40" s="79">
        <f>'насел.'!AN40+пільги!AN40+субсидії!AN40+'держ.бюджет'!AN40+'місц.-районн.бюджет'!AN40+обласний!AN40+інші!AN40</f>
        <v>0</v>
      </c>
      <c r="AO40" s="63">
        <f>'насел.'!AO40+пільги!AN40+субсидії!AO40+'держ.бюджет'!AO40+'місц.-районн.бюджет'!AO40+обласний!AO40+інші!AO40</f>
        <v>0</v>
      </c>
      <c r="AP40" s="63">
        <f>'насел.'!AP40+пільги!AO40+субсидії!AP40+'держ.бюджет'!AP40+'місц.-районн.бюджет'!AP40+обласний!AP40+інші!AP40</f>
        <v>0</v>
      </c>
      <c r="AQ40" s="63">
        <f>'насел.'!AQ40+пільги!AP40+субсидії!AQ40+'держ.бюджет'!AQ40+'місц.-районн.бюджет'!AQ40+обласний!AQ40+інші!AQ40</f>
        <v>0</v>
      </c>
      <c r="AR40" s="63">
        <f>'насел.'!AR40+пільги!AQ40+субсидії!AR40+'держ.бюджет'!AR40+'місц.-районн.бюджет'!AR40+обласний!AR40+інші!AR40</f>
        <v>0</v>
      </c>
      <c r="AS40" s="63">
        <f>'насел.'!AS40+пільги!AR40+субсидії!AS40+'держ.бюджет'!AS40+'місц.-районн.бюджет'!AS40+обласний!AS40+інші!AS40</f>
        <v>0</v>
      </c>
      <c r="AT40" s="63">
        <f>'насел.'!AT40+пільги!AT40+субсидії!AT40+'держ.бюджет'!AT40+'місц.-районн.бюджет'!AT40+обласний!AT40+інші!AT40</f>
        <v>0</v>
      </c>
      <c r="AU40" s="63">
        <f>'насел.'!AU40+пільги!AU40+субсидії!AU40+'держ.бюджет'!AU40+'місц.-районн.бюджет'!AU40+обласний!AU40+інші!AU40</f>
        <v>0</v>
      </c>
      <c r="AV40" s="62" t="e">
        <f t="shared" si="52"/>
        <v>#DIV/0!</v>
      </c>
      <c r="AW40" s="63">
        <f t="shared" si="13"/>
        <v>0</v>
      </c>
      <c r="AX40" s="66">
        <f>'насел.'!AX40+пільги!AX40+субсидії!AX40+'держ.бюджет'!AX40+'місц.-районн.бюджет'!AX40+обласний!AX40+інші!AX40</f>
        <v>0</v>
      </c>
      <c r="AY40" s="144"/>
      <c r="AZ40" s="144"/>
      <c r="BA40" s="144"/>
      <c r="BB40" s="144"/>
    </row>
    <row r="41" spans="1:54" s="35" customFormat="1" ht="34.5" customHeight="1" hidden="1">
      <c r="A41" s="159" t="s">
        <v>4</v>
      </c>
      <c r="B41" s="153" t="s">
        <v>102</v>
      </c>
      <c r="C41" s="63">
        <f>'насел.'!C41+пільги!C41+субсидії!C41+'держ.бюджет'!C41+'місц.-районн.бюджет'!C41+обласний!C41+інші!C41</f>
        <v>0</v>
      </c>
      <c r="D41" s="63">
        <f>'насел.'!D41+пільги!D41+субсидії!D41+'держ.бюджет'!D41+'місц.-районн.бюджет'!D41+обласний!D41+інші!D41</f>
        <v>0</v>
      </c>
      <c r="E41" s="63">
        <f>'насел.'!E41+пільги!E41+субсидії!E41+'держ.бюджет'!E41+'місц.-районн.бюджет'!E41+обласний!E41+інші!E41</f>
        <v>0</v>
      </c>
      <c r="F41" s="62" t="e">
        <f t="shared" si="40"/>
        <v>#DIV/0!</v>
      </c>
      <c r="G41" s="63">
        <f>'насел.'!G41+пільги!G41+субсидії!G41+'держ.бюджет'!G41+'місц.-районн.бюджет'!G41+обласний!G41+інші!G41</f>
        <v>0</v>
      </c>
      <c r="H41" s="63">
        <f>'насел.'!H41+пільги!H41+субсидії!H41+'держ.бюджет'!H41+'місц.-районн.бюджет'!H41+обласний!H41+інші!H41</f>
        <v>0</v>
      </c>
      <c r="I41" s="62" t="e">
        <f t="shared" si="41"/>
        <v>#DIV/0!</v>
      </c>
      <c r="J41" s="63">
        <f>'насел.'!J41+пільги!J41+субсидії!J41+'держ.бюджет'!J41+'місц.-районн.бюджет'!J41+обласний!J41+інші!J41</f>
        <v>0</v>
      </c>
      <c r="K41" s="63">
        <f>'насел.'!K41+пільги!K41+субсидії!K41+'держ.бюджет'!K41+'місц.-районн.бюджет'!K41+обласний!K41+інші!K41</f>
        <v>0</v>
      </c>
      <c r="L41" s="62" t="e">
        <f t="shared" si="42"/>
        <v>#DIV/0!</v>
      </c>
      <c r="M41" s="62">
        <f>'насел.'!M41+пільги!M41+субсидії!M41+'держ.бюджет'!M41+'місц.-районн.бюджет'!M41+обласний!M41+інші!M41</f>
        <v>0</v>
      </c>
      <c r="N41" s="62">
        <f>'насел.'!N41+пільги!N41+субсидії!N41+'держ.бюджет'!N41+'місц.-районн.бюджет'!N41+обласний!N41+інші!N41</f>
        <v>0</v>
      </c>
      <c r="O41" s="62" t="e">
        <f t="shared" si="43"/>
        <v>#DIV/0!</v>
      </c>
      <c r="P41" s="63">
        <f>'насел.'!P41+пільги!P41+субсидії!P41+'держ.бюджет'!P41+'місц.-районн.бюджет'!P41+обласний!P41+інші!P41</f>
        <v>0</v>
      </c>
      <c r="Q41" s="63">
        <f>'насел.'!Q41+пільги!Q41+субсидії!Q41+'держ.бюджет'!Q41+'місц.-районн.бюджет'!Q41+обласний!Q41+інші!Q41</f>
        <v>0</v>
      </c>
      <c r="R41" s="63" t="e">
        <f t="shared" si="44"/>
        <v>#DIV/0!</v>
      </c>
      <c r="S41" s="63">
        <f>'насел.'!S41+пільги!S41+субсидії!S41+'держ.бюджет'!S41+'місц.-районн.бюджет'!S41+обласний!S41+інші!S41</f>
        <v>0</v>
      </c>
      <c r="T41" s="63">
        <f>'насел.'!T41+пільги!T41+субсидії!T41+'держ.бюджет'!T41+'місц.-районн.бюджет'!T41+обласний!T41+інші!T41</f>
        <v>0</v>
      </c>
      <c r="U41" s="62" t="e">
        <f t="shared" si="45"/>
        <v>#DIV/0!</v>
      </c>
      <c r="V41" s="63">
        <f>'насел.'!V41+пільги!V41+субсидії!V41+'держ.бюджет'!V41+'місц.-районн.бюджет'!V41+обласний!V41+інші!V41</f>
        <v>0</v>
      </c>
      <c r="W41" s="63">
        <f>'насел.'!W41+пільги!W41+субсидії!W41+'держ.бюджет'!W41+'місц.-районн.бюджет'!W41+обласний!W41+інші!W41</f>
        <v>0</v>
      </c>
      <c r="X41" s="62" t="e">
        <f t="shared" si="46"/>
        <v>#DIV/0!</v>
      </c>
      <c r="Y41" s="63">
        <f>'насел.'!Y41+пільги!Y41+субсидії!Y41+'держ.бюджет'!Y41+'місц.-районн.бюджет'!Y41+обласний!Y41+інші!Y41</f>
        <v>0</v>
      </c>
      <c r="Z41" s="63">
        <f>'насел.'!Z41+пільги!Z41+субсидії!Z41+'держ.бюджет'!Z41+'місц.-районн.бюджет'!Z41+обласний!Z41+інші!Z41</f>
        <v>0</v>
      </c>
      <c r="AA41" s="62" t="e">
        <f t="shared" si="47"/>
        <v>#DIV/0!</v>
      </c>
      <c r="AB41" s="63">
        <f>'насел.'!AB41+пільги!AB41+субсидії!AB41+'держ.бюджет'!AB41+'місц.-районн.бюджет'!AB41+обласний!AB41+інші!AB41</f>
        <v>0</v>
      </c>
      <c r="AC41" s="63">
        <f>'насел.'!AC41+пільги!AC41+субсидії!AC41+'держ.бюджет'!AC41+'місц.-районн.бюджет'!AC41+обласний!AC41+інші!AC41</f>
        <v>0</v>
      </c>
      <c r="AD41" s="62" t="e">
        <f t="shared" si="48"/>
        <v>#DIV/0!</v>
      </c>
      <c r="AE41" s="63">
        <f>'насел.'!AE41+пільги!AE41+субсидії!AE41+'держ.бюджет'!AE41+'місц.-районн.бюджет'!AE41+обласний!AE41+інші!AE41</f>
        <v>0</v>
      </c>
      <c r="AF41" s="63">
        <f>'насел.'!AF41+пільги!AF41+субсидії!AF41+'держ.бюджет'!AF41+'місц.-районн.бюджет'!AF41+обласний!AF41+інші!AF41</f>
        <v>0</v>
      </c>
      <c r="AG41" s="62" t="e">
        <f t="shared" si="49"/>
        <v>#DIV/0!</v>
      </c>
      <c r="AH41" s="63">
        <f>'насел.'!AH41+пільги!AH41+субсидії!AH41+'держ.бюджет'!AH41+'місц.-районн.бюджет'!AH41+обласний!AH41+інші!AH41</f>
        <v>0</v>
      </c>
      <c r="AI41" s="63">
        <f>'насел.'!AI41+пільги!AI41+субсидії!AI41+'держ.бюджет'!AI41+'місц.-районн.бюджет'!AI41+обласний!AI41+інші!AI41</f>
        <v>0</v>
      </c>
      <c r="AJ41" s="62" t="e">
        <f t="shared" si="50"/>
        <v>#DIV/0!</v>
      </c>
      <c r="AK41" s="79">
        <f>'насел.'!AK41+пільги!AR41+субсидії!AK41+'держ.бюджет'!AK41+'місц.-районн.бюджет'!AK41+обласний!AK41+інші!AK41</f>
        <v>0</v>
      </c>
      <c r="AL41" s="63">
        <f>'насел.'!AL41+пільги!AK41+субсидії!AL41+'держ.бюджет'!AL41+'місц.-районн.бюджет'!AL41+обласний!AL41+інші!AL41</f>
        <v>0</v>
      </c>
      <c r="AM41" s="63" t="e">
        <f t="shared" si="51"/>
        <v>#DIV/0!</v>
      </c>
      <c r="AN41" s="79">
        <f>'насел.'!AN41+пільги!AN41+субсидії!AN41+'держ.бюджет'!AN41+'місц.-районн.бюджет'!AN41+обласний!AN41+інші!AN41</f>
        <v>0</v>
      </c>
      <c r="AO41" s="63">
        <f>'насел.'!AO41+пільги!AN41+субсидії!AO41+'держ.бюджет'!AO41+'місц.-районн.бюджет'!AO41+обласний!AO41+інші!AO41</f>
        <v>0</v>
      </c>
      <c r="AP41" s="63">
        <f>'насел.'!AP41+пільги!AO41+субсидії!AP41+'держ.бюджет'!AP41+'місц.-районн.бюджет'!AP41+обласний!AP41+інші!AP41</f>
        <v>0</v>
      </c>
      <c r="AQ41" s="63">
        <f>'насел.'!AQ41+пільги!AP41+субсидії!AQ41+'держ.бюджет'!AQ41+'місц.-районн.бюджет'!AQ41+обласний!AQ41+інші!AQ41</f>
        <v>0</v>
      </c>
      <c r="AR41" s="63">
        <f>'насел.'!AR41+пільги!AQ41+субсидії!AR41+'держ.бюджет'!AR41+'місц.-районн.бюджет'!AR41+обласний!AR41+інші!AR41</f>
        <v>0</v>
      </c>
      <c r="AS41" s="63">
        <f>'насел.'!AS41+пільги!AR41+субсидії!AS41+'держ.бюджет'!AS41+'місц.-районн.бюджет'!AS41+обласний!AS41+інші!AS41</f>
        <v>0</v>
      </c>
      <c r="AT41" s="63">
        <f>'насел.'!AT41+пільги!AT41+субсидії!AT41+'держ.бюджет'!AT41+'місц.-районн.бюджет'!AT41+обласний!AT41+інші!AT41</f>
        <v>0</v>
      </c>
      <c r="AU41" s="63">
        <f>'насел.'!AU41+пільги!AU41+субсидії!AU41+'держ.бюджет'!AU41+'місц.-районн.бюджет'!AU41+обласний!AU41+інші!AU41</f>
        <v>0</v>
      </c>
      <c r="AV41" s="62" t="e">
        <f t="shared" si="52"/>
        <v>#DIV/0!</v>
      </c>
      <c r="AW41" s="63">
        <f t="shared" si="13"/>
        <v>0</v>
      </c>
      <c r="AX41" s="66">
        <f>'насел.'!AX41+пільги!AX41+субсидії!AX41+'держ.бюджет'!AX41+'місц.-районн.бюджет'!AX41+обласний!AX41+інші!AX41</f>
        <v>0</v>
      </c>
      <c r="AY41" s="144"/>
      <c r="AZ41" s="144"/>
      <c r="BA41" s="144"/>
      <c r="BB41" s="144"/>
    </row>
    <row r="42" spans="1:54" ht="45.75" customHeight="1">
      <c r="A42" s="10" t="s">
        <v>30</v>
      </c>
      <c r="B42" s="162" t="s">
        <v>165</v>
      </c>
      <c r="C42" s="63">
        <f>'насел.'!C42+пільги!C42+субсидії!C42+'держ.бюджет'!C42+'місц.-районн.бюджет'!C42+обласний!C42+інші!C42</f>
        <v>150084.2</v>
      </c>
      <c r="D42" s="63">
        <f>'насел.'!D42+пільги!D42+субсидії!D42+'держ.бюджет'!D42+'місц.-районн.бюджет'!D42+обласний!D42+інші!D42</f>
        <v>60100.20000000001</v>
      </c>
      <c r="E42" s="63">
        <f>'насел.'!E42+пільги!E42+субсидії!E42+'держ.бюджет'!E42+'місц.-районн.бюджет'!E42+обласний!E42+інші!E42</f>
        <v>34024.3</v>
      </c>
      <c r="F42" s="62">
        <f t="shared" si="40"/>
        <v>56.612623585279245</v>
      </c>
      <c r="G42" s="63">
        <f>'насел.'!G42+пільги!G42+субсидії!G42+'держ.бюджет'!G42+'місц.-районн.бюджет'!G42+обласний!G42+інші!G42</f>
        <v>60015.5</v>
      </c>
      <c r="H42" s="63">
        <f>'насел.'!H42+пільги!H42+субсидії!H42+'держ.бюджет'!H42+'місц.-районн.бюджет'!H42+обласний!H42+інші!H42</f>
        <v>48612.00000000001</v>
      </c>
      <c r="I42" s="62">
        <f t="shared" si="41"/>
        <v>80.99907523889664</v>
      </c>
      <c r="J42" s="63">
        <f>'насел.'!J42+пільги!J42+субсидії!J42+'держ.бюджет'!J42+'місц.-районн.бюджет'!J42+обласний!J42+інші!J42</f>
        <v>47726.9</v>
      </c>
      <c r="K42" s="63">
        <f>'насел.'!K42+пільги!K42+субсидії!K42+'держ.бюджет'!K42+'місц.-районн.бюджет'!K42+обласний!K42+інші!K42</f>
        <v>44028.100000000006</v>
      </c>
      <c r="L42" s="62">
        <f t="shared" si="42"/>
        <v>92.25007281009243</v>
      </c>
      <c r="M42" s="62">
        <f>'насел.'!M42+пільги!M42+субсидії!M42+'держ.бюджет'!M42+'місц.-районн.бюджет'!M42+обласний!M42+інші!M42</f>
        <v>167842.59999999998</v>
      </c>
      <c r="N42" s="62">
        <f>'насел.'!N42+пільги!N42+субсидії!N42+'держ.бюджет'!N42+'місц.-районн.бюджет'!N42+обласний!N42+інші!N42</f>
        <v>126664.4</v>
      </c>
      <c r="O42" s="62">
        <f t="shared" si="43"/>
        <v>75.4661808146442</v>
      </c>
      <c r="P42" s="63">
        <f>'насел.'!P42+пільги!P42+субсидії!P42+'держ.бюджет'!P42+'місц.-районн.бюджет'!P42+обласний!P42+інші!P42</f>
        <v>11975.4</v>
      </c>
      <c r="Q42" s="63">
        <f>'насел.'!Q42+пільги!Q42+субсидії!Q42+'держ.бюджет'!Q42+'місц.-районн.бюджет'!Q42+обласний!Q42+інші!Q42</f>
        <v>33710</v>
      </c>
      <c r="R42" s="63">
        <f t="shared" si="44"/>
        <v>281.49372881072867</v>
      </c>
      <c r="S42" s="63">
        <f>'насел.'!S42+пільги!S42+субсидії!S42+'держ.бюджет'!S42+'місц.-районн.бюджет'!S42+обласний!S42+інші!S42</f>
        <v>0</v>
      </c>
      <c r="T42" s="63">
        <f>'насел.'!T42+пільги!T42+субсидії!T42+'держ.бюджет'!T42+'місц.-районн.бюджет'!T42+обласний!T42+інші!T42</f>
        <v>16109.1</v>
      </c>
      <c r="U42" s="62" t="e">
        <f t="shared" si="45"/>
        <v>#DIV/0!</v>
      </c>
      <c r="V42" s="63">
        <f>'насел.'!V42+пільги!V42+субсидії!V42+'держ.бюджет'!V42+'місц.-районн.бюджет'!V42+обласний!V42+інші!V42</f>
        <v>0</v>
      </c>
      <c r="W42" s="63">
        <f>'насел.'!W42+пільги!W42+субсидії!W42+'держ.бюджет'!W42+'місц.-районн.бюджет'!W42+обласний!W42+інші!W42</f>
        <v>8388.9</v>
      </c>
      <c r="X42" s="62" t="e">
        <f t="shared" si="46"/>
        <v>#DIV/0!</v>
      </c>
      <c r="Y42" s="63">
        <f>'насел.'!Y42+пільги!Y42+субсидії!Y42+'держ.бюджет'!Y42+'місц.-районн.бюджет'!Y42+обласний!Y42+інші!Y42</f>
        <v>11975.4</v>
      </c>
      <c r="Z42" s="63">
        <f>'насел.'!Z42+пільги!Z42+субсидії!Z42+'держ.бюджет'!Z42+'місц.-районн.бюджет'!Z42+обласний!Z42+інші!Z42</f>
        <v>58207.99999999999</v>
      </c>
      <c r="AA42" s="62">
        <f t="shared" si="47"/>
        <v>486.06309601349426</v>
      </c>
      <c r="AB42" s="63">
        <f>'насел.'!AB42+пільги!AB42+субсидії!AB42+'держ.бюджет'!AB42+'місц.-районн.бюджет'!AB42+обласний!AB42+інші!AB42</f>
        <v>0</v>
      </c>
      <c r="AC42" s="63">
        <f>'насел.'!AC42+пільги!AC42+субсидії!AC42+'держ.бюджет'!AC42+'місц.-районн.бюджет'!AC42+обласний!AC42+інші!AC42</f>
        <v>0</v>
      </c>
      <c r="AD42" s="62" t="e">
        <f t="shared" si="48"/>
        <v>#DIV/0!</v>
      </c>
      <c r="AE42" s="63">
        <f>'насел.'!AE42+пільги!AE42+субсидії!AE42+'держ.бюджет'!AE42+'місц.-районн.бюджет'!AE42+обласний!AE42+інші!AE42</f>
        <v>0</v>
      </c>
      <c r="AF42" s="63">
        <f>'насел.'!AF42+пільги!AF42+субсидії!AF42+'держ.бюджет'!AF42+'місц.-районн.бюджет'!AF42+обласний!AF42+інші!AF42</f>
        <v>0</v>
      </c>
      <c r="AG42" s="62" t="e">
        <f t="shared" si="49"/>
        <v>#DIV/0!</v>
      </c>
      <c r="AH42" s="63">
        <f>'насел.'!AH42+пільги!AH42+субсидії!AH42+'держ.бюджет'!AH42+'місц.-районн.бюджет'!AH42+обласний!AH42+інші!AH42</f>
        <v>0</v>
      </c>
      <c r="AI42" s="63">
        <f>'насел.'!AI42+пільги!AI42+субсидії!AI42+'держ.бюджет'!AI42+'місц.-районн.бюджет'!AI42+обласний!AI42+інші!AI42</f>
        <v>0</v>
      </c>
      <c r="AJ42" s="62" t="e">
        <f t="shared" si="50"/>
        <v>#DIV/0!</v>
      </c>
      <c r="AK42" s="79">
        <f>'насел.'!AK42+пільги!AR42+субсидії!AK42+'держ.бюджет'!AK42+'місц.-районн.бюджет'!AK42+обласний!AK42+інші!AK42</f>
        <v>0</v>
      </c>
      <c r="AL42" s="63">
        <f>'насел.'!AL42+пільги!AK42+субсидії!AL42+'держ.бюджет'!AL42+'місц.-районн.бюджет'!AL42+обласний!AL42+інші!AL42</f>
        <v>0</v>
      </c>
      <c r="AM42" s="63" t="e">
        <f t="shared" si="51"/>
        <v>#DIV/0!</v>
      </c>
      <c r="AN42" s="79">
        <f>'насел.'!AN42+пільги!AN42+субсидії!AN42+'держ.бюджет'!AN42+'місц.-районн.бюджет'!AN42+обласний!AN42+інші!AN42</f>
        <v>0</v>
      </c>
      <c r="AO42" s="63">
        <f>'насел.'!AO42+пільги!AN42+субсидії!AO42+'держ.бюджет'!AO42+'місц.-районн.бюджет'!AO42+обласний!AO42+інші!AO42</f>
        <v>0</v>
      </c>
      <c r="AP42" s="63">
        <f>'насел.'!AP42+пільги!AO42+субсидії!AP42+'держ.бюджет'!AP42+'місц.-районн.бюджет'!AP42+обласний!AP42+інші!AP42</f>
        <v>0</v>
      </c>
      <c r="AQ42" s="63">
        <f>'насел.'!AQ42+пільги!AP42+субсидії!AQ42+'держ.бюджет'!AQ42+'місц.-районн.бюджет'!AQ42+обласний!AQ42+інші!AQ42</f>
        <v>0</v>
      </c>
      <c r="AR42" s="63">
        <f>'насел.'!AR42+пільги!AQ42+субсидії!AR42+'держ.бюджет'!AR42+'місц.-районн.бюджет'!AR42+обласний!AR42+інші!AR42</f>
        <v>0</v>
      </c>
      <c r="AS42" s="63">
        <f>'насел.'!AS42+пільги!AR42+субсидії!AS42+'держ.бюджет'!AS42+'місц.-районн.бюджет'!AS42+обласний!AS42+інші!AS42</f>
        <v>0</v>
      </c>
      <c r="AT42" s="63">
        <f>'насел.'!AT42+пільги!AT42+субсидії!AT42+'держ.бюджет'!AT42+'місц.-районн.бюджет'!AT42+обласний!AT42+інші!AT42</f>
        <v>179817.99999999997</v>
      </c>
      <c r="AU42" s="63">
        <f>'насел.'!AU42+пільги!AU42+субсидії!AU42+'держ.бюджет'!AU42+'місц.-районн.бюджет'!AU42+обласний!AU42+інші!AU42</f>
        <v>184872.4</v>
      </c>
      <c r="AV42" s="62">
        <f t="shared" si="52"/>
        <v>102.81084207365225</v>
      </c>
      <c r="AW42" s="63">
        <f t="shared" si="13"/>
        <v>-5054.400000000023</v>
      </c>
      <c r="AX42" s="66">
        <f>'насел.'!AX42+пільги!AX42+субсидії!AX42+'держ.бюджет'!AX42+'місц.-районн.бюджет'!AX42+обласний!AX42+інші!AX42</f>
        <v>145029.80000000005</v>
      </c>
      <c r="AY42" s="144"/>
      <c r="AZ42" s="144"/>
      <c r="BA42" s="144"/>
      <c r="BB42" s="144"/>
    </row>
    <row r="43" spans="1:54" ht="34.5" customHeight="1" hidden="1">
      <c r="A43" s="10" t="s">
        <v>31</v>
      </c>
      <c r="B43" s="162" t="s">
        <v>136</v>
      </c>
      <c r="C43" s="63">
        <f>'насел.'!C43+пільги!C43+субсидії!C43+'держ.бюджет'!C43+'місц.-районн.бюджет'!C43+обласний!C43+інші!C43</f>
        <v>0</v>
      </c>
      <c r="D43" s="63">
        <f>'насел.'!D43+пільги!D43+субсидії!D43+'держ.бюджет'!D43+'місц.-районн.бюджет'!D43+обласний!D43+інші!D43</f>
        <v>0</v>
      </c>
      <c r="E43" s="63">
        <f>'насел.'!E43+пільги!E43+субсидії!E43+'держ.бюджет'!E43+'місц.-районн.бюджет'!E43+обласний!E43+інші!E43</f>
        <v>0</v>
      </c>
      <c r="F43" s="62" t="e">
        <f t="shared" si="40"/>
        <v>#DIV/0!</v>
      </c>
      <c r="G43" s="63">
        <f>'насел.'!G43+пільги!G43+субсидії!G43+'держ.бюджет'!G43+'місц.-районн.бюджет'!G43+обласний!G43+інші!G43</f>
        <v>0</v>
      </c>
      <c r="H43" s="63">
        <f>'насел.'!H43+пільги!H43+субсидії!H43+'держ.бюджет'!H43+'місц.-районн.бюджет'!H43+обласний!H43+інші!H43</f>
        <v>0</v>
      </c>
      <c r="I43" s="62" t="e">
        <f t="shared" si="41"/>
        <v>#DIV/0!</v>
      </c>
      <c r="J43" s="63">
        <f>'насел.'!J43+пільги!J43+субсидії!J43+'держ.бюджет'!J43+'місц.-районн.бюджет'!J43+обласний!J43+інші!J43</f>
        <v>0</v>
      </c>
      <c r="K43" s="63">
        <f>'насел.'!K43+пільги!K43+субсидії!K43+'держ.бюджет'!K43+'місц.-районн.бюджет'!K43+обласний!K43+інші!K43</f>
        <v>0</v>
      </c>
      <c r="L43" s="62" t="e">
        <f t="shared" si="42"/>
        <v>#DIV/0!</v>
      </c>
      <c r="M43" s="62">
        <f>'насел.'!M43+пільги!M43+субсидії!M43+'держ.бюджет'!M43+'місц.-районн.бюджет'!M43+обласний!M43+інші!M43</f>
        <v>0</v>
      </c>
      <c r="N43" s="62">
        <f>'насел.'!N43+пільги!N43+субсидії!N43+'держ.бюджет'!N43+'місц.-районн.бюджет'!N43+обласний!N43+інші!N43</f>
        <v>0</v>
      </c>
      <c r="O43" s="62" t="e">
        <f t="shared" si="43"/>
        <v>#DIV/0!</v>
      </c>
      <c r="P43" s="63">
        <f>'насел.'!P43+пільги!P43+субсидії!P43+'держ.бюджет'!P43+'місц.-районн.бюджет'!P43+обласний!P43+інші!P43</f>
        <v>0</v>
      </c>
      <c r="Q43" s="63">
        <f>'насел.'!Q43+пільги!Q43+субсидії!Q43+'держ.бюджет'!Q43+'місц.-районн.бюджет'!Q43+обласний!Q43+інші!Q43</f>
        <v>0</v>
      </c>
      <c r="R43" s="63" t="e">
        <f t="shared" si="44"/>
        <v>#DIV/0!</v>
      </c>
      <c r="S43" s="63">
        <f>'насел.'!S43+пільги!S43+субсидії!S43+'держ.бюджет'!S43+'місц.-районн.бюджет'!S43+обласний!S43+інші!S43</f>
        <v>0</v>
      </c>
      <c r="T43" s="63">
        <f>'насел.'!T43+пільги!T43+субсидії!T43+'держ.бюджет'!T43+'місц.-районн.бюджет'!T43+обласний!T43+інші!T43</f>
        <v>0</v>
      </c>
      <c r="U43" s="62" t="e">
        <f t="shared" si="45"/>
        <v>#DIV/0!</v>
      </c>
      <c r="V43" s="63">
        <f>'насел.'!V43+пільги!V43+субсидії!V43+'держ.бюджет'!V43+'місц.-районн.бюджет'!V43+обласний!V43+інші!V43</f>
        <v>0</v>
      </c>
      <c r="W43" s="63">
        <f>'насел.'!W43+пільги!W43+субсидії!W43+'держ.бюджет'!W43+'місц.-районн.бюджет'!W43+обласний!W43+інші!W43</f>
        <v>0</v>
      </c>
      <c r="X43" s="62" t="e">
        <f t="shared" si="46"/>
        <v>#DIV/0!</v>
      </c>
      <c r="Y43" s="63">
        <f>'насел.'!Y43+пільги!Y43+субсидії!Y43+'держ.бюджет'!Y43+'місц.-районн.бюджет'!Y43+обласний!Y43+інші!Y43</f>
        <v>0</v>
      </c>
      <c r="Z43" s="63">
        <f>'насел.'!Z43+пільги!Z43+субсидії!Z43+'держ.бюджет'!Z43+'місц.-районн.бюджет'!Z43+обласний!Z43+інші!Z43</f>
        <v>0</v>
      </c>
      <c r="AA43" s="62" t="e">
        <f t="shared" si="47"/>
        <v>#DIV/0!</v>
      </c>
      <c r="AB43" s="63">
        <f>'насел.'!AB43+пільги!AB43+субсидії!AB43+'держ.бюджет'!AB43+'місц.-районн.бюджет'!AB43+обласний!AB43+інші!AB43</f>
        <v>0</v>
      </c>
      <c r="AC43" s="63">
        <f>'насел.'!AC43+пільги!AC43+субсидії!AC43+'держ.бюджет'!AC43+'місц.-районн.бюджет'!AC43+обласний!AC43+інші!AC43</f>
        <v>0</v>
      </c>
      <c r="AD43" s="62" t="e">
        <f t="shared" si="48"/>
        <v>#DIV/0!</v>
      </c>
      <c r="AE43" s="63">
        <f>'насел.'!AE43+пільги!AE43+субсидії!AE43+'держ.бюджет'!AE43+'місц.-районн.бюджет'!AE43+обласний!AE43+інші!AE43</f>
        <v>0</v>
      </c>
      <c r="AF43" s="63">
        <f>'насел.'!AF43+пільги!AF43+субсидії!AF43+'держ.бюджет'!AF43+'місц.-районн.бюджет'!AF43+обласний!AF43+інші!AF43</f>
        <v>0</v>
      </c>
      <c r="AG43" s="62" t="e">
        <f t="shared" si="49"/>
        <v>#DIV/0!</v>
      </c>
      <c r="AH43" s="63">
        <f>'насел.'!AH43+пільги!AH43+субсидії!AH43+'держ.бюджет'!AH43+'місц.-районн.бюджет'!AH43+обласний!AH43+інші!AH43</f>
        <v>0</v>
      </c>
      <c r="AI43" s="63">
        <f>'насел.'!AI43+пільги!AI43+субсидії!AI43+'держ.бюджет'!AI43+'місц.-районн.бюджет'!AI43+обласний!AI43+інші!AI43</f>
        <v>0</v>
      </c>
      <c r="AJ43" s="62" t="e">
        <f t="shared" si="50"/>
        <v>#DIV/0!</v>
      </c>
      <c r="AK43" s="79">
        <f>'насел.'!AK43+пільги!AR43+субсидії!AK43+'держ.бюджет'!AK43+'місц.-районн.бюджет'!AK43+обласний!AK43+інші!AK43</f>
        <v>0</v>
      </c>
      <c r="AL43" s="63">
        <f>'насел.'!AL43+пільги!AK43+субсидії!AL43+'держ.бюджет'!AL43+'місц.-районн.бюджет'!AL43+обласний!AL43+інші!AL43</f>
        <v>0</v>
      </c>
      <c r="AM43" s="63" t="e">
        <f t="shared" si="51"/>
        <v>#DIV/0!</v>
      </c>
      <c r="AN43" s="79">
        <f>'насел.'!AN43+пільги!AN43+субсидії!AN43+'держ.бюджет'!AN43+'місц.-районн.бюджет'!AN43+обласний!AN43+інші!AN43</f>
        <v>0</v>
      </c>
      <c r="AO43" s="63">
        <f>'насел.'!AO43+пільги!AN43+субсидії!AO43+'держ.бюджет'!AO43+'місц.-районн.бюджет'!AO43+обласний!AO43+інші!AO43</f>
        <v>0</v>
      </c>
      <c r="AP43" s="63">
        <f>'насел.'!AP43+пільги!AO43+субсидії!AP43+'держ.бюджет'!AP43+'місц.-районн.бюджет'!AP43+обласний!AP43+інші!AP43</f>
        <v>0</v>
      </c>
      <c r="AQ43" s="63">
        <f>'насел.'!AQ43+пільги!AP43+субсидії!AQ43+'держ.бюджет'!AQ43+'місц.-районн.бюджет'!AQ43+обласний!AQ43+інші!AQ43</f>
        <v>0</v>
      </c>
      <c r="AR43" s="63">
        <f>'насел.'!AR43+пільги!AQ43+субсидії!AR43+'держ.бюджет'!AR43+'місц.-районн.бюджет'!AR43+обласний!AR43+інші!AR43</f>
        <v>0</v>
      </c>
      <c r="AS43" s="63">
        <f>'насел.'!AS43+пільги!AR43+субсидії!AS43+'держ.бюджет'!AS43+'місц.-районн.бюджет'!AS43+обласний!AS43+інші!AS43</f>
        <v>0</v>
      </c>
      <c r="AT43" s="63">
        <f>'насел.'!AT43+пільги!AT43+субсидії!AT43+'держ.бюджет'!AT43+'місц.-районн.бюджет'!AT43+обласний!AT43+інші!AT43</f>
        <v>0</v>
      </c>
      <c r="AU43" s="63">
        <f>'насел.'!AU43+пільги!AU43+субсидії!AU43+'держ.бюджет'!AU43+'місц.-районн.бюджет'!AU43+обласний!AU43+інші!AU43</f>
        <v>0</v>
      </c>
      <c r="AV43" s="62" t="e">
        <f t="shared" si="52"/>
        <v>#DIV/0!</v>
      </c>
      <c r="AW43" s="63">
        <f t="shared" si="13"/>
        <v>0</v>
      </c>
      <c r="AX43" s="66">
        <f>'насел.'!AX43+пільги!AX43+субсидії!AX43+'держ.бюджет'!AX43+'місц.-районн.бюджет'!AX43+обласний!AX43+інші!AX43</f>
        <v>0</v>
      </c>
      <c r="AY43" s="144"/>
      <c r="AZ43" s="144"/>
      <c r="BA43" s="144"/>
      <c r="BB43" s="144"/>
    </row>
    <row r="44" spans="1:54" ht="34.5" customHeight="1">
      <c r="A44" s="10" t="s">
        <v>32</v>
      </c>
      <c r="B44" s="158" t="s">
        <v>159</v>
      </c>
      <c r="C44" s="63">
        <f>'насел.'!C44+пільги!C44+субсидії!C44+'держ.бюджет'!C44+'місц.-районн.бюджет'!C44+обласний!C44+інші!C44</f>
        <v>56704</v>
      </c>
      <c r="D44" s="63">
        <f>'насел.'!D44+пільги!D44+субсидії!D44+'держ.бюджет'!D44+'місц.-районн.бюджет'!D44+обласний!D44+інші!D44</f>
        <v>22539.3</v>
      </c>
      <c r="E44" s="63">
        <f>'насел.'!E44+пільги!E44+субсидії!E44+'держ.бюджет'!E44+'місц.-районн.бюджет'!E44+обласний!E44+інші!E44</f>
        <v>13236.5</v>
      </c>
      <c r="F44" s="62">
        <f t="shared" si="40"/>
        <v>58.72631359447721</v>
      </c>
      <c r="G44" s="63">
        <f>'насел.'!G44+пільги!G44+субсидії!G44+'держ.бюджет'!G44+'місц.-районн.бюджет'!G44+обласний!G44+інші!G44</f>
        <v>23009.1</v>
      </c>
      <c r="H44" s="63">
        <f>'насел.'!H44+пільги!H44+субсидії!H44+'держ.бюджет'!H44+'місц.-районн.бюджет'!H44+обласний!H44+інші!H44</f>
        <v>16072.2</v>
      </c>
      <c r="I44" s="62">
        <f t="shared" si="41"/>
        <v>69.85149353951263</v>
      </c>
      <c r="J44" s="63">
        <f>'насел.'!J44+пільги!J44+субсидії!J44+'держ.бюджет'!J44+'місц.-районн.бюджет'!J44+обласний!J44+інші!J44</f>
        <v>19943.699999999997</v>
      </c>
      <c r="K44" s="63">
        <f>'насел.'!K44+пільги!K44+субсидії!K44+'держ.бюджет'!K44+'місц.-районн.бюджет'!K44+обласний!K44+інші!K44</f>
        <v>17682.699999999997</v>
      </c>
      <c r="L44" s="62">
        <f t="shared" si="42"/>
        <v>88.66308658874732</v>
      </c>
      <c r="M44" s="62">
        <f>'насел.'!M44+пільги!M44+субсидії!M44+'держ.бюджет'!M44+'місц.-районн.бюджет'!M44+обласний!M44+інші!M44</f>
        <v>65492.09999999999</v>
      </c>
      <c r="N44" s="62">
        <f>'насел.'!N44+пільги!N44+субсидії!N44+'держ.бюджет'!N44+'місц.-районн.бюджет'!N44+обласний!N44+інші!N44</f>
        <v>46991.40000000001</v>
      </c>
      <c r="O44" s="62">
        <f t="shared" si="43"/>
        <v>71.7512493873307</v>
      </c>
      <c r="P44" s="63">
        <f>'насел.'!P44+пільги!P44+субсидії!P44+'держ.бюджет'!P44+'місц.-районн.бюджет'!P44+обласний!P44+інші!P44</f>
        <v>5251.799999999999</v>
      </c>
      <c r="Q44" s="63">
        <f>'насел.'!Q44+пільги!Q44+субсидії!Q44+'держ.бюджет'!Q44+'місц.-районн.бюджет'!Q44+обласний!Q44+інші!Q44</f>
        <v>14907.1</v>
      </c>
      <c r="R44" s="63">
        <f t="shared" si="44"/>
        <v>283.84744278152255</v>
      </c>
      <c r="S44" s="63">
        <f>'насел.'!S44+пільги!S44+субсидії!S44+'держ.бюджет'!S44+'місц.-районн.бюджет'!S44+обласний!S44+інші!S44</f>
        <v>0</v>
      </c>
      <c r="T44" s="63">
        <f>'насел.'!T44+пільги!T44+субсидії!T44+'держ.бюджет'!T44+'місц.-районн.бюджет'!T44+обласний!T44+інші!T44</f>
        <v>6134.3</v>
      </c>
      <c r="U44" s="62" t="e">
        <f t="shared" si="45"/>
        <v>#DIV/0!</v>
      </c>
      <c r="V44" s="63">
        <f>'насел.'!V44+пільги!V44+субсидії!V44+'держ.бюджет'!V44+'місц.-районн.бюджет'!V44+обласний!V44+інші!V44</f>
        <v>0</v>
      </c>
      <c r="W44" s="63">
        <f>'насел.'!W44+пільги!W44+субсидії!W44+'держ.бюджет'!W44+'місц.-районн.бюджет'!W44+обласний!W44+інші!W44</f>
        <v>3160.9</v>
      </c>
      <c r="X44" s="62" t="e">
        <f t="shared" si="46"/>
        <v>#DIV/0!</v>
      </c>
      <c r="Y44" s="63">
        <f>'насел.'!Y44+пільги!Y44+субсидії!Y44+'держ.бюджет'!Y44+'місц.-районн.бюджет'!Y44+обласний!Y44+інші!Y44</f>
        <v>5251.799999999999</v>
      </c>
      <c r="Z44" s="63">
        <f>'насел.'!Z44+пільги!Z44+субсидії!Z44+'держ.бюджет'!Z44+'місц.-районн.бюджет'!Z44+обласний!Z44+інші!Z44</f>
        <v>24202.299999999996</v>
      </c>
      <c r="AA44" s="62">
        <f t="shared" si="47"/>
        <v>460.83818881145515</v>
      </c>
      <c r="AB44" s="63">
        <f>'насел.'!AB44+пільги!AB44+субсидії!AB44+'держ.бюджет'!AB44+'місц.-районн.бюджет'!AB44+обласний!AB44+інші!AB44</f>
        <v>0</v>
      </c>
      <c r="AC44" s="63">
        <f>'насел.'!AC44+пільги!AC44+субсидії!AC44+'держ.бюджет'!AC44+'місц.-районн.бюджет'!AC44+обласний!AC44+інші!AC44</f>
        <v>0</v>
      </c>
      <c r="AD44" s="62" t="e">
        <f t="shared" si="48"/>
        <v>#DIV/0!</v>
      </c>
      <c r="AE44" s="63">
        <f>'насел.'!AE44+пільги!AE44+субсидії!AE44+'держ.бюджет'!AE44+'місц.-районн.бюджет'!AE44+обласний!AE44+інші!AE44</f>
        <v>0</v>
      </c>
      <c r="AF44" s="63">
        <f>'насел.'!AF44+пільги!AF44+субсидії!AF44+'держ.бюджет'!AF44+'місц.-районн.бюджет'!AF44+обласний!AF44+інші!AF44</f>
        <v>0</v>
      </c>
      <c r="AG44" s="62" t="e">
        <f t="shared" si="49"/>
        <v>#DIV/0!</v>
      </c>
      <c r="AH44" s="63">
        <f>'насел.'!AH44+пільги!AH44+субсидії!AH44+'держ.бюджет'!AH44+'місц.-районн.бюджет'!AH44+обласний!AH44+інші!AH44</f>
        <v>0</v>
      </c>
      <c r="AI44" s="63">
        <f>'насел.'!AI44+пільги!AI44+субсидії!AI44+'держ.бюджет'!AI44+'місц.-районн.бюджет'!AI44+обласний!AI44+інші!AI44</f>
        <v>0</v>
      </c>
      <c r="AJ44" s="62" t="e">
        <f t="shared" si="50"/>
        <v>#DIV/0!</v>
      </c>
      <c r="AK44" s="79">
        <f>'насел.'!AK44+пільги!AR44+субсидії!AK44+'держ.бюджет'!AK44+'місц.-районн.бюджет'!AK44+обласний!AK44+інші!AK44</f>
        <v>0</v>
      </c>
      <c r="AL44" s="63">
        <f>'насел.'!AL44+пільги!AK44+субсидії!AL44+'держ.бюджет'!AL44+'місц.-районн.бюджет'!AL44+обласний!AL44+інші!AL44</f>
        <v>0</v>
      </c>
      <c r="AM44" s="63" t="e">
        <f t="shared" si="51"/>
        <v>#DIV/0!</v>
      </c>
      <c r="AN44" s="79">
        <f>'насел.'!AN44+пільги!AN44+субсидії!AN44+'держ.бюджет'!AN44+'місц.-районн.бюджет'!AN44+обласний!AN44+інші!AN44</f>
        <v>0</v>
      </c>
      <c r="AO44" s="63">
        <f>'насел.'!AO44+пільги!AN44+субсидії!AO44+'держ.бюджет'!AO44+'місц.-районн.бюджет'!AO44+обласний!AO44+інші!AO44</f>
        <v>0</v>
      </c>
      <c r="AP44" s="63">
        <f>'насел.'!AP44+пільги!AO44+субсидії!AP44+'держ.бюджет'!AP44+'місц.-районн.бюджет'!AP44+обласний!AP44+інші!AP44</f>
        <v>0</v>
      </c>
      <c r="AQ44" s="63">
        <f>'насел.'!AQ44+пільги!AP44+субсидії!AQ44+'держ.бюджет'!AQ44+'місц.-районн.бюджет'!AQ44+обласний!AQ44+інші!AQ44</f>
        <v>0</v>
      </c>
      <c r="AR44" s="63">
        <f>'насел.'!AR44+пільги!AQ44+субсидії!AR44+'держ.бюджет'!AR44+'місц.-районн.бюджет'!AR44+обласний!AR44+інші!AR44</f>
        <v>0</v>
      </c>
      <c r="AS44" s="63">
        <f>'насел.'!AS44+пільги!AR44+субсидії!AS44+'держ.бюджет'!AS44+'місц.-районн.бюджет'!AS44+обласний!AS44+інші!AS44</f>
        <v>0</v>
      </c>
      <c r="AT44" s="63">
        <f>'насел.'!AT44+пільги!AT44+субсидії!AT44+'держ.бюджет'!AT44+'місц.-районн.бюджет'!AT44+обласний!AT44+інші!AT44</f>
        <v>70743.9</v>
      </c>
      <c r="AU44" s="63">
        <f>'насел.'!AU44+пільги!AU44+субсидії!AU44+'держ.бюджет'!AU44+'місц.-районн.бюджет'!AU44+обласний!AU44+інші!AU44</f>
        <v>71193.70000000001</v>
      </c>
      <c r="AV44" s="62">
        <f t="shared" si="52"/>
        <v>100.63581453665972</v>
      </c>
      <c r="AW44" s="63">
        <f t="shared" si="13"/>
        <v>-449.80000000001746</v>
      </c>
      <c r="AX44" s="66">
        <f>'насел.'!AX44+пільги!AX44+субсидії!AX44+'держ.бюджет'!AX44+'місц.-районн.бюджет'!AX44+обласний!AX44+інші!AX44</f>
        <v>56254.19999999999</v>
      </c>
      <c r="AY44" s="144"/>
      <c r="AZ44" s="144"/>
      <c r="BA44" s="144"/>
      <c r="BB44" s="144"/>
    </row>
    <row r="45" spans="1:54" s="9" customFormat="1" ht="34.5" customHeight="1">
      <c r="A45" s="8"/>
      <c r="B45" s="156" t="s">
        <v>54</v>
      </c>
      <c r="C45" s="79">
        <f>'насел.'!C45+пільги!C45+субсидії!C45+'держ.бюджет'!C45+'місц.-районн.бюджет'!C45+обласний!C45+інші!C45</f>
        <v>12666.400000000001</v>
      </c>
      <c r="D45" s="79">
        <f>'насел.'!D45+пільги!D45+субсидії!D45+'держ.бюджет'!D45+'місц.-районн.бюджет'!D45+обласний!D45+інші!D45</f>
        <v>19724.399999999998</v>
      </c>
      <c r="E45" s="79">
        <f>'насел.'!E45+пільги!E45+субсидії!E45+'держ.бюджет'!E45+'місц.-районн.бюджет'!E45+обласний!E45+інші!E45</f>
        <v>3969.5</v>
      </c>
      <c r="F45" s="58">
        <f aca="true" t="shared" si="53" ref="F45:F71">E45/D45*100</f>
        <v>20.124820019873866</v>
      </c>
      <c r="G45" s="79">
        <f>'насел.'!G45+пільги!G45+субсидії!G45+'держ.бюджет'!G45+'місц.-районн.бюджет'!G45+обласний!G45+інші!G45</f>
        <v>6891.5</v>
      </c>
      <c r="H45" s="79">
        <f>'насел.'!H45+пільги!H45+субсидії!H45+'держ.бюджет'!H45+'місц.-районн.бюджет'!H45+обласний!H45+інші!H45</f>
        <v>5182.8</v>
      </c>
      <c r="I45" s="58">
        <f aca="true" t="shared" si="54" ref="I45:I71">H45/G45*100</f>
        <v>75.20568816658202</v>
      </c>
      <c r="J45" s="79">
        <f>'насел.'!J45+пільги!J45+субсидії!J45+'держ.бюджет'!J45+'місц.-районн.бюджет'!J45+обласний!J45+інші!J45</f>
        <v>5567.2</v>
      </c>
      <c r="K45" s="79">
        <f>'насел.'!K45+пільги!K45+субсидії!K45+'держ.бюджет'!K45+'місц.-районн.бюджет'!K45+обласний!K45+інші!K45</f>
        <v>5871.9</v>
      </c>
      <c r="L45" s="58">
        <f aca="true" t="shared" si="55" ref="L45:L71">K45/J45*100</f>
        <v>105.47312832303493</v>
      </c>
      <c r="M45" s="58">
        <f>'насел.'!M45+пільги!M45+субсидії!M45+'держ.бюджет'!M45+'місц.-районн.бюджет'!M45+обласний!M45+інші!M45</f>
        <v>32183.100000000002</v>
      </c>
      <c r="N45" s="58">
        <f>'насел.'!N45+пільги!N45+субсидії!N45+'держ.бюджет'!N45+'місц.-районн.бюджет'!N45+обласний!N45+інші!N45</f>
        <v>15024.199999999999</v>
      </c>
      <c r="O45" s="58">
        <f aca="true" t="shared" si="56" ref="O45:O71">N45/M45*100</f>
        <v>46.68350780378521</v>
      </c>
      <c r="P45" s="79">
        <f>'насел.'!P45+пільги!P45+субсидії!P45+'держ.бюджет'!P45+'місц.-районн.бюджет'!P45+обласний!P45+інші!P45</f>
        <v>477.4</v>
      </c>
      <c r="Q45" s="79">
        <f>'насел.'!Q45+пільги!Q45+субсидії!Q45+'держ.бюджет'!Q45+'місц.-районн.бюджет'!Q45+обласний!Q45+інші!Q45</f>
        <v>1356.9</v>
      </c>
      <c r="R45" s="79">
        <f aca="true" t="shared" si="57" ref="R45:R71">Q45/P45*100</f>
        <v>284.22706325932137</v>
      </c>
      <c r="S45" s="79">
        <f>'насел.'!S45+пільги!S45+субсидії!S45+'держ.бюджет'!S45+'місц.-районн.бюджет'!S45+обласний!S45+інші!S45</f>
        <v>34.6</v>
      </c>
      <c r="T45" s="79">
        <f>'насел.'!T45+пільги!T45+субсидії!T45+'держ.бюджет'!T45+'місц.-районн.бюджет'!T45+обласний!T45+інші!T45</f>
        <v>1253.9</v>
      </c>
      <c r="U45" s="58">
        <f aca="true" t="shared" si="58" ref="U45:U71">T45/S45*100</f>
        <v>3623.9884393063585</v>
      </c>
      <c r="V45" s="79">
        <f>'насел.'!V45+пільги!V45+субсидії!V45+'держ.бюджет'!V45+'місц.-районн.бюджет'!V45+обласний!V45+інші!V45</f>
        <v>0</v>
      </c>
      <c r="W45" s="79">
        <f>'насел.'!W45+пільги!W45+субсидії!W45+'держ.бюджет'!W45+'місц.-районн.бюджет'!W45+обласний!W45+інші!W45</f>
        <v>1.7</v>
      </c>
      <c r="X45" s="58" t="e">
        <f aca="true" t="shared" si="59" ref="X45:X71">W45/V45*100</f>
        <v>#DIV/0!</v>
      </c>
      <c r="Y45" s="79">
        <f>'насел.'!Y45+пільги!Y45+субсидії!Y45+'держ.бюджет'!Y45+'місц.-районн.бюджет'!Y45+обласний!Y45+інші!Y45</f>
        <v>512</v>
      </c>
      <c r="Z45" s="79">
        <f>'насел.'!Z45+пільги!Z45+субсидії!Z45+'держ.бюджет'!Z45+'місц.-районн.бюджет'!Z45+обласний!Z45+інші!Z45</f>
        <v>2612.5</v>
      </c>
      <c r="AA45" s="58">
        <f aca="true" t="shared" si="60" ref="AA45:AA71">Z45/Y45*100</f>
        <v>510.25390625</v>
      </c>
      <c r="AB45" s="79">
        <f>'насел.'!AB45+пільги!AB45+субсидії!AB45+'держ.бюджет'!AB45+'місц.-районн.бюджет'!AB45+обласний!AB45+інші!AB45</f>
        <v>0</v>
      </c>
      <c r="AC45" s="79">
        <f>'насел.'!AC45+пільги!AC45+субсидії!AC45+'держ.бюджет'!AC45+'місц.-районн.бюджет'!AC45+обласний!AC45+інші!AC45</f>
        <v>0</v>
      </c>
      <c r="AD45" s="58" t="e">
        <f aca="true" t="shared" si="61" ref="AD45:AD71">AC45/AB45*100</f>
        <v>#DIV/0!</v>
      </c>
      <c r="AE45" s="79">
        <f>'насел.'!AE45+пільги!AE45+субсидії!AE45+'держ.бюджет'!AE45+'місц.-районн.бюджет'!AE45+обласний!AE45+інші!AE45</f>
        <v>0</v>
      </c>
      <c r="AF45" s="79">
        <f>'насел.'!AF45+пільги!AF45+субсидії!AF45+'держ.бюджет'!AF45+'місц.-районн.бюджет'!AF45+обласний!AF45+інші!AF45</f>
        <v>0</v>
      </c>
      <c r="AG45" s="58" t="e">
        <f aca="true" t="shared" si="62" ref="AG45:AG71">AF45/AE45*100</f>
        <v>#DIV/0!</v>
      </c>
      <c r="AH45" s="79">
        <f>'насел.'!AH45+пільги!AH45+субсидії!AH45+'держ.бюджет'!AH45+'місц.-районн.бюджет'!AH45+обласний!AH45+інші!AH45</f>
        <v>0</v>
      </c>
      <c r="AI45" s="79">
        <f>'насел.'!AI45+пільги!AI45+субсидії!AI45+'держ.бюджет'!AI45+'місц.-районн.бюджет'!AI45+обласний!AI45+інші!AI45</f>
        <v>0</v>
      </c>
      <c r="AJ45" s="58" t="e">
        <f aca="true" t="shared" si="63" ref="AJ45:AJ71">AI45/AH45*100</f>
        <v>#DIV/0!</v>
      </c>
      <c r="AK45" s="79">
        <f>'насел.'!AK45+пільги!AR45+субсидії!AK45+'держ.бюджет'!AK45+'місц.-районн.бюджет'!AK45+обласний!AK45+інші!AK45</f>
        <v>0</v>
      </c>
      <c r="AL45" s="79">
        <f>'насел.'!AL45+пільги!AK45+субсидії!AL45+'держ.бюджет'!AL45+'місц.-районн.бюджет'!AL45+обласний!AL45+інші!AL45</f>
        <v>0</v>
      </c>
      <c r="AM45" s="79" t="e">
        <f aca="true" t="shared" si="64" ref="AM45:AM71">AL45/AK45*100</f>
        <v>#DIV/0!</v>
      </c>
      <c r="AN45" s="79">
        <f>'насел.'!AN45+пільги!AN45+субсидії!AN45+'держ.бюджет'!AN45+'місц.-районн.бюджет'!AN45+обласний!AN45+інші!AN45</f>
        <v>0</v>
      </c>
      <c r="AO45" s="79">
        <f>'насел.'!AO45+пільги!AN45+субсидії!AO45+'держ.бюджет'!AO45+'місц.-районн.бюджет'!AO45+обласний!AO45+інші!AO45</f>
        <v>0</v>
      </c>
      <c r="AP45" s="79">
        <f>'насел.'!AP45+пільги!AO45+субсидії!AP45+'держ.бюджет'!AP45+'місц.-районн.бюджет'!AP45+обласний!AP45+інші!AP45</f>
        <v>0</v>
      </c>
      <c r="AQ45" s="79">
        <f>'насел.'!AQ45+пільги!AP45+субсидії!AQ45+'держ.бюджет'!AQ45+'місц.-районн.бюджет'!AQ45+обласний!AQ45+інші!AQ45</f>
        <v>0</v>
      </c>
      <c r="AR45" s="79">
        <f>'насел.'!AR45+пільги!AQ45+субсидії!AR45+'держ.бюджет'!AR45+'місц.-районн.бюджет'!AR45+обласний!AR45+інші!AR45</f>
        <v>0</v>
      </c>
      <c r="AS45" s="79">
        <f>'насел.'!AS45+пільги!AR45+субсидії!AS45+'держ.бюджет'!AS45+'місц.-районн.бюджет'!AS45+обласний!AS45+інші!AS45</f>
        <v>0</v>
      </c>
      <c r="AT45" s="79">
        <f>'насел.'!AT45+пільги!AT45+субсидії!AT45+'держ.бюджет'!AT45+'місц.-районн.бюджет'!AT45+обласний!AT45+інші!AT45</f>
        <v>32695.1</v>
      </c>
      <c r="AU45" s="79">
        <f>'насел.'!AU45+пільги!AU45+субсидії!AU45+'держ.бюджет'!AU45+'місц.-районн.бюджет'!AU45+обласний!AU45+інші!AU45</f>
        <v>17636.699999999997</v>
      </c>
      <c r="AV45" s="58">
        <f aca="true" t="shared" si="65" ref="AV45:AV71">AU45/AT45*100</f>
        <v>53.94294557900113</v>
      </c>
      <c r="AW45" s="79">
        <f t="shared" si="13"/>
        <v>15058.400000000001</v>
      </c>
      <c r="AX45" s="66">
        <f>'насел.'!AX45+пільги!AX45+субсидії!AX45+'держ.бюджет'!AX45+'місц.-районн.бюджет'!AX45+обласний!AX45+інші!AX45</f>
        <v>27724.800000000003</v>
      </c>
      <c r="AY45" s="150"/>
      <c r="AZ45" s="150"/>
      <c r="BA45" s="150"/>
      <c r="BB45" s="150"/>
    </row>
    <row r="46" spans="1:54" ht="34.5" customHeight="1" hidden="1">
      <c r="A46" s="10" t="s">
        <v>8</v>
      </c>
      <c r="B46" s="110" t="s">
        <v>106</v>
      </c>
      <c r="C46" s="63">
        <f>'насел.'!C46+пільги!C46+субсидії!C46+'держ.бюджет'!C46+'місц.-районн.бюджет'!C46+обласний!C46+інші!C46</f>
        <v>0</v>
      </c>
      <c r="D46" s="63">
        <f>'насел.'!D46+пільги!D46+субсидії!D46+'держ.бюджет'!D46+'місц.-районн.бюджет'!D46+обласний!D46+інші!D46</f>
        <v>0</v>
      </c>
      <c r="E46" s="63">
        <f>'насел.'!E46+пільги!E46+субсидії!E46+'держ.бюджет'!E46+'місц.-районн.бюджет'!E46+обласний!E46+інші!E46</f>
        <v>0</v>
      </c>
      <c r="F46" s="62" t="e">
        <f t="shared" si="53"/>
        <v>#DIV/0!</v>
      </c>
      <c r="G46" s="63">
        <f>'насел.'!G46+пільги!G46+субсидії!G46+'держ.бюджет'!G46+'місц.-районн.бюджет'!G46+обласний!G46+інші!G46</f>
        <v>0</v>
      </c>
      <c r="H46" s="63">
        <f>'насел.'!H46+пільги!H46+субсидії!H46+'держ.бюджет'!H46+'місц.-районн.бюджет'!H46+обласний!H46+інші!H46</f>
        <v>0</v>
      </c>
      <c r="I46" s="62" t="e">
        <f t="shared" si="54"/>
        <v>#DIV/0!</v>
      </c>
      <c r="J46" s="63">
        <f>'насел.'!J46+пільги!J46+субсидії!J46+'держ.бюджет'!J46+'місц.-районн.бюджет'!J46+обласний!J46+інші!J46</f>
        <v>0</v>
      </c>
      <c r="K46" s="63">
        <f>'насел.'!K46+пільги!K46+субсидії!K46+'держ.бюджет'!K46+'місц.-районн.бюджет'!K46+обласний!K46+інші!K46</f>
        <v>0</v>
      </c>
      <c r="L46" s="62" t="e">
        <f t="shared" si="55"/>
        <v>#DIV/0!</v>
      </c>
      <c r="M46" s="62">
        <f>'насел.'!M46+пільги!M46+субсидії!M46+'держ.бюджет'!M46+'місц.-районн.бюджет'!M46+обласний!M46+інші!M46</f>
        <v>0</v>
      </c>
      <c r="N46" s="62">
        <f>'насел.'!N46+пільги!N46+субсидії!N46+'держ.бюджет'!N46+'місц.-районн.бюджет'!N46+обласний!N46+інші!N46</f>
        <v>0</v>
      </c>
      <c r="O46" s="62" t="e">
        <f t="shared" si="56"/>
        <v>#DIV/0!</v>
      </c>
      <c r="P46" s="63">
        <f>'насел.'!P46+пільги!P46+субсидії!P46+'держ.бюджет'!P46+'місц.-районн.бюджет'!P46+обласний!P46+інші!P46</f>
        <v>0</v>
      </c>
      <c r="Q46" s="63">
        <f>'насел.'!Q46+пільги!Q46+субсидії!Q46+'держ.бюджет'!Q46+'місц.-районн.бюджет'!Q46+обласний!Q46+інші!Q46</f>
        <v>0</v>
      </c>
      <c r="R46" s="63" t="e">
        <f t="shared" si="57"/>
        <v>#DIV/0!</v>
      </c>
      <c r="S46" s="63">
        <f>'насел.'!S46+пільги!S46+субсидії!S46+'держ.бюджет'!S46+'місц.-районн.бюджет'!S46+обласний!S46+інші!S46</f>
        <v>0</v>
      </c>
      <c r="T46" s="63">
        <f>'насел.'!T46+пільги!T46+субсидії!T46+'держ.бюджет'!T46+'місц.-районн.бюджет'!T46+обласний!T46+інші!T46</f>
        <v>0</v>
      </c>
      <c r="U46" s="62" t="e">
        <f t="shared" si="58"/>
        <v>#DIV/0!</v>
      </c>
      <c r="V46" s="63">
        <f>'насел.'!V46+пільги!V46+субсидії!V46+'держ.бюджет'!V46+'місц.-районн.бюджет'!V46+обласний!V46+інші!V46</f>
        <v>0</v>
      </c>
      <c r="W46" s="63">
        <f>'насел.'!W46+пільги!W46+субсидії!W46+'держ.бюджет'!W46+'місц.-районн.бюджет'!W46+обласний!W46+інші!W46</f>
        <v>0</v>
      </c>
      <c r="X46" s="62" t="e">
        <f t="shared" si="59"/>
        <v>#DIV/0!</v>
      </c>
      <c r="Y46" s="63">
        <f>'насел.'!Y46+пільги!Y46+субсидії!Y46+'держ.бюджет'!Y46+'місц.-районн.бюджет'!Y46+обласний!Y46+інші!Y46</f>
        <v>0</v>
      </c>
      <c r="Z46" s="63">
        <f>'насел.'!Z46+пільги!Z46+субсидії!Z46+'держ.бюджет'!Z46+'місц.-районн.бюджет'!Z46+обласний!Z46+інші!Z46</f>
        <v>0</v>
      </c>
      <c r="AA46" s="62" t="e">
        <f t="shared" si="60"/>
        <v>#DIV/0!</v>
      </c>
      <c r="AB46" s="63">
        <f>'насел.'!AB46+пільги!AB46+субсидії!AB46+'держ.бюджет'!AB46+'місц.-районн.бюджет'!AB46+обласний!AB46+інші!AB46</f>
        <v>0</v>
      </c>
      <c r="AC46" s="63">
        <f>'насел.'!AC46+пільги!AC46+субсидії!AC46+'держ.бюджет'!AC46+'місц.-районн.бюджет'!AC46+обласний!AC46+інші!AC46</f>
        <v>0</v>
      </c>
      <c r="AD46" s="62" t="e">
        <f t="shared" si="61"/>
        <v>#DIV/0!</v>
      </c>
      <c r="AE46" s="63">
        <f>'насел.'!AE46+пільги!AE46+субсидії!AE46+'держ.бюджет'!AE46+'місц.-районн.бюджет'!AE46+обласний!AE46+інші!AE46</f>
        <v>0</v>
      </c>
      <c r="AF46" s="63">
        <f>'насел.'!AF46+пільги!AF46+субсидії!AF46+'держ.бюджет'!AF46+'місц.-районн.бюджет'!AF46+обласний!AF46+інші!AF46</f>
        <v>0</v>
      </c>
      <c r="AG46" s="62" t="e">
        <f t="shared" si="62"/>
        <v>#DIV/0!</v>
      </c>
      <c r="AH46" s="63">
        <f>'насел.'!AH46+пільги!AH46+субсидії!AH46+'держ.бюджет'!AH46+'місц.-районн.бюджет'!AH46+обласний!AH46+інші!AH46</f>
        <v>0</v>
      </c>
      <c r="AI46" s="63">
        <f>'насел.'!AI46+пільги!AI46+субсидії!AI46+'держ.бюджет'!AI46+'місц.-районн.бюджет'!AI46+обласний!AI46+інші!AI46</f>
        <v>0</v>
      </c>
      <c r="AJ46" s="62" t="e">
        <f t="shared" si="63"/>
        <v>#DIV/0!</v>
      </c>
      <c r="AK46" s="79">
        <f>'насел.'!AK46+пільги!AR46+субсидії!AK46+'держ.бюджет'!AK46+'місц.-районн.бюджет'!AK46+обласний!AK46+інші!AK46</f>
        <v>0</v>
      </c>
      <c r="AL46" s="63">
        <f>'насел.'!AL46+пільги!AK46+субсидії!AL46+'держ.бюджет'!AL46+'місц.-районн.бюджет'!AL46+обласний!AL46+інші!AL46</f>
        <v>0</v>
      </c>
      <c r="AM46" s="63" t="e">
        <f t="shared" si="64"/>
        <v>#DIV/0!</v>
      </c>
      <c r="AN46" s="79">
        <f>'насел.'!AN46+пільги!AN46+субсидії!AN46+'держ.бюджет'!AN46+'місц.-районн.бюджет'!AN46+обласний!AN46+інші!AN46</f>
        <v>0</v>
      </c>
      <c r="AO46" s="63">
        <f>'насел.'!AO46+пільги!AN46+субсидії!AO46+'держ.бюджет'!AO46+'місц.-районн.бюджет'!AO46+обласний!AO46+інші!AO46</f>
        <v>0</v>
      </c>
      <c r="AP46" s="63">
        <f>'насел.'!AP46+пільги!AO46+субсидії!AP46+'держ.бюджет'!AP46+'місц.-районн.бюджет'!AP46+обласний!AP46+інші!AP46</f>
        <v>0</v>
      </c>
      <c r="AQ46" s="63">
        <f>'насел.'!AQ46+пільги!AP46+субсидії!AQ46+'держ.бюджет'!AQ46+'місц.-районн.бюджет'!AQ46+обласний!AQ46+інші!AQ46</f>
        <v>0</v>
      </c>
      <c r="AR46" s="63">
        <f>'насел.'!AR46+пільги!AQ46+субсидії!AR46+'держ.бюджет'!AR46+'місц.-районн.бюджет'!AR46+обласний!AR46+інші!AR46</f>
        <v>0</v>
      </c>
      <c r="AS46" s="63">
        <f>'насел.'!AS46+пільги!AR46+субсидії!AS46+'держ.бюджет'!AS46+'місц.-районн.бюджет'!AS46+обласний!AS46+інші!AS46</f>
        <v>0</v>
      </c>
      <c r="AT46" s="63">
        <f>'насел.'!AT46+пільги!AT46+субсидії!AT46+'держ.бюджет'!AT46+'місц.-районн.бюджет'!AT46+обласний!AT46+інші!AT46</f>
        <v>0</v>
      </c>
      <c r="AU46" s="63">
        <f>'насел.'!AU46+пільги!AU46+субсидії!AU46+'держ.бюджет'!AU46+'місц.-районн.бюджет'!AU46+обласний!AU46+інші!AU46</f>
        <v>0</v>
      </c>
      <c r="AV46" s="62" t="e">
        <f t="shared" si="65"/>
        <v>#DIV/0!</v>
      </c>
      <c r="AW46" s="63">
        <f t="shared" si="13"/>
        <v>0</v>
      </c>
      <c r="AX46" s="66">
        <f>'насел.'!AX46+пільги!AX46+субсидії!AX46+'держ.бюджет'!AX46+'місц.-районн.бюджет'!AX46+обласний!AX46+інші!AX46</f>
        <v>0</v>
      </c>
      <c r="AY46" s="144"/>
      <c r="AZ46" s="144"/>
      <c r="BA46" s="144"/>
      <c r="BB46" s="144"/>
    </row>
    <row r="47" spans="1:54" ht="34.5" customHeight="1" hidden="1">
      <c r="A47" s="10" t="s">
        <v>9</v>
      </c>
      <c r="B47" s="110" t="s">
        <v>107</v>
      </c>
      <c r="C47" s="63">
        <f>'насел.'!C47+пільги!C47+субсидії!C47+'держ.бюджет'!C47+'місц.-районн.бюджет'!C47+обласний!C47+інші!C47</f>
        <v>0</v>
      </c>
      <c r="D47" s="63">
        <f>'насел.'!D47+пільги!D47+субсидії!D47+'держ.бюджет'!D47+'місц.-районн.бюджет'!D47+обласний!D47+інші!D47</f>
        <v>0</v>
      </c>
      <c r="E47" s="63">
        <f>'насел.'!E47+пільги!E47+субсидії!E47+'держ.бюджет'!E47+'місц.-районн.бюджет'!E47+обласний!E47+інші!E47</f>
        <v>0</v>
      </c>
      <c r="F47" s="62" t="e">
        <f t="shared" si="53"/>
        <v>#DIV/0!</v>
      </c>
      <c r="G47" s="63">
        <f>'насел.'!G47+пільги!G47+субсидії!G47+'держ.бюджет'!G47+'місц.-районн.бюджет'!G47+обласний!G47+інші!G47</f>
        <v>0</v>
      </c>
      <c r="H47" s="63">
        <f>'насел.'!H47+пільги!H47+субсидії!H47+'держ.бюджет'!H47+'місц.-районн.бюджет'!H47+обласний!H47+інші!H47</f>
        <v>0</v>
      </c>
      <c r="I47" s="62" t="e">
        <f t="shared" si="54"/>
        <v>#DIV/0!</v>
      </c>
      <c r="J47" s="63">
        <f>'насел.'!J47+пільги!J47+субсидії!J47+'держ.бюджет'!J47+'місц.-районн.бюджет'!J47+обласний!J47+інші!J47</f>
        <v>0</v>
      </c>
      <c r="K47" s="63">
        <f>'насел.'!K47+пільги!K47+субсидії!K47+'держ.бюджет'!K47+'місц.-районн.бюджет'!K47+обласний!K47+інші!K47</f>
        <v>0</v>
      </c>
      <c r="L47" s="62" t="e">
        <f t="shared" si="55"/>
        <v>#DIV/0!</v>
      </c>
      <c r="M47" s="62">
        <f>'насел.'!M47+пільги!M47+субсидії!M47+'держ.бюджет'!M47+'місц.-районн.бюджет'!M47+обласний!M47+інші!M47</f>
        <v>0</v>
      </c>
      <c r="N47" s="62">
        <f>'насел.'!N47+пільги!N47+субсидії!N47+'держ.бюджет'!N47+'місц.-районн.бюджет'!N47+обласний!N47+інші!N47</f>
        <v>0</v>
      </c>
      <c r="O47" s="62" t="e">
        <f t="shared" si="56"/>
        <v>#DIV/0!</v>
      </c>
      <c r="P47" s="63">
        <f>'насел.'!P47+пільги!P47+субсидії!P47+'держ.бюджет'!P47+'місц.-районн.бюджет'!P47+обласний!P47+інші!P47</f>
        <v>0</v>
      </c>
      <c r="Q47" s="63">
        <f>'насел.'!Q47+пільги!Q47+субсидії!Q47+'держ.бюджет'!Q47+'місц.-районн.бюджет'!Q47+обласний!Q47+інші!Q47</f>
        <v>0</v>
      </c>
      <c r="R47" s="63" t="e">
        <f t="shared" si="57"/>
        <v>#DIV/0!</v>
      </c>
      <c r="S47" s="63">
        <f>'насел.'!S47+пільги!S47+субсидії!S47+'держ.бюджет'!S47+'місц.-районн.бюджет'!S47+обласний!S47+інші!S47</f>
        <v>0</v>
      </c>
      <c r="T47" s="63">
        <f>'насел.'!T47+пільги!T47+субсидії!T47+'держ.бюджет'!T47+'місц.-районн.бюджет'!T47+обласний!T47+інші!T47</f>
        <v>0</v>
      </c>
      <c r="U47" s="62" t="e">
        <f t="shared" si="58"/>
        <v>#DIV/0!</v>
      </c>
      <c r="V47" s="63">
        <f>'насел.'!V47+пільги!V47+субсидії!V47+'держ.бюджет'!V47+'місц.-районн.бюджет'!V47+обласний!V47+інші!V47</f>
        <v>0</v>
      </c>
      <c r="W47" s="63">
        <f>'насел.'!W47+пільги!W47+субсидії!W47+'держ.бюджет'!W47+'місц.-районн.бюджет'!W47+обласний!W47+інші!W47</f>
        <v>0</v>
      </c>
      <c r="X47" s="62" t="e">
        <f t="shared" si="59"/>
        <v>#DIV/0!</v>
      </c>
      <c r="Y47" s="63">
        <f>'насел.'!Y47+пільги!Y47+субсидії!Y47+'держ.бюджет'!Y47+'місц.-районн.бюджет'!Y47+обласний!Y47+інші!Y47</f>
        <v>0</v>
      </c>
      <c r="Z47" s="63">
        <f>'насел.'!Z47+пільги!Z47+субсидії!Z47+'держ.бюджет'!Z47+'місц.-районн.бюджет'!Z47+обласний!Z47+інші!Z47</f>
        <v>0</v>
      </c>
      <c r="AA47" s="62" t="e">
        <f t="shared" si="60"/>
        <v>#DIV/0!</v>
      </c>
      <c r="AB47" s="63">
        <f>'насел.'!AB47+пільги!AB47+субсидії!AB47+'держ.бюджет'!AB47+'місц.-районн.бюджет'!AB47+обласний!AB47+інші!AB47</f>
        <v>0</v>
      </c>
      <c r="AC47" s="63">
        <f>'насел.'!AC47+пільги!AC47+субсидії!AC47+'держ.бюджет'!AC47+'місц.-районн.бюджет'!AC47+обласний!AC47+інші!AC47</f>
        <v>0</v>
      </c>
      <c r="AD47" s="62" t="e">
        <f t="shared" si="61"/>
        <v>#DIV/0!</v>
      </c>
      <c r="AE47" s="63">
        <f>'насел.'!AE47+пільги!AE47+субсидії!AE47+'держ.бюджет'!AE47+'місц.-районн.бюджет'!AE47+обласний!AE47+інші!AE47</f>
        <v>0</v>
      </c>
      <c r="AF47" s="63">
        <f>'насел.'!AF47+пільги!AF47+субсидії!AF47+'держ.бюджет'!AF47+'місц.-районн.бюджет'!AF47+обласний!AF47+інші!AF47</f>
        <v>0</v>
      </c>
      <c r="AG47" s="62" t="e">
        <f t="shared" si="62"/>
        <v>#DIV/0!</v>
      </c>
      <c r="AH47" s="63">
        <f>'насел.'!AH47+пільги!AH47+субсидії!AH47+'держ.бюджет'!AH47+'місц.-районн.бюджет'!AH47+обласний!AH47+інші!AH47</f>
        <v>0</v>
      </c>
      <c r="AI47" s="63">
        <f>'насел.'!AI47+пільги!AI47+субсидії!AI47+'держ.бюджет'!AI47+'місц.-районн.бюджет'!AI47+обласний!AI47+інші!AI47</f>
        <v>0</v>
      </c>
      <c r="AJ47" s="62" t="e">
        <f t="shared" si="63"/>
        <v>#DIV/0!</v>
      </c>
      <c r="AK47" s="79">
        <f>'насел.'!AK47+пільги!AR47+субсидії!AK47+'держ.бюджет'!AK47+'місц.-районн.бюджет'!AK47+обласний!AK47+інші!AK47</f>
        <v>0</v>
      </c>
      <c r="AL47" s="63">
        <f>'насел.'!AL47+пільги!AK47+субсидії!AL47+'держ.бюджет'!AL47+'місц.-районн.бюджет'!AL47+обласний!AL47+інші!AL47</f>
        <v>0</v>
      </c>
      <c r="AM47" s="63" t="e">
        <f t="shared" si="64"/>
        <v>#DIV/0!</v>
      </c>
      <c r="AN47" s="79">
        <f>'насел.'!AN47+пільги!AN47+субсидії!AN47+'держ.бюджет'!AN47+'місц.-районн.бюджет'!AN47+обласний!AN47+інші!AN47</f>
        <v>0</v>
      </c>
      <c r="AO47" s="63">
        <f>'насел.'!AO47+пільги!AN47+субсидії!AO47+'держ.бюджет'!AO47+'місц.-районн.бюджет'!AO47+обласний!AO47+інші!AO47</f>
        <v>0</v>
      </c>
      <c r="AP47" s="63">
        <f>'насел.'!AP47+пільги!AO47+субсидії!AP47+'держ.бюджет'!AP47+'місц.-районн.бюджет'!AP47+обласний!AP47+інші!AP47</f>
        <v>0</v>
      </c>
      <c r="AQ47" s="63">
        <f>'насел.'!AQ47+пільги!AP47+субсидії!AQ47+'держ.бюджет'!AQ47+'місц.-районн.бюджет'!AQ47+обласний!AQ47+інші!AQ47</f>
        <v>0</v>
      </c>
      <c r="AR47" s="63">
        <f>'насел.'!AR47+пільги!AQ47+субсидії!AR47+'держ.бюджет'!AR47+'місц.-районн.бюджет'!AR47+обласний!AR47+інші!AR47</f>
        <v>0</v>
      </c>
      <c r="AS47" s="63">
        <f>'насел.'!AS47+пільги!AR47+субсидії!AS47+'держ.бюджет'!AS47+'місц.-районн.бюджет'!AS47+обласний!AS47+інші!AS47</f>
        <v>0</v>
      </c>
      <c r="AT47" s="63">
        <f>'насел.'!AT47+пільги!AT47+субсидії!AT47+'держ.бюджет'!AT47+'місц.-районн.бюджет'!AT47+обласний!AT47+інші!AT47</f>
        <v>0</v>
      </c>
      <c r="AU47" s="63">
        <f>'насел.'!AU47+пільги!AU47+субсидії!AU47+'держ.бюджет'!AU47+'місц.-районн.бюджет'!AU47+обласний!AU47+інші!AU47</f>
        <v>0</v>
      </c>
      <c r="AV47" s="62" t="e">
        <f t="shared" si="65"/>
        <v>#DIV/0!</v>
      </c>
      <c r="AW47" s="63">
        <f t="shared" si="13"/>
        <v>0</v>
      </c>
      <c r="AX47" s="66">
        <f>'насел.'!AX47+пільги!AX47+субсидії!AX47+'держ.бюджет'!AX47+'місц.-районн.бюджет'!AX47+обласний!AX47+інші!AX47</f>
        <v>0</v>
      </c>
      <c r="AY47" s="144"/>
      <c r="AZ47" s="144"/>
      <c r="BA47" s="144"/>
      <c r="BB47" s="144"/>
    </row>
    <row r="48" spans="1:54" ht="34.5" customHeight="1" hidden="1">
      <c r="A48" s="10" t="s">
        <v>10</v>
      </c>
      <c r="B48" s="110" t="s">
        <v>108</v>
      </c>
      <c r="C48" s="63">
        <f>'насел.'!C48+пільги!C48+субсидії!C48+'держ.бюджет'!C48+'місц.-районн.бюджет'!C48+обласний!C48+інші!C48</f>
        <v>0</v>
      </c>
      <c r="D48" s="63">
        <f>'насел.'!D48+пільги!D48+субсидії!D48+'держ.бюджет'!D48+'місц.-районн.бюджет'!D48+обласний!D48+інші!D48</f>
        <v>0</v>
      </c>
      <c r="E48" s="63">
        <f>'насел.'!E48+пільги!E48+субсидії!E48+'держ.бюджет'!E48+'місц.-районн.бюджет'!E48+обласний!E48+інші!E48</f>
        <v>0</v>
      </c>
      <c r="F48" s="62" t="e">
        <f t="shared" si="53"/>
        <v>#DIV/0!</v>
      </c>
      <c r="G48" s="63">
        <f>'насел.'!G48+пільги!G48+субсидії!G48+'держ.бюджет'!G48+'місц.-районн.бюджет'!G48+обласний!G48+інші!G48</f>
        <v>0</v>
      </c>
      <c r="H48" s="63">
        <f>'насел.'!H48+пільги!H48+субсидії!H48+'держ.бюджет'!H48+'місц.-районн.бюджет'!H48+обласний!H48+інші!H48</f>
        <v>0</v>
      </c>
      <c r="I48" s="62" t="e">
        <f t="shared" si="54"/>
        <v>#DIV/0!</v>
      </c>
      <c r="J48" s="63">
        <f>'насел.'!J48+пільги!J48+субсидії!J48+'держ.бюджет'!J48+'місц.-районн.бюджет'!J48+обласний!J48+інші!J48</f>
        <v>0</v>
      </c>
      <c r="K48" s="63">
        <f>'насел.'!K48+пільги!K48+субсидії!K48+'держ.бюджет'!K48+'місц.-районн.бюджет'!K48+обласний!K48+інші!K48</f>
        <v>0</v>
      </c>
      <c r="L48" s="62" t="e">
        <f t="shared" si="55"/>
        <v>#DIV/0!</v>
      </c>
      <c r="M48" s="62">
        <f>'насел.'!M48+пільги!M48+субсидії!M48+'держ.бюджет'!M48+'місц.-районн.бюджет'!M48+обласний!M48+інші!M48</f>
        <v>0</v>
      </c>
      <c r="N48" s="62">
        <f>'насел.'!N48+пільги!N48+субсидії!N48+'держ.бюджет'!N48+'місц.-районн.бюджет'!N48+обласний!N48+інші!N48</f>
        <v>0</v>
      </c>
      <c r="O48" s="62" t="e">
        <f t="shared" si="56"/>
        <v>#DIV/0!</v>
      </c>
      <c r="P48" s="63">
        <f>'насел.'!P48+пільги!P48+субсидії!P48+'держ.бюджет'!P48+'місц.-районн.бюджет'!P48+обласний!P48+інші!P48</f>
        <v>0</v>
      </c>
      <c r="Q48" s="63">
        <f>'насел.'!Q48+пільги!Q48+субсидії!Q48+'держ.бюджет'!Q48+'місц.-районн.бюджет'!Q48+обласний!Q48+інші!Q48</f>
        <v>0</v>
      </c>
      <c r="R48" s="63" t="e">
        <f t="shared" si="57"/>
        <v>#DIV/0!</v>
      </c>
      <c r="S48" s="63">
        <f>'насел.'!S48+пільги!S48+субсидії!S48+'держ.бюджет'!S48+'місц.-районн.бюджет'!S48+обласний!S48+інші!S48</f>
        <v>0</v>
      </c>
      <c r="T48" s="63">
        <f>'насел.'!T48+пільги!T48+субсидії!T48+'держ.бюджет'!T48+'місц.-районн.бюджет'!T48+обласний!T48+інші!T48</f>
        <v>0</v>
      </c>
      <c r="U48" s="62" t="e">
        <f t="shared" si="58"/>
        <v>#DIV/0!</v>
      </c>
      <c r="V48" s="63">
        <f>'насел.'!V48+пільги!V48+субсидії!V48+'держ.бюджет'!V48+'місц.-районн.бюджет'!V48+обласний!V48+інші!V48</f>
        <v>0</v>
      </c>
      <c r="W48" s="63">
        <f>'насел.'!W48+пільги!W48+субсидії!W48+'держ.бюджет'!W48+'місц.-районн.бюджет'!W48+обласний!W48+інші!W48</f>
        <v>0</v>
      </c>
      <c r="X48" s="62" t="e">
        <f t="shared" si="59"/>
        <v>#DIV/0!</v>
      </c>
      <c r="Y48" s="63">
        <f>'насел.'!Y48+пільги!Y48+субсидії!Y48+'держ.бюджет'!Y48+'місц.-районн.бюджет'!Y48+обласний!Y48+інші!Y48</f>
        <v>0</v>
      </c>
      <c r="Z48" s="63">
        <f>'насел.'!Z48+пільги!Z48+субсидії!Z48+'держ.бюджет'!Z48+'місц.-районн.бюджет'!Z48+обласний!Z48+інші!Z48</f>
        <v>0</v>
      </c>
      <c r="AA48" s="62" t="e">
        <f t="shared" si="60"/>
        <v>#DIV/0!</v>
      </c>
      <c r="AB48" s="63">
        <f>'насел.'!AB48+пільги!AB48+субсидії!AB48+'держ.бюджет'!AB48+'місц.-районн.бюджет'!AB48+обласний!AB48+інші!AB48</f>
        <v>0</v>
      </c>
      <c r="AC48" s="63">
        <f>'насел.'!AC48+пільги!AC48+субсидії!AC48+'держ.бюджет'!AC48+'місц.-районн.бюджет'!AC48+обласний!AC48+інші!AC48</f>
        <v>0</v>
      </c>
      <c r="AD48" s="62" t="e">
        <f t="shared" si="61"/>
        <v>#DIV/0!</v>
      </c>
      <c r="AE48" s="63">
        <f>'насел.'!AE48+пільги!AE48+субсидії!AE48+'держ.бюджет'!AE48+'місц.-районн.бюджет'!AE48+обласний!AE48+інші!AE48</f>
        <v>0</v>
      </c>
      <c r="AF48" s="63">
        <f>'насел.'!AF48+пільги!AF48+субсидії!AF48+'держ.бюджет'!AF48+'місц.-районн.бюджет'!AF48+обласний!AF48+інші!AF48</f>
        <v>0</v>
      </c>
      <c r="AG48" s="62" t="e">
        <f t="shared" si="62"/>
        <v>#DIV/0!</v>
      </c>
      <c r="AH48" s="63">
        <f>'насел.'!AH48+пільги!AH48+субсидії!AH48+'держ.бюджет'!AH48+'місц.-районн.бюджет'!AH48+обласний!AH48+інші!AH48</f>
        <v>0</v>
      </c>
      <c r="AI48" s="63">
        <f>'насел.'!AI48+пільги!AI48+субсидії!AI48+'держ.бюджет'!AI48+'місц.-районн.бюджет'!AI48+обласний!AI48+інші!AI48</f>
        <v>0</v>
      </c>
      <c r="AJ48" s="62" t="e">
        <f t="shared" si="63"/>
        <v>#DIV/0!</v>
      </c>
      <c r="AK48" s="79">
        <f>'насел.'!AK48+пільги!AR48+субсидії!AK48+'держ.бюджет'!AK48+'місц.-районн.бюджет'!AK48+обласний!AK48+інші!AK48</f>
        <v>0</v>
      </c>
      <c r="AL48" s="63">
        <f>'насел.'!AL48+пільги!AK48+субсидії!AL48+'держ.бюджет'!AL48+'місц.-районн.бюджет'!AL48+обласний!AL48+інші!AL48</f>
        <v>0</v>
      </c>
      <c r="AM48" s="63" t="e">
        <f t="shared" si="64"/>
        <v>#DIV/0!</v>
      </c>
      <c r="AN48" s="79">
        <f>'насел.'!AN48+пільги!AN48+субсидії!AN48+'держ.бюджет'!AN48+'місц.-районн.бюджет'!AN48+обласний!AN48+інші!AN48</f>
        <v>0</v>
      </c>
      <c r="AO48" s="63">
        <f>'насел.'!AO48+пільги!AN48+субсидії!AO48+'держ.бюджет'!AO48+'місц.-районн.бюджет'!AO48+обласний!AO48+інші!AO48</f>
        <v>0</v>
      </c>
      <c r="AP48" s="63">
        <f>'насел.'!AP48+пільги!AO48+субсидії!AP48+'держ.бюджет'!AP48+'місц.-районн.бюджет'!AP48+обласний!AP48+інші!AP48</f>
        <v>0</v>
      </c>
      <c r="AQ48" s="63">
        <f>'насел.'!AQ48+пільги!AP48+субсидії!AQ48+'держ.бюджет'!AQ48+'місц.-районн.бюджет'!AQ48+обласний!AQ48+інші!AQ48</f>
        <v>0</v>
      </c>
      <c r="AR48" s="63">
        <f>'насел.'!AR48+пільги!AQ48+субсидії!AR48+'держ.бюджет'!AR48+'місц.-районн.бюджет'!AR48+обласний!AR48+інші!AR48</f>
        <v>0</v>
      </c>
      <c r="AS48" s="63">
        <f>'насел.'!AS48+пільги!AR48+субсидії!AS48+'держ.бюджет'!AS48+'місц.-районн.бюджет'!AS48+обласний!AS48+інші!AS48</f>
        <v>0</v>
      </c>
      <c r="AT48" s="63">
        <f>'насел.'!AT48+пільги!AT48+субсидії!AT48+'держ.бюджет'!AT48+'місц.-районн.бюджет'!AT48+обласний!AT48+інші!AT48</f>
        <v>0</v>
      </c>
      <c r="AU48" s="63">
        <f>'насел.'!AU48+пільги!AU48+субсидії!AU48+'держ.бюджет'!AU48+'місц.-районн.бюджет'!AU48+обласний!AU48+інші!AU48</f>
        <v>0</v>
      </c>
      <c r="AV48" s="62" t="e">
        <f t="shared" si="65"/>
        <v>#DIV/0!</v>
      </c>
      <c r="AW48" s="63">
        <f t="shared" si="13"/>
        <v>0</v>
      </c>
      <c r="AX48" s="66">
        <f>'насел.'!AX48+пільги!AX48+субсидії!AX48+'держ.бюджет'!AX48+'місц.-районн.бюджет'!AX48+обласний!AX48+інші!AX48</f>
        <v>0</v>
      </c>
      <c r="AY48" s="144"/>
      <c r="AZ48" s="144"/>
      <c r="BA48" s="144"/>
      <c r="BB48" s="144"/>
    </row>
    <row r="49" spans="1:54" ht="34.5" customHeight="1">
      <c r="A49" s="10" t="s">
        <v>11</v>
      </c>
      <c r="B49" s="153" t="s">
        <v>160</v>
      </c>
      <c r="C49" s="63">
        <f>'насел.'!C49+пільги!C49+субсидії!C49+'держ.бюджет'!C49+'місц.-районн.бюджет'!C49+обласний!C49+інші!C49</f>
        <v>1464.3</v>
      </c>
      <c r="D49" s="63">
        <f>'насел.'!D49+пільги!D49+субсидії!D49+'держ.бюджет'!D49+'місц.-районн.бюджет'!D49+обласний!D49+інші!D49</f>
        <v>0</v>
      </c>
      <c r="E49" s="63">
        <f>'насел.'!E49+пільги!E49+субсидії!E49+'держ.бюджет'!E49+'місц.-районн.бюджет'!E49+обласний!E49+інші!E49</f>
        <v>4.6</v>
      </c>
      <c r="F49" s="62" t="e">
        <f t="shared" si="53"/>
        <v>#DIV/0!</v>
      </c>
      <c r="G49" s="63">
        <f>'насел.'!G49+пільги!G49+субсидії!G49+'держ.бюджет'!G49+'місц.-районн.бюджет'!G49+обласний!G49+інші!G49</f>
        <v>0</v>
      </c>
      <c r="H49" s="63">
        <f>'насел.'!H49+пільги!H49+субсидії!H49+'держ.бюджет'!H49+'місц.-районн.бюджет'!H49+обласний!H49+інші!H49</f>
        <v>15.9</v>
      </c>
      <c r="I49" s="62" t="e">
        <f t="shared" si="54"/>
        <v>#DIV/0!</v>
      </c>
      <c r="J49" s="63">
        <f>'насел.'!J49+пільги!J49+субсидії!J49+'держ.бюджет'!J49+'місц.-районн.бюджет'!J49+обласний!J49+інші!J49</f>
        <v>0</v>
      </c>
      <c r="K49" s="63">
        <f>'насел.'!K49+пільги!K49+субсидії!K49+'держ.бюджет'!K49+'місц.-районн.бюджет'!K49+обласний!K49+інші!K49</f>
        <v>14.5</v>
      </c>
      <c r="L49" s="164" t="e">
        <f t="shared" si="55"/>
        <v>#DIV/0!</v>
      </c>
      <c r="M49" s="62">
        <f>'насел.'!M49+пільги!M49+субсидії!M49+'держ.бюджет'!M49+'місц.-районн.бюджет'!M49+обласний!M49+інші!M49</f>
        <v>0</v>
      </c>
      <c r="N49" s="62">
        <f>'насел.'!N49+пільги!N49+субсидії!N49+'держ.бюджет'!N49+'місц.-районн.бюджет'!N49+обласний!N49+інші!N49</f>
        <v>35</v>
      </c>
      <c r="O49" s="62" t="e">
        <f t="shared" si="56"/>
        <v>#DIV/0!</v>
      </c>
      <c r="P49" s="63">
        <f>'насел.'!P49+пільги!P49+субсидії!P49+'держ.бюджет'!P49+'місц.-районн.бюджет'!P49+обласний!P49+інші!P49</f>
        <v>0</v>
      </c>
      <c r="Q49" s="63">
        <f>'насел.'!Q49+пільги!Q49+субсидії!Q49+'держ.бюджет'!Q49+'місц.-районн.бюджет'!Q49+обласний!Q49+інші!Q49</f>
        <v>1.7</v>
      </c>
      <c r="R49" s="63" t="e">
        <f t="shared" si="57"/>
        <v>#DIV/0!</v>
      </c>
      <c r="S49" s="63">
        <f>'насел.'!S49+пільги!S49+субсидії!S49+'держ.бюджет'!S49+'місц.-районн.бюджет'!S49+обласний!S49+інші!S49</f>
        <v>0</v>
      </c>
      <c r="T49" s="63">
        <f>'насел.'!T49+пільги!T49+субсидії!T49+'держ.бюджет'!T49+'місц.-районн.бюджет'!T49+обласний!T49+інші!T49</f>
        <v>2.4</v>
      </c>
      <c r="U49" s="62" t="e">
        <f t="shared" si="58"/>
        <v>#DIV/0!</v>
      </c>
      <c r="V49" s="63">
        <f>'насел.'!V49+пільги!V49+субсидії!V49+'держ.бюджет'!V49+'місц.-районн.бюджет'!V49+обласний!V49+інші!V49</f>
        <v>0</v>
      </c>
      <c r="W49" s="63">
        <f>'насел.'!W49+пільги!W49+субсидії!W49+'держ.бюджет'!W49+'місц.-районн.бюджет'!W49+обласний!W49+інші!W49</f>
        <v>1.7</v>
      </c>
      <c r="X49" s="62" t="e">
        <f t="shared" si="59"/>
        <v>#DIV/0!</v>
      </c>
      <c r="Y49" s="63">
        <f>'насел.'!Y49+пільги!Y49+субсидії!Y49+'держ.бюджет'!Y49+'місц.-районн.бюджет'!Y49+обласний!Y49+інші!Y49</f>
        <v>0</v>
      </c>
      <c r="Z49" s="63">
        <f>'насел.'!Z49+пільги!Z49+субсидії!Z49+'держ.бюджет'!Z49+'місц.-районн.бюджет'!Z49+обласний!Z49+інші!Z49</f>
        <v>5.8</v>
      </c>
      <c r="AA49" s="62" t="e">
        <f t="shared" si="60"/>
        <v>#DIV/0!</v>
      </c>
      <c r="AB49" s="63">
        <f>'насел.'!AB49+пільги!AB49+субсидії!AB49+'держ.бюджет'!AB49+'місц.-районн.бюджет'!AB49+обласний!AB49+інші!AB49</f>
        <v>0</v>
      </c>
      <c r="AC49" s="63">
        <f>'насел.'!AC49+пільги!AC49+субсидії!AC49+'держ.бюджет'!AC49+'місц.-районн.бюджет'!AC49+обласний!AC49+інші!AC49</f>
        <v>0</v>
      </c>
      <c r="AD49" s="62" t="e">
        <f t="shared" si="61"/>
        <v>#DIV/0!</v>
      </c>
      <c r="AE49" s="63">
        <f>'насел.'!AE49+пільги!AE49+субсидії!AE49+'держ.бюджет'!AE49+'місц.-районн.бюджет'!AE49+обласний!AE49+інші!AE49</f>
        <v>0</v>
      </c>
      <c r="AF49" s="63">
        <f>'насел.'!AF49+пільги!AF49+субсидії!AF49+'держ.бюджет'!AF49+'місц.-районн.бюджет'!AF49+обласний!AF49+інші!AF49</f>
        <v>0</v>
      </c>
      <c r="AG49" s="62" t="e">
        <f t="shared" si="62"/>
        <v>#DIV/0!</v>
      </c>
      <c r="AH49" s="63">
        <f>'насел.'!AH49+пільги!AH49+субсидії!AH49+'держ.бюджет'!AH49+'місц.-районн.бюджет'!AH49+обласний!AH49+інші!AH49</f>
        <v>0</v>
      </c>
      <c r="AI49" s="63">
        <f>'насел.'!AI49+пільги!AI49+субсидії!AI49+'держ.бюджет'!AI49+'місц.-районн.бюджет'!AI49+обласний!AI49+інші!AI49</f>
        <v>0</v>
      </c>
      <c r="AJ49" s="62" t="e">
        <f t="shared" si="63"/>
        <v>#DIV/0!</v>
      </c>
      <c r="AK49" s="79">
        <f>'насел.'!AK49+пільги!AR49+субсидії!AK49+'держ.бюджет'!AK49+'місц.-районн.бюджет'!AK49+обласний!AK49+інші!AK49</f>
        <v>0</v>
      </c>
      <c r="AL49" s="63">
        <f>'насел.'!AL49+пільги!AK49+субсидії!AL49+'держ.бюджет'!AL49+'місц.-районн.бюджет'!AL49+обласний!AL49+інші!AL49</f>
        <v>0</v>
      </c>
      <c r="AM49" s="63" t="e">
        <f t="shared" si="64"/>
        <v>#DIV/0!</v>
      </c>
      <c r="AN49" s="79">
        <f>'насел.'!AN49+пільги!AN49+субсидії!AN49+'держ.бюджет'!AN49+'місц.-районн.бюджет'!AN49+обласний!AN49+інші!AN49</f>
        <v>0</v>
      </c>
      <c r="AO49" s="63">
        <f>'насел.'!AO49+пільги!AN49+субсидії!AO49+'держ.бюджет'!AO49+'місц.-районн.бюджет'!AO49+обласний!AO49+інші!AO49</f>
        <v>0</v>
      </c>
      <c r="AP49" s="63">
        <f>'насел.'!AP49+пільги!AO49+субсидії!AP49+'держ.бюджет'!AP49+'місц.-районн.бюджет'!AP49+обласний!AP49+інші!AP49</f>
        <v>0</v>
      </c>
      <c r="AQ49" s="63">
        <f>'насел.'!AQ49+пільги!AP49+субсидії!AQ49+'держ.бюджет'!AQ49+'місц.-районн.бюджет'!AQ49+обласний!AQ49+інші!AQ49</f>
        <v>0</v>
      </c>
      <c r="AR49" s="63">
        <f>'насел.'!AR49+пільги!AQ49+субсидії!AR49+'держ.бюджет'!AR49+'місц.-районн.бюджет'!AR49+обласний!AR49+інші!AR49</f>
        <v>0</v>
      </c>
      <c r="AS49" s="63">
        <f>'насел.'!AS49+пільги!AR49+субсидії!AS49+'держ.бюджет'!AS49+'місц.-районн.бюджет'!AS49+обласний!AS49+інші!AS49</f>
        <v>0</v>
      </c>
      <c r="AT49" s="63">
        <f>'насел.'!AT49+пільги!AT49+субсидії!AT49+'держ.бюджет'!AT49+'місц.-районн.бюджет'!AT49+обласний!AT49+інші!AT49</f>
        <v>0</v>
      </c>
      <c r="AU49" s="63">
        <f>'насел.'!AU49+пільги!AU49+субсидії!AU49+'держ.бюджет'!AU49+'місц.-районн.бюджет'!AU49+обласний!AU49+інші!AU49</f>
        <v>40.8</v>
      </c>
      <c r="AV49" s="164" t="e">
        <f t="shared" si="65"/>
        <v>#DIV/0!</v>
      </c>
      <c r="AW49" s="63">
        <f t="shared" si="13"/>
        <v>-40.8</v>
      </c>
      <c r="AX49" s="66">
        <f>'насел.'!AX49+пільги!AX49+субсидії!AX49+'держ.бюджет'!AX49+'місц.-районн.бюджет'!AX49+обласний!AX49+інші!AX49</f>
        <v>1423.5</v>
      </c>
      <c r="AY49" s="144"/>
      <c r="AZ49" s="144"/>
      <c r="BA49" s="144"/>
      <c r="BB49" s="144"/>
    </row>
    <row r="50" spans="1:54" ht="34.5" customHeight="1">
      <c r="A50" s="10" t="s">
        <v>9</v>
      </c>
      <c r="B50" s="110" t="s">
        <v>138</v>
      </c>
      <c r="C50" s="63">
        <f>'насел.'!C50+пільги!C50+субсидії!C50+'держ.бюджет'!C50+'місц.-районн.бюджет'!C50+обласний!C50+інші!C50</f>
        <v>0</v>
      </c>
      <c r="D50" s="63">
        <f>'насел.'!D50+пільги!D50+субсидії!D50+'держ.бюджет'!D50+'місц.-районн.бюджет'!D50+обласний!D50+інші!D50</f>
        <v>1808.2</v>
      </c>
      <c r="E50" s="63">
        <f>'насел.'!E50+пільги!E50+субсидії!E50+'держ.бюджет'!E50+'місц.-районн.бюджет'!E50+обласний!E50+інші!E50</f>
        <v>0</v>
      </c>
      <c r="F50" s="62">
        <f t="shared" si="53"/>
        <v>0</v>
      </c>
      <c r="G50" s="63">
        <f>'насел.'!G50+пільги!G50+субсидії!G50+'держ.бюджет'!G50+'місц.-районн.бюджет'!G50+обласний!G50+інші!G50</f>
        <v>1978.3000000000002</v>
      </c>
      <c r="H50" s="63">
        <f>'насел.'!H50+пільги!H50+субсидії!H50+'держ.бюджет'!H50+'місц.-районн.бюджет'!H50+обласний!H50+інші!H50</f>
        <v>1545.2</v>
      </c>
      <c r="I50" s="62">
        <f t="shared" si="54"/>
        <v>78.1074660061669</v>
      </c>
      <c r="J50" s="63">
        <f>'насел.'!J50+пільги!J50+субсидії!J50+'держ.бюджет'!J50+'місц.-районн.бюджет'!J50+обласний!J50+інші!J50</f>
        <v>1586.7</v>
      </c>
      <c r="K50" s="63">
        <f>'насел.'!K50+пільги!K50+субсидії!K50+'держ.бюджет'!K50+'місц.-районн.бюджет'!K50+обласний!K50+інші!K50</f>
        <v>1698.7</v>
      </c>
      <c r="L50" s="62">
        <f t="shared" si="55"/>
        <v>107.05867523791517</v>
      </c>
      <c r="M50" s="62">
        <f>'насел.'!M50+пільги!M50+субсидії!M50+'держ.бюджет'!M50+'місц.-районн.бюджет'!M50+обласний!M50+інші!M50</f>
        <v>5373.200000000001</v>
      </c>
      <c r="N50" s="62">
        <f>'насел.'!N50+пільги!N50+субсидії!N50+'держ.бюджет'!N50+'місц.-районн.бюджет'!N50+обласний!N50+інші!N50</f>
        <v>3243.9</v>
      </c>
      <c r="O50" s="62">
        <f t="shared" si="56"/>
        <v>60.37184545522221</v>
      </c>
      <c r="P50" s="63">
        <f>'насел.'!P50+пільги!P50+субсидії!P50+'держ.бюджет'!P50+'місц.-районн.бюджет'!P50+обласний!P50+інші!P50</f>
        <v>477.4</v>
      </c>
      <c r="Q50" s="63">
        <f>'насел.'!Q50+пільги!Q50+субсидії!Q50+'держ.бюджет'!Q50+'місц.-районн.бюджет'!Q50+обласний!Q50+інші!Q50</f>
        <v>1355.2</v>
      </c>
      <c r="R50" s="63">
        <f t="shared" si="57"/>
        <v>283.8709677419355</v>
      </c>
      <c r="S50" s="63">
        <f>'насел.'!S50+пільги!S50+субсидії!S50+'держ.бюджет'!S50+'місц.-районн.бюджет'!S50+обласний!S50+інші!S50</f>
        <v>34.6</v>
      </c>
      <c r="T50" s="63">
        <f>'насел.'!T50+пільги!T50+субсидії!T50+'держ.бюджет'!T50+'місц.-районн.бюджет'!T50+обласний!T50+інші!T50</f>
        <v>1251.5</v>
      </c>
      <c r="U50" s="62">
        <f t="shared" si="58"/>
        <v>3617.0520231213873</v>
      </c>
      <c r="V50" s="63">
        <f>'насел.'!V50+пільги!V50+субсидії!V50+'держ.бюджет'!V50+'місц.-районн.бюджет'!V50+обласний!V50+інші!V50</f>
        <v>0</v>
      </c>
      <c r="W50" s="63">
        <f>'насел.'!W50+пільги!W50+субсидії!W50+'держ.бюджет'!W50+'місц.-районн.бюджет'!W50+обласний!W50+інші!W50</f>
        <v>0</v>
      </c>
      <c r="X50" s="62" t="e">
        <f t="shared" si="59"/>
        <v>#DIV/0!</v>
      </c>
      <c r="Y50" s="63">
        <f>'насел.'!Y50+пільги!Y50+субсидії!Y50+'держ.бюджет'!Y50+'місц.-районн.бюджет'!Y50+обласний!Y50+інші!Y50</f>
        <v>512</v>
      </c>
      <c r="Z50" s="63">
        <f>'насел.'!Z50+пільги!Z50+субсидії!Z50+'держ.бюджет'!Z50+'місц.-районн.бюджет'!Z50+обласний!Z50+інші!Z50</f>
        <v>2606.7</v>
      </c>
      <c r="AA50" s="62">
        <f t="shared" si="60"/>
        <v>509.12109374999994</v>
      </c>
      <c r="AB50" s="63">
        <f>'насел.'!AB50+пільги!AB50+субсидії!AB50+'держ.бюджет'!AB50+'місц.-районн.бюджет'!AB50+обласний!AB50+інші!AB50</f>
        <v>0</v>
      </c>
      <c r="AC50" s="63">
        <f>'насел.'!AC50+пільги!AC50+субсидії!AC50+'держ.бюджет'!AC50+'місц.-районн.бюджет'!AC50+обласний!AC50+інші!AC50</f>
        <v>0</v>
      </c>
      <c r="AD50" s="62" t="e">
        <f t="shared" si="61"/>
        <v>#DIV/0!</v>
      </c>
      <c r="AE50" s="63">
        <f>'насел.'!AE50+пільги!AE50+субсидії!AE50+'держ.бюджет'!AE50+'місц.-районн.бюджет'!AE50+обласний!AE50+інші!AE50</f>
        <v>0</v>
      </c>
      <c r="AF50" s="63">
        <f>'насел.'!AF50+пільги!AF50+субсидії!AF50+'держ.бюджет'!AF50+'місц.-районн.бюджет'!AF50+обласний!AF50+інші!AF50</f>
        <v>0</v>
      </c>
      <c r="AG50" s="62" t="e">
        <f t="shared" si="62"/>
        <v>#DIV/0!</v>
      </c>
      <c r="AH50" s="63">
        <f>'насел.'!AH50+пільги!AH50+субсидії!AH50+'держ.бюджет'!AH50+'місц.-районн.бюджет'!AH50+обласний!AH50+інші!AH50</f>
        <v>0</v>
      </c>
      <c r="AI50" s="63">
        <f>'насел.'!AI50+пільги!AI50+субсидії!AI50+'держ.бюджет'!AI50+'місц.-районн.бюджет'!AI50+обласний!AI50+інші!AI50</f>
        <v>0</v>
      </c>
      <c r="AJ50" s="62" t="e">
        <f t="shared" si="63"/>
        <v>#DIV/0!</v>
      </c>
      <c r="AK50" s="79">
        <f>'насел.'!AK50+пільги!AR50+субсидії!AK50+'держ.бюджет'!AK50+'місц.-районн.бюджет'!AK50+обласний!AK50+інші!AK50</f>
        <v>0</v>
      </c>
      <c r="AL50" s="63">
        <f>'насел.'!AL50+пільги!AK50+субсидії!AL50+'держ.бюджет'!AL50+'місц.-районн.бюджет'!AL50+обласний!AL50+інші!AL50</f>
        <v>0</v>
      </c>
      <c r="AM50" s="63" t="e">
        <f t="shared" si="64"/>
        <v>#DIV/0!</v>
      </c>
      <c r="AN50" s="79">
        <f>'насел.'!AN50+пільги!AN50+субсидії!AN50+'держ.бюджет'!AN50+'місц.-районн.бюджет'!AN50+обласний!AN50+інші!AN50</f>
        <v>0</v>
      </c>
      <c r="AO50" s="63">
        <f>'насел.'!AO50+пільги!AN50+субсидії!AO50+'держ.бюджет'!AO50+'місц.-районн.бюджет'!AO50+обласний!AO50+інші!AO50</f>
        <v>0</v>
      </c>
      <c r="AP50" s="63">
        <f>'насел.'!AP50+пільги!AO50+субсидії!AP50+'держ.бюджет'!AP50+'місц.-районн.бюджет'!AP50+обласний!AP50+інші!AP50</f>
        <v>0</v>
      </c>
      <c r="AQ50" s="63">
        <f>'насел.'!AQ50+пільги!AP50+субсидії!AQ50+'держ.бюджет'!AQ50+'місц.-районн.бюджет'!AQ50+обласний!AQ50+інші!AQ50</f>
        <v>0</v>
      </c>
      <c r="AR50" s="63">
        <f>'насел.'!AR50+пільги!AQ50+субсидії!AR50+'держ.бюджет'!AR50+'місц.-районн.бюджет'!AR50+обласний!AR50+інші!AR50</f>
        <v>0</v>
      </c>
      <c r="AS50" s="63">
        <f>'насел.'!AS50+пільги!AR50+субсидії!AS50+'держ.бюджет'!AS50+'місц.-районн.бюджет'!AS50+обласний!AS50+інші!AS50</f>
        <v>0</v>
      </c>
      <c r="AT50" s="63">
        <f>'насел.'!AT50+пільги!AT50+субсидії!AT50+'держ.бюджет'!AT50+'місц.-районн.бюджет'!AT50+обласний!AT50+інші!AT50</f>
        <v>5885.200000000001</v>
      </c>
      <c r="AU50" s="63">
        <f>'насел.'!AU50+пільги!AU50+субсидії!AU50+'держ.бюджет'!AU50+'місц.-районн.бюджет'!AU50+обласний!AU50+інші!AU50</f>
        <v>5850.6</v>
      </c>
      <c r="AV50" s="62">
        <f t="shared" si="65"/>
        <v>99.41208455107727</v>
      </c>
      <c r="AW50" s="63">
        <f t="shared" si="13"/>
        <v>34.600000000000364</v>
      </c>
      <c r="AX50" s="66">
        <f>'насел.'!AX50+пільги!AX50+субсидії!AX50+'держ.бюджет'!AX50+'місц.-районн.бюджет'!AX50+обласний!AX50+інші!AX50</f>
        <v>34.600000000000364</v>
      </c>
      <c r="AY50" s="144"/>
      <c r="AZ50" s="144"/>
      <c r="BA50" s="144"/>
      <c r="BB50" s="144"/>
    </row>
    <row r="51" spans="1:54" ht="34.5" customHeight="1" hidden="1">
      <c r="A51" s="10" t="s">
        <v>10</v>
      </c>
      <c r="B51" s="110" t="s">
        <v>111</v>
      </c>
      <c r="C51" s="63">
        <f>'насел.'!C51+пільги!C51+субсидії!C51+'держ.бюджет'!C51+'місц.-районн.бюджет'!C51+обласний!C51+інші!C51</f>
        <v>0</v>
      </c>
      <c r="D51" s="63">
        <f>'насел.'!D51+пільги!D51+субсидії!D51+'держ.бюджет'!D51+'місц.-районн.бюджет'!D51+обласний!D51+інші!D51</f>
        <v>0</v>
      </c>
      <c r="E51" s="63">
        <f>'насел.'!E51+пільги!E51+субсидії!E51+'держ.бюджет'!E51+'місц.-районн.бюджет'!E51+обласний!E51+інші!E51</f>
        <v>0</v>
      </c>
      <c r="F51" s="62" t="e">
        <f t="shared" si="53"/>
        <v>#DIV/0!</v>
      </c>
      <c r="G51" s="63">
        <f>'насел.'!G51+пільги!G51+субсидії!G51+'держ.бюджет'!G51+'місц.-районн.бюджет'!G51+обласний!G51+інші!G51</f>
        <v>0</v>
      </c>
      <c r="H51" s="63">
        <f>'насел.'!H51+пільги!H51+субсидії!H51+'держ.бюджет'!H51+'місц.-районн.бюджет'!H51+обласний!H51+інші!H51</f>
        <v>0</v>
      </c>
      <c r="I51" s="62" t="e">
        <f t="shared" si="54"/>
        <v>#DIV/0!</v>
      </c>
      <c r="J51" s="63">
        <f>'насел.'!J51+пільги!J51+субсидії!J51+'держ.бюджет'!J51+'місц.-районн.бюджет'!J51+обласний!J51+інші!J51</f>
        <v>0</v>
      </c>
      <c r="K51" s="63">
        <f>'насел.'!K51+пільги!K51+субсидії!K51+'держ.бюджет'!K51+'місц.-районн.бюджет'!K51+обласний!K51+інші!K51</f>
        <v>0</v>
      </c>
      <c r="L51" s="62" t="e">
        <f t="shared" si="55"/>
        <v>#DIV/0!</v>
      </c>
      <c r="M51" s="62">
        <f>'насел.'!M51+пільги!M51+субсидії!M51+'держ.бюджет'!M51+'місц.-районн.бюджет'!M51+обласний!M51+інші!M51</f>
        <v>0</v>
      </c>
      <c r="N51" s="62">
        <f>'насел.'!N51+пільги!N51+субсидії!N51+'держ.бюджет'!N51+'місц.-районн.бюджет'!N51+обласний!N51+інші!N51</f>
        <v>0</v>
      </c>
      <c r="O51" s="62" t="e">
        <f t="shared" si="56"/>
        <v>#DIV/0!</v>
      </c>
      <c r="P51" s="63">
        <f>'насел.'!P51+пільги!P51+субсидії!P51+'держ.бюджет'!P51+'місц.-районн.бюджет'!P51+обласний!P51+інші!P51</f>
        <v>0</v>
      </c>
      <c r="Q51" s="63">
        <f>'насел.'!Q51+пільги!Q51+субсидії!Q51+'держ.бюджет'!Q51+'місц.-районн.бюджет'!Q51+обласний!Q51+інші!Q51</f>
        <v>0</v>
      </c>
      <c r="R51" s="63" t="e">
        <f t="shared" si="57"/>
        <v>#DIV/0!</v>
      </c>
      <c r="S51" s="63">
        <f>'насел.'!S51+пільги!S51+субсидії!S51+'держ.бюджет'!S51+'місц.-районн.бюджет'!S51+обласний!S51+інші!S51</f>
        <v>0</v>
      </c>
      <c r="T51" s="63">
        <f>'насел.'!T51+пільги!T51+субсидії!T51+'держ.бюджет'!T51+'місц.-районн.бюджет'!T51+обласний!T51+інші!T51</f>
        <v>0</v>
      </c>
      <c r="U51" s="62" t="e">
        <f t="shared" si="58"/>
        <v>#DIV/0!</v>
      </c>
      <c r="V51" s="63">
        <f>'насел.'!V51+пільги!V51+субсидії!V51+'держ.бюджет'!V51+'місц.-районн.бюджет'!V51+обласний!V51+інші!V51</f>
        <v>0</v>
      </c>
      <c r="W51" s="63">
        <f>'насел.'!W51+пільги!W51+субсидії!W51+'держ.бюджет'!W51+'місц.-районн.бюджет'!W51+обласний!W51+інші!W51</f>
        <v>0</v>
      </c>
      <c r="X51" s="62" t="e">
        <f t="shared" si="59"/>
        <v>#DIV/0!</v>
      </c>
      <c r="Y51" s="63">
        <f>'насел.'!Y51+пільги!Y51+субсидії!Y51+'держ.бюджет'!Y51+'місц.-районн.бюджет'!Y51+обласний!Y51+інші!Y51</f>
        <v>0</v>
      </c>
      <c r="Z51" s="63">
        <f>'насел.'!Z51+пільги!Z51+субсидії!Z51+'держ.бюджет'!Z51+'місц.-районн.бюджет'!Z51+обласний!Z51+інші!Z51</f>
        <v>0</v>
      </c>
      <c r="AA51" s="62" t="e">
        <f t="shared" si="60"/>
        <v>#DIV/0!</v>
      </c>
      <c r="AB51" s="63">
        <f>'насел.'!AB51+пільги!AB51+субсидії!AB51+'держ.бюджет'!AB51+'місц.-районн.бюджет'!AB51+обласний!AB51+інші!AB51</f>
        <v>0</v>
      </c>
      <c r="AC51" s="63">
        <f>'насел.'!AC51+пільги!AC51+субсидії!AC51+'держ.бюджет'!AC51+'місц.-районн.бюджет'!AC51+обласний!AC51+інші!AC51</f>
        <v>0</v>
      </c>
      <c r="AD51" s="62" t="e">
        <f t="shared" si="61"/>
        <v>#DIV/0!</v>
      </c>
      <c r="AE51" s="63">
        <f>'насел.'!AE51+пільги!AE51+субсидії!AE51+'держ.бюджет'!AE51+'місц.-районн.бюджет'!AE51+обласний!AE51+інші!AE51</f>
        <v>0</v>
      </c>
      <c r="AF51" s="63">
        <f>'насел.'!AF51+пільги!AF51+субсидії!AF51+'держ.бюджет'!AF51+'місц.-районн.бюджет'!AF51+обласний!AF51+інші!AF51</f>
        <v>0</v>
      </c>
      <c r="AG51" s="62" t="e">
        <f t="shared" si="62"/>
        <v>#DIV/0!</v>
      </c>
      <c r="AH51" s="63">
        <f>'насел.'!AH51+пільги!AH51+субсидії!AH51+'держ.бюджет'!AH51+'місц.-районн.бюджет'!AH51+обласний!AH51+інші!AH51</f>
        <v>0</v>
      </c>
      <c r="AI51" s="63">
        <f>'насел.'!AI51+пільги!AI51+субсидії!AI51+'держ.бюджет'!AI51+'місц.-районн.бюджет'!AI51+обласний!AI51+інші!AI51</f>
        <v>0</v>
      </c>
      <c r="AJ51" s="62" t="e">
        <f t="shared" si="63"/>
        <v>#DIV/0!</v>
      </c>
      <c r="AK51" s="79">
        <f>'насел.'!AK51+пільги!AR51+субсидії!AK51+'держ.бюджет'!AK51+'місц.-районн.бюджет'!AK51+обласний!AK51+інші!AK51</f>
        <v>0</v>
      </c>
      <c r="AL51" s="63">
        <f>'насел.'!AL51+пільги!AK51+субсидії!AL51+'держ.бюджет'!AL51+'місц.-районн.бюджет'!AL51+обласний!AL51+інші!AL51</f>
        <v>0</v>
      </c>
      <c r="AM51" s="63" t="e">
        <f t="shared" si="64"/>
        <v>#DIV/0!</v>
      </c>
      <c r="AN51" s="79">
        <f>'насел.'!AN51+пільги!AN51+субсидії!AN51+'держ.бюджет'!AN51+'місц.-районн.бюджет'!AN51+обласний!AN51+інші!AN51</f>
        <v>0</v>
      </c>
      <c r="AO51" s="63">
        <f>'насел.'!AO51+пільги!AN51+субсидії!AO51+'держ.бюджет'!AO51+'місц.-районн.бюджет'!AO51+обласний!AO51+інші!AO51</f>
        <v>0</v>
      </c>
      <c r="AP51" s="63">
        <f>'насел.'!AP51+пільги!AO51+субсидії!AP51+'держ.бюджет'!AP51+'місц.-районн.бюджет'!AP51+обласний!AP51+інші!AP51</f>
        <v>0</v>
      </c>
      <c r="AQ51" s="63">
        <f>'насел.'!AQ51+пільги!AP51+субсидії!AQ51+'держ.бюджет'!AQ51+'місц.-районн.бюджет'!AQ51+обласний!AQ51+інші!AQ51</f>
        <v>0</v>
      </c>
      <c r="AR51" s="63">
        <f>'насел.'!AR51+пільги!AQ51+субсидії!AR51+'держ.бюджет'!AR51+'місц.-районн.бюджет'!AR51+обласний!AR51+інші!AR51</f>
        <v>0</v>
      </c>
      <c r="AS51" s="63">
        <f>'насел.'!AS51+пільги!AR51+субсидії!AS51+'держ.бюджет'!AS51+'місц.-районн.бюджет'!AS51+обласний!AS51+інші!AS51</f>
        <v>0</v>
      </c>
      <c r="AT51" s="63">
        <f>'насел.'!AT51+пільги!AT51+субсидії!AT51+'держ.бюджет'!AT51+'місц.-районн.бюджет'!AT51+обласний!AT51+інші!AT51</f>
        <v>0</v>
      </c>
      <c r="AU51" s="63">
        <f>'насел.'!AU51+пільги!AU51+субсидії!AU51+'держ.бюджет'!AU51+'місц.-районн.бюджет'!AU51+обласний!AU51+інші!AU51</f>
        <v>0</v>
      </c>
      <c r="AV51" s="62" t="e">
        <f t="shared" si="65"/>
        <v>#DIV/0!</v>
      </c>
      <c r="AW51" s="63">
        <f t="shared" si="13"/>
        <v>0</v>
      </c>
      <c r="AX51" s="66">
        <f>'насел.'!AX51+пільги!AX51+субсидії!AX51+'держ.бюджет'!AX51+'місц.-районн.бюджет'!AX51+обласний!AX51+інші!AX51</f>
        <v>0</v>
      </c>
      <c r="AY51" s="144"/>
      <c r="AZ51" s="144"/>
      <c r="BA51" s="144"/>
      <c r="BB51" s="144"/>
    </row>
    <row r="52" spans="1:54" ht="34.5" customHeight="1" hidden="1">
      <c r="A52" s="10" t="s">
        <v>11</v>
      </c>
      <c r="B52" s="153" t="s">
        <v>112</v>
      </c>
      <c r="C52" s="63">
        <f>'насел.'!C52+пільги!C52+субсидії!C52+'держ.бюджет'!C52+'місц.-районн.бюджет'!C52+обласний!C52+інші!C52</f>
        <v>0</v>
      </c>
      <c r="D52" s="63">
        <f>'насел.'!D52+пільги!D52+субсидії!D52+'держ.бюджет'!D52+'місц.-районн.бюджет'!D52+обласний!D52+інші!D52</f>
        <v>0</v>
      </c>
      <c r="E52" s="63">
        <f>'насел.'!E52+пільги!E52+субсидії!E52+'держ.бюджет'!E52+'місц.-районн.бюджет'!E52+обласний!E52+інші!E52</f>
        <v>0</v>
      </c>
      <c r="F52" s="62" t="e">
        <f t="shared" si="53"/>
        <v>#DIV/0!</v>
      </c>
      <c r="G52" s="63">
        <f>'насел.'!G52+пільги!G52+субсидії!G52+'держ.бюджет'!G52+'місц.-районн.бюджет'!G52+обласний!G52+інші!G52</f>
        <v>0</v>
      </c>
      <c r="H52" s="63">
        <f>'насел.'!H52+пільги!H52+субсидії!H52+'держ.бюджет'!H52+'місц.-районн.бюджет'!H52+обласний!H52+інші!H52</f>
        <v>0</v>
      </c>
      <c r="I52" s="62" t="e">
        <f t="shared" si="54"/>
        <v>#DIV/0!</v>
      </c>
      <c r="J52" s="63">
        <f>'насел.'!J52+пільги!J52+субсидії!J52+'держ.бюджет'!J52+'місц.-районн.бюджет'!J52+обласний!J52+інші!J52</f>
        <v>0</v>
      </c>
      <c r="K52" s="63">
        <f>'насел.'!K52+пільги!K52+субсидії!K52+'держ.бюджет'!K52+'місц.-районн.бюджет'!K52+обласний!K52+інші!K52</f>
        <v>0</v>
      </c>
      <c r="L52" s="62" t="e">
        <f t="shared" si="55"/>
        <v>#DIV/0!</v>
      </c>
      <c r="M52" s="62">
        <f>'насел.'!M52+пільги!M52+субсидії!M52+'держ.бюджет'!M52+'місц.-районн.бюджет'!M52+обласний!M52+інші!M52</f>
        <v>0</v>
      </c>
      <c r="N52" s="62">
        <f>'насел.'!N52+пільги!N52+субсидії!N52+'держ.бюджет'!N52+'місц.-районн.бюджет'!N52+обласний!N52+інші!N52</f>
        <v>0</v>
      </c>
      <c r="O52" s="62" t="e">
        <f t="shared" si="56"/>
        <v>#DIV/0!</v>
      </c>
      <c r="P52" s="63">
        <f>'насел.'!P52+пільги!P52+субсидії!P52+'держ.бюджет'!P52+'місц.-районн.бюджет'!P52+обласний!P52+інші!P52</f>
        <v>0</v>
      </c>
      <c r="Q52" s="63">
        <f>'насел.'!Q52+пільги!Q52+субсидії!Q52+'держ.бюджет'!Q52+'місц.-районн.бюджет'!Q52+обласний!Q52+інші!Q52</f>
        <v>0</v>
      </c>
      <c r="R52" s="63" t="e">
        <f t="shared" si="57"/>
        <v>#DIV/0!</v>
      </c>
      <c r="S52" s="63">
        <f>'насел.'!S52+пільги!S52+субсидії!S52+'держ.бюджет'!S52+'місц.-районн.бюджет'!S52+обласний!S52+інші!S52</f>
        <v>0</v>
      </c>
      <c r="T52" s="63">
        <f>'насел.'!T52+пільги!T52+субсидії!T52+'держ.бюджет'!T52+'місц.-районн.бюджет'!T52+обласний!T52+інші!T52</f>
        <v>0</v>
      </c>
      <c r="U52" s="62" t="e">
        <f t="shared" si="58"/>
        <v>#DIV/0!</v>
      </c>
      <c r="V52" s="63">
        <f>'насел.'!V52+пільги!V52+субсидії!V52+'держ.бюджет'!V52+'місц.-районн.бюджет'!V52+обласний!V52+інші!V52</f>
        <v>0</v>
      </c>
      <c r="W52" s="63">
        <f>'насел.'!W52+пільги!W52+субсидії!W52+'держ.бюджет'!W52+'місц.-районн.бюджет'!W52+обласний!W52+інші!W52</f>
        <v>0</v>
      </c>
      <c r="X52" s="62" t="e">
        <f t="shared" si="59"/>
        <v>#DIV/0!</v>
      </c>
      <c r="Y52" s="63">
        <f>'насел.'!Y52+пільги!Y52+субсидії!Y52+'держ.бюджет'!Y52+'місц.-районн.бюджет'!Y52+обласний!Y52+інші!Y52</f>
        <v>0</v>
      </c>
      <c r="Z52" s="63">
        <f>'насел.'!Z52+пільги!Z52+субсидії!Z52+'держ.бюджет'!Z52+'місц.-районн.бюджет'!Z52+обласний!Z52+інші!Z52</f>
        <v>0</v>
      </c>
      <c r="AA52" s="62" t="e">
        <f t="shared" si="60"/>
        <v>#DIV/0!</v>
      </c>
      <c r="AB52" s="63">
        <f>'насел.'!AB52+пільги!AB52+субсидії!AB52+'держ.бюджет'!AB52+'місц.-районн.бюджет'!AB52+обласний!AB52+інші!AB52</f>
        <v>0</v>
      </c>
      <c r="AC52" s="63">
        <f>'насел.'!AC52+пільги!AC52+субсидії!AC52+'держ.бюджет'!AC52+'місц.-районн.бюджет'!AC52+обласний!AC52+інші!AC52</f>
        <v>0</v>
      </c>
      <c r="AD52" s="62" t="e">
        <f t="shared" si="61"/>
        <v>#DIV/0!</v>
      </c>
      <c r="AE52" s="63">
        <f>'насел.'!AE52+пільги!AE52+субсидії!AE52+'держ.бюджет'!AE52+'місц.-районн.бюджет'!AE52+обласний!AE52+інші!AE52</f>
        <v>0</v>
      </c>
      <c r="AF52" s="63">
        <f>'насел.'!AF52+пільги!AF52+субсидії!AF52+'держ.бюджет'!AF52+'місц.-районн.бюджет'!AF52+обласний!AF52+інші!AF52</f>
        <v>0</v>
      </c>
      <c r="AG52" s="62" t="e">
        <f t="shared" si="62"/>
        <v>#DIV/0!</v>
      </c>
      <c r="AH52" s="63">
        <f>'насел.'!AH52+пільги!AH52+субсидії!AH52+'держ.бюджет'!AH52+'місц.-районн.бюджет'!AH52+обласний!AH52+інші!AH52</f>
        <v>0</v>
      </c>
      <c r="AI52" s="63">
        <f>'насел.'!AI52+пільги!AI52+субсидії!AI52+'держ.бюджет'!AI52+'місц.-районн.бюджет'!AI52+обласний!AI52+інші!AI52</f>
        <v>0</v>
      </c>
      <c r="AJ52" s="62" t="e">
        <f t="shared" si="63"/>
        <v>#DIV/0!</v>
      </c>
      <c r="AK52" s="79">
        <f>'насел.'!AK52+пільги!AR52+субсидії!AK52+'держ.бюджет'!AK52+'місц.-районн.бюджет'!AK52+обласний!AK52+інші!AK52</f>
        <v>0</v>
      </c>
      <c r="AL52" s="63">
        <f>'насел.'!AL52+пільги!AK52+субсидії!AL52+'держ.бюджет'!AL52+'місц.-районн.бюджет'!AL52+обласний!AL52+інші!AL52</f>
        <v>0</v>
      </c>
      <c r="AM52" s="63" t="e">
        <f t="shared" si="64"/>
        <v>#DIV/0!</v>
      </c>
      <c r="AN52" s="79">
        <f>'насел.'!AN52+пільги!AN52+субсидії!AN52+'держ.бюджет'!AN52+'місц.-районн.бюджет'!AN52+обласний!AN52+інші!AN52</f>
        <v>0</v>
      </c>
      <c r="AO52" s="63">
        <f>'насел.'!AO52+пільги!AN52+субсидії!AO52+'держ.бюджет'!AO52+'місц.-районн.бюджет'!AO52+обласний!AO52+інші!AO52</f>
        <v>0</v>
      </c>
      <c r="AP52" s="63">
        <f>'насел.'!AP52+пільги!AO52+субсидії!AP52+'держ.бюджет'!AP52+'місц.-районн.бюджет'!AP52+обласний!AP52+інші!AP52</f>
        <v>0</v>
      </c>
      <c r="AQ52" s="63">
        <f>'насел.'!AQ52+пільги!AP52+субсидії!AQ52+'держ.бюджет'!AQ52+'місц.-районн.бюджет'!AQ52+обласний!AQ52+інші!AQ52</f>
        <v>0</v>
      </c>
      <c r="AR52" s="63">
        <f>'насел.'!AR52+пільги!AQ52+субсидії!AR52+'держ.бюджет'!AR52+'місц.-районн.бюджет'!AR52+обласний!AR52+інші!AR52</f>
        <v>0</v>
      </c>
      <c r="AS52" s="63">
        <f>'насел.'!AS52+пільги!AR52+субсидії!AS52+'держ.бюджет'!AS52+'місц.-районн.бюджет'!AS52+обласний!AS52+інші!AS52</f>
        <v>0</v>
      </c>
      <c r="AT52" s="63">
        <f>'насел.'!AT52+пільги!AT52+субсидії!AT52+'держ.бюджет'!AT52+'місц.-районн.бюджет'!AT52+обласний!AT52+інші!AT52</f>
        <v>0</v>
      </c>
      <c r="AU52" s="63">
        <f>'насел.'!AU52+пільги!AU52+субсидії!AU52+'держ.бюджет'!AU52+'місц.-районн.бюджет'!AU52+обласний!AU52+інші!AU52</f>
        <v>0</v>
      </c>
      <c r="AV52" s="62" t="e">
        <f t="shared" si="65"/>
        <v>#DIV/0!</v>
      </c>
      <c r="AW52" s="63">
        <f t="shared" si="13"/>
        <v>0</v>
      </c>
      <c r="AX52" s="66">
        <f>'насел.'!AX52+пільги!AX52+субсидії!AX52+'держ.бюджет'!AX52+'місц.-районн.бюджет'!AX52+обласний!AX52+інші!AX52</f>
        <v>0</v>
      </c>
      <c r="AY52" s="144"/>
      <c r="AZ52" s="144"/>
      <c r="BA52" s="144"/>
      <c r="BB52" s="144"/>
    </row>
    <row r="53" spans="1:54" ht="34.5" customHeight="1" hidden="1">
      <c r="A53" s="10" t="s">
        <v>8</v>
      </c>
      <c r="B53" s="110" t="s">
        <v>113</v>
      </c>
      <c r="C53" s="63">
        <f>'насел.'!C53+пільги!C53+субсидії!C53+'держ.бюджет'!C53+'місц.-районн.бюджет'!C53+обласний!C53+інші!C53</f>
        <v>0</v>
      </c>
      <c r="D53" s="63">
        <f>'насел.'!D53+пільги!D53+субсидії!D53+'держ.бюджет'!D53+'місц.-районн.бюджет'!D53+обласний!D53+інші!D53</f>
        <v>0</v>
      </c>
      <c r="E53" s="63">
        <f>'насел.'!E53+пільги!E53+субсидії!E53+'держ.бюджет'!E53+'місц.-районн.бюджет'!E53+обласний!E53+інші!E53</f>
        <v>0</v>
      </c>
      <c r="F53" s="62" t="e">
        <f t="shared" si="53"/>
        <v>#DIV/0!</v>
      </c>
      <c r="G53" s="63">
        <f>'насел.'!G53+пільги!G53+субсидії!G53+'держ.бюджет'!G53+'місц.-районн.бюджет'!G53+обласний!G53+інші!G53</f>
        <v>0</v>
      </c>
      <c r="H53" s="63">
        <f>'насел.'!H53+пільги!H53+субсидії!H53+'держ.бюджет'!H53+'місц.-районн.бюджет'!H53+обласний!H53+інші!H53</f>
        <v>0</v>
      </c>
      <c r="I53" s="62" t="e">
        <f t="shared" si="54"/>
        <v>#DIV/0!</v>
      </c>
      <c r="J53" s="63">
        <f>'насел.'!J53+пільги!J53+субсидії!J53+'держ.бюджет'!J53+'місц.-районн.бюджет'!J53+обласний!J53+інші!J53</f>
        <v>0</v>
      </c>
      <c r="K53" s="63">
        <f>'насел.'!K53+пільги!K53+субсидії!K53+'держ.бюджет'!K53+'місц.-районн.бюджет'!K53+обласний!K53+інші!K53</f>
        <v>0</v>
      </c>
      <c r="L53" s="62" t="e">
        <f t="shared" si="55"/>
        <v>#DIV/0!</v>
      </c>
      <c r="M53" s="62">
        <f>'насел.'!M53+пільги!M53+субсидії!M53+'держ.бюджет'!M53+'місц.-районн.бюджет'!M53+обласний!M53+інші!M53</f>
        <v>0</v>
      </c>
      <c r="N53" s="62">
        <f>'насел.'!N53+пільги!N53+субсидії!N53+'держ.бюджет'!N53+'місц.-районн.бюджет'!N53+обласний!N53+інші!N53</f>
        <v>0</v>
      </c>
      <c r="O53" s="62" t="e">
        <f t="shared" si="56"/>
        <v>#DIV/0!</v>
      </c>
      <c r="P53" s="63">
        <f>'насел.'!P53+пільги!P53+субсидії!P53+'держ.бюджет'!P53+'місц.-районн.бюджет'!P53+обласний!P53+інші!P53</f>
        <v>0</v>
      </c>
      <c r="Q53" s="63">
        <f>'насел.'!Q53+пільги!Q53+субсидії!Q53+'держ.бюджет'!Q53+'місц.-районн.бюджет'!Q53+обласний!Q53+інші!Q53</f>
        <v>0</v>
      </c>
      <c r="R53" s="63" t="e">
        <f t="shared" si="57"/>
        <v>#DIV/0!</v>
      </c>
      <c r="S53" s="63">
        <f>'насел.'!S53+пільги!S53+субсидії!S53+'держ.бюджет'!S53+'місц.-районн.бюджет'!S53+обласний!S53+інші!S53</f>
        <v>0</v>
      </c>
      <c r="T53" s="63">
        <f>'насел.'!T53+пільги!T53+субсидії!T53+'держ.бюджет'!T53+'місц.-районн.бюджет'!T53+обласний!T53+інші!T53</f>
        <v>0</v>
      </c>
      <c r="U53" s="62" t="e">
        <f t="shared" si="58"/>
        <v>#DIV/0!</v>
      </c>
      <c r="V53" s="63">
        <f>'насел.'!V53+пільги!V53+субсидії!V53+'держ.бюджет'!V53+'місц.-районн.бюджет'!V53+обласний!V53+інші!V53</f>
        <v>0</v>
      </c>
      <c r="W53" s="63">
        <f>'насел.'!W53+пільги!W53+субсидії!W53+'держ.бюджет'!W53+'місц.-районн.бюджет'!W53+обласний!W53+інші!W53</f>
        <v>0</v>
      </c>
      <c r="X53" s="62" t="e">
        <f t="shared" si="59"/>
        <v>#DIV/0!</v>
      </c>
      <c r="Y53" s="63">
        <f>'насел.'!Y53+пільги!Y53+субсидії!Y53+'держ.бюджет'!Y53+'місц.-районн.бюджет'!Y53+обласний!Y53+інші!Y53</f>
        <v>0</v>
      </c>
      <c r="Z53" s="63">
        <f>'насел.'!Z53+пільги!Z53+субсидії!Z53+'держ.бюджет'!Z53+'місц.-районн.бюджет'!Z53+обласний!Z53+інші!Z53</f>
        <v>0</v>
      </c>
      <c r="AA53" s="62" t="e">
        <f t="shared" si="60"/>
        <v>#DIV/0!</v>
      </c>
      <c r="AB53" s="63">
        <f>'насел.'!AB53+пільги!AB53+субсидії!AB53+'держ.бюджет'!AB53+'місц.-районн.бюджет'!AB53+обласний!AB53+інші!AB53</f>
        <v>0</v>
      </c>
      <c r="AC53" s="63">
        <f>'насел.'!AC53+пільги!AC53+субсидії!AC53+'держ.бюджет'!AC53+'місц.-районн.бюджет'!AC53+обласний!AC53+інші!AC53</f>
        <v>0</v>
      </c>
      <c r="AD53" s="62" t="e">
        <f t="shared" si="61"/>
        <v>#DIV/0!</v>
      </c>
      <c r="AE53" s="63">
        <f>'насел.'!AE53+пільги!AE53+субсидії!AE53+'держ.бюджет'!AE53+'місц.-районн.бюджет'!AE53+обласний!AE53+інші!AE53</f>
        <v>0</v>
      </c>
      <c r="AF53" s="63">
        <f>'насел.'!AF53+пільги!AF53+субсидії!AF53+'держ.бюджет'!AF53+'місц.-районн.бюджет'!AF53+обласний!AF53+інші!AF53</f>
        <v>0</v>
      </c>
      <c r="AG53" s="62" t="e">
        <f t="shared" si="62"/>
        <v>#DIV/0!</v>
      </c>
      <c r="AH53" s="63">
        <f>'насел.'!AH53+пільги!AH53+субсидії!AH53+'держ.бюджет'!AH53+'місц.-районн.бюджет'!AH53+обласний!AH53+інші!AH53</f>
        <v>0</v>
      </c>
      <c r="AI53" s="63">
        <f>'насел.'!AI53+пільги!AI53+субсидії!AI53+'держ.бюджет'!AI53+'місц.-районн.бюджет'!AI53+обласний!AI53+інші!AI53</f>
        <v>0</v>
      </c>
      <c r="AJ53" s="62" t="e">
        <f t="shared" si="63"/>
        <v>#DIV/0!</v>
      </c>
      <c r="AK53" s="79">
        <f>'насел.'!AK53+пільги!AR53+субсидії!AK53+'держ.бюджет'!AK53+'місц.-районн.бюджет'!AK53+обласний!AK53+інші!AK53</f>
        <v>0</v>
      </c>
      <c r="AL53" s="63">
        <f>'насел.'!AL53+пільги!AK53+субсидії!AL53+'держ.бюджет'!AL53+'місц.-районн.бюджет'!AL53+обласний!AL53+інші!AL53</f>
        <v>0</v>
      </c>
      <c r="AM53" s="63" t="e">
        <f t="shared" si="64"/>
        <v>#DIV/0!</v>
      </c>
      <c r="AN53" s="79">
        <f>'насел.'!AN53+пільги!AN53+субсидії!AN53+'держ.бюджет'!AN53+'місц.-районн.бюджет'!AN53+обласний!AN53+інші!AN53</f>
        <v>0</v>
      </c>
      <c r="AO53" s="63">
        <f>'насел.'!AO53+пільги!AN53+субсидії!AO53+'держ.бюджет'!AO53+'місц.-районн.бюджет'!AO53+обласний!AO53+інші!AO53</f>
        <v>0</v>
      </c>
      <c r="AP53" s="63">
        <f>'насел.'!AP53+пільги!AO53+субсидії!AP53+'держ.бюджет'!AP53+'місц.-районн.бюджет'!AP53+обласний!AP53+інші!AP53</f>
        <v>0</v>
      </c>
      <c r="AQ53" s="63">
        <f>'насел.'!AQ53+пільги!AP53+субсидії!AQ53+'держ.бюджет'!AQ53+'місц.-районн.бюджет'!AQ53+обласний!AQ53+інші!AQ53</f>
        <v>0</v>
      </c>
      <c r="AR53" s="63">
        <f>'насел.'!AR53+пільги!AQ53+субсидії!AR53+'держ.бюджет'!AR53+'місц.-районн.бюджет'!AR53+обласний!AR53+інші!AR53</f>
        <v>0</v>
      </c>
      <c r="AS53" s="63">
        <f>'насел.'!AS53+пільги!AR53+субсидії!AS53+'держ.бюджет'!AS53+'місц.-районн.бюджет'!AS53+обласний!AS53+інші!AS53</f>
        <v>0</v>
      </c>
      <c r="AT53" s="63">
        <f>'насел.'!AT53+пільги!AT53+субсидії!AT53+'держ.бюджет'!AT53+'місц.-районн.бюджет'!AT53+обласний!AT53+інші!AT53</f>
        <v>0</v>
      </c>
      <c r="AU53" s="63">
        <f>'насел.'!AU53+пільги!AU53+субсидії!AU53+'держ.бюджет'!AU53+'місц.-районн.бюджет'!AU53+обласний!AU53+інші!AU53</f>
        <v>0</v>
      </c>
      <c r="AV53" s="62" t="e">
        <f t="shared" si="65"/>
        <v>#DIV/0!</v>
      </c>
      <c r="AW53" s="63">
        <f t="shared" si="13"/>
        <v>0</v>
      </c>
      <c r="AX53" s="66">
        <f>'насел.'!AX53+пільги!AX53+субсидії!AX53+'держ.бюджет'!AX53+'місц.-районн.бюджет'!AX53+обласний!AX53+інші!AX53</f>
        <v>0</v>
      </c>
      <c r="AY53" s="144"/>
      <c r="AZ53" s="144"/>
      <c r="BA53" s="144"/>
      <c r="BB53" s="144"/>
    </row>
    <row r="54" spans="1:54" ht="34.5" customHeight="1">
      <c r="A54" s="10" t="s">
        <v>22</v>
      </c>
      <c r="B54" s="165" t="s">
        <v>161</v>
      </c>
      <c r="C54" s="63">
        <f>'насел.'!C54+пільги!C54+субсидії!C54+'держ.бюджет'!C54+'місц.-районн.бюджет'!C54+обласний!C54+інші!C54</f>
        <v>293.7</v>
      </c>
      <c r="D54" s="63">
        <f>'насел.'!D54+пільги!D54+субсидії!D54+'держ.бюджет'!D54+'місц.-районн.бюджет'!D54+обласний!D54+інші!D54</f>
        <v>224.1</v>
      </c>
      <c r="E54" s="63">
        <f>'насел.'!E54+пільги!E54+субсидії!E54+'держ.бюджет'!E54+'місц.-районн.бюджет'!E54+обласний!E54+інші!E54</f>
        <v>217.1</v>
      </c>
      <c r="F54" s="62">
        <f t="shared" si="53"/>
        <v>96.87639446675591</v>
      </c>
      <c r="G54" s="63">
        <f>'насел.'!G54+пільги!G54+субсидії!G54+'держ.бюджет'!G54+'місц.-районн.бюджет'!G54+обласний!G54+інші!G54</f>
        <v>0</v>
      </c>
      <c r="H54" s="63">
        <f>'насел.'!H54+пільги!H54+субсидії!H54+'держ.бюджет'!H54+'місц.-районн.бюджет'!H54+обласний!H54+інші!H54</f>
        <v>0</v>
      </c>
      <c r="I54" s="62" t="e">
        <f t="shared" si="54"/>
        <v>#DIV/0!</v>
      </c>
      <c r="J54" s="63">
        <f>'насел.'!J54+пільги!J54+субсидії!J54+'держ.бюджет'!J54+'місц.-районн.бюджет'!J54+обласний!J54+інші!J54</f>
        <v>0</v>
      </c>
      <c r="K54" s="63">
        <f>'насел.'!K54+пільги!K54+субсидії!K54+'держ.бюджет'!K54+'місц.-районн.бюджет'!K54+обласний!K54+інші!K54</f>
        <v>0</v>
      </c>
      <c r="L54" s="164" t="e">
        <f t="shared" si="55"/>
        <v>#DIV/0!</v>
      </c>
      <c r="M54" s="62">
        <f>'насел.'!M54+пільги!M54+субсидії!M54+'держ.бюджет'!M54+'місц.-районн.бюджет'!M54+обласний!M54+інші!M54</f>
        <v>224.1</v>
      </c>
      <c r="N54" s="62">
        <f>'насел.'!N54+пільги!N54+субсидії!N54+'держ.бюджет'!N54+'місц.-районн.бюджет'!N54+обласний!N54+інші!N54</f>
        <v>217.1</v>
      </c>
      <c r="O54" s="62">
        <f t="shared" si="56"/>
        <v>96.87639446675591</v>
      </c>
      <c r="P54" s="63">
        <f>'насел.'!P54+пільги!P54+субсидії!P54+'держ.бюджет'!P54+'місц.-районн.бюджет'!P54+обласний!P54+інші!P54</f>
        <v>0</v>
      </c>
      <c r="Q54" s="63">
        <f>'насел.'!Q54+пільги!Q54+субсидії!Q54+'держ.бюджет'!Q54+'місц.-районн.бюджет'!Q54+обласний!Q54+інші!Q54</f>
        <v>0</v>
      </c>
      <c r="R54" s="63" t="e">
        <f t="shared" si="57"/>
        <v>#DIV/0!</v>
      </c>
      <c r="S54" s="63">
        <f>'насел.'!S54+пільги!S54+субсидії!S54+'держ.бюджет'!S54+'місц.-районн.бюджет'!S54+обласний!S54+інші!S54</f>
        <v>0</v>
      </c>
      <c r="T54" s="63">
        <f>'насел.'!T54+пільги!T54+субсидії!T54+'держ.бюджет'!T54+'місц.-районн.бюджет'!T54+обласний!T54+інші!T54</f>
        <v>0</v>
      </c>
      <c r="U54" s="62" t="e">
        <f t="shared" si="58"/>
        <v>#DIV/0!</v>
      </c>
      <c r="V54" s="63">
        <f>'насел.'!V54+пільги!V54+субсидії!V54+'держ.бюджет'!V54+'місц.-районн.бюджет'!V54+обласний!V54+інші!V54</f>
        <v>0</v>
      </c>
      <c r="W54" s="63">
        <f>'насел.'!W54+пільги!W54+субсидії!W54+'держ.бюджет'!W54+'місц.-районн.бюджет'!W54+обласний!W54+інші!W54</f>
        <v>0</v>
      </c>
      <c r="X54" s="62" t="e">
        <f t="shared" si="59"/>
        <v>#DIV/0!</v>
      </c>
      <c r="Y54" s="63">
        <f>'насел.'!Y54+пільги!Y54+субсидії!Y54+'держ.бюджет'!Y54+'місц.-районн.бюджет'!Y54+обласний!Y54+інші!Y54</f>
        <v>0</v>
      </c>
      <c r="Z54" s="63">
        <f>'насел.'!Z54+пільги!Z54+субсидії!Z54+'держ.бюджет'!Z54+'місц.-районн.бюджет'!Z54+обласний!Z54+інші!Z54</f>
        <v>0</v>
      </c>
      <c r="AA54" s="62" t="e">
        <f t="shared" si="60"/>
        <v>#DIV/0!</v>
      </c>
      <c r="AB54" s="63">
        <f>'насел.'!AB54+пільги!AB54+субсидії!AB54+'держ.бюджет'!AB54+'місц.-районн.бюджет'!AB54+обласний!AB54+інші!AB54</f>
        <v>0</v>
      </c>
      <c r="AC54" s="63">
        <f>'насел.'!AC54+пільги!AC54+субсидії!AC54+'держ.бюджет'!AC54+'місц.-районн.бюджет'!AC54+обласний!AC54+інші!AC54</f>
        <v>0</v>
      </c>
      <c r="AD54" s="62" t="e">
        <f t="shared" si="61"/>
        <v>#DIV/0!</v>
      </c>
      <c r="AE54" s="63">
        <f>'насел.'!AE54+пільги!AE54+субсидії!AE54+'держ.бюджет'!AE54+'місц.-районн.бюджет'!AE54+обласний!AE54+інші!AE54</f>
        <v>0</v>
      </c>
      <c r="AF54" s="63">
        <f>'насел.'!AF54+пільги!AF54+субсидії!AF54+'держ.бюджет'!AF54+'місц.-районн.бюджет'!AF54+обласний!AF54+інші!AF54</f>
        <v>0</v>
      </c>
      <c r="AG54" s="62" t="e">
        <f t="shared" si="62"/>
        <v>#DIV/0!</v>
      </c>
      <c r="AH54" s="63">
        <f>'насел.'!AH54+пільги!AH54+субсидії!AH54+'держ.бюджет'!AH54+'місц.-районн.бюджет'!AH54+обласний!AH54+інші!AH54</f>
        <v>0</v>
      </c>
      <c r="AI54" s="63">
        <f>'насел.'!AI54+пільги!AI54+субсидії!AI54+'держ.бюджет'!AI54+'місц.-районн.бюджет'!AI54+обласний!AI54+інші!AI54</f>
        <v>0</v>
      </c>
      <c r="AJ54" s="62" t="e">
        <f t="shared" si="63"/>
        <v>#DIV/0!</v>
      </c>
      <c r="AK54" s="79">
        <f>'насел.'!AK54+пільги!AR54+субсидії!AK54+'держ.бюджет'!AK54+'місц.-районн.бюджет'!AK54+обласний!AK54+інші!AK54</f>
        <v>0</v>
      </c>
      <c r="AL54" s="63">
        <f>'насел.'!AL54+пільги!AK54+субсидії!AL54+'держ.бюджет'!AL54+'місц.-районн.бюджет'!AL54+обласний!AL54+інші!AL54</f>
        <v>0</v>
      </c>
      <c r="AM54" s="63" t="e">
        <f t="shared" si="64"/>
        <v>#DIV/0!</v>
      </c>
      <c r="AN54" s="79">
        <f>'насел.'!AN54+пільги!AN54+субсидії!AN54+'держ.бюджет'!AN54+'місц.-районн.бюджет'!AN54+обласний!AN54+інші!AN54</f>
        <v>0</v>
      </c>
      <c r="AO54" s="63">
        <f>'насел.'!AO54+пільги!AN54+субсидії!AO54+'держ.бюджет'!AO54+'місц.-районн.бюджет'!AO54+обласний!AO54+інші!AO54</f>
        <v>0</v>
      </c>
      <c r="AP54" s="63">
        <f>'насел.'!AP54+пільги!AO54+субсидії!AP54+'держ.бюджет'!AP54+'місц.-районн.бюджет'!AP54+обласний!AP54+інші!AP54</f>
        <v>0</v>
      </c>
      <c r="AQ54" s="63">
        <f>'насел.'!AQ54+пільги!AP54+субсидії!AQ54+'держ.бюджет'!AQ54+'місц.-районн.бюджет'!AQ54+обласний!AQ54+інші!AQ54</f>
        <v>0</v>
      </c>
      <c r="AR54" s="63">
        <f>'насел.'!AR54+пільги!AQ54+субсидії!AR54+'держ.бюджет'!AR54+'місц.-районн.бюджет'!AR54+обласний!AR54+інші!AR54</f>
        <v>0</v>
      </c>
      <c r="AS54" s="63">
        <f>'насел.'!AS54+пільги!AR54+субсидії!AS54+'держ.бюджет'!AS54+'місц.-районн.бюджет'!AS54+обласний!AS54+інші!AS54</f>
        <v>0</v>
      </c>
      <c r="AT54" s="63">
        <f>'насел.'!AT54+пільги!AT54+субсидії!AT54+'держ.бюджет'!AT54+'місц.-районн.бюджет'!AT54+обласний!AT54+інші!AT54</f>
        <v>224.1</v>
      </c>
      <c r="AU54" s="63">
        <f>'насел.'!AU54+пільги!AU54+субсидії!AU54+'держ.бюджет'!AU54+'місц.-районн.бюджет'!AU54+обласний!AU54+інші!AU54</f>
        <v>217.1</v>
      </c>
      <c r="AV54" s="62">
        <f t="shared" si="65"/>
        <v>96.87639446675591</v>
      </c>
      <c r="AW54" s="63">
        <f t="shared" si="13"/>
        <v>7</v>
      </c>
      <c r="AX54" s="66">
        <f>'насел.'!AX54+пільги!AX54+субсидії!AX54+'держ.бюджет'!AX54+'місц.-районн.бюджет'!AX54+обласний!AX54+інші!AX54</f>
        <v>300.69999999999993</v>
      </c>
      <c r="AY54" s="144"/>
      <c r="AZ54" s="144"/>
      <c r="BA54" s="144"/>
      <c r="BB54" s="144"/>
    </row>
    <row r="55" spans="1:54" ht="34.5" customHeight="1" hidden="1">
      <c r="A55" s="10" t="s">
        <v>9</v>
      </c>
      <c r="B55" s="110" t="s">
        <v>115</v>
      </c>
      <c r="C55" s="63">
        <f>'насел.'!C55+пільги!C55+субсидії!C55+'держ.бюджет'!C55+'місц.-районн.бюджет'!C55+обласний!C55+інші!C55</f>
        <v>0</v>
      </c>
      <c r="D55" s="63">
        <f>'насел.'!D55+пільги!D55+субсидії!D55+'держ.бюджет'!D55+'місц.-районн.бюджет'!D55+обласний!D55+інші!D55</f>
        <v>0</v>
      </c>
      <c r="E55" s="63">
        <f>'насел.'!E55+пільги!E55+субсидії!E55+'держ.бюджет'!E55+'місц.-районн.бюджет'!E55+обласний!E55+інші!E55</f>
        <v>0</v>
      </c>
      <c r="F55" s="62" t="e">
        <f t="shared" si="53"/>
        <v>#DIV/0!</v>
      </c>
      <c r="G55" s="63">
        <f>'насел.'!G55+пільги!G55+субсидії!G55+'держ.бюджет'!G55+'місц.-районн.бюджет'!G55+обласний!G55+інші!G55</f>
        <v>0</v>
      </c>
      <c r="H55" s="63">
        <f>'насел.'!H55+пільги!H55+субсидії!H55+'держ.бюджет'!H55+'місц.-районн.бюджет'!H55+обласний!H55+інші!H55</f>
        <v>0</v>
      </c>
      <c r="I55" s="62" t="e">
        <f t="shared" si="54"/>
        <v>#DIV/0!</v>
      </c>
      <c r="J55" s="63">
        <f>'насел.'!J55+пільги!J55+субсидії!J55+'держ.бюджет'!J55+'місц.-районн.бюджет'!J55+обласний!J55+інші!J55</f>
        <v>0</v>
      </c>
      <c r="K55" s="63">
        <f>'насел.'!K55+пільги!K55+субсидії!K55+'держ.бюджет'!K55+'місц.-районн.бюджет'!K55+обласний!K55+інші!K55</f>
        <v>0</v>
      </c>
      <c r="L55" s="62" t="e">
        <f t="shared" si="55"/>
        <v>#DIV/0!</v>
      </c>
      <c r="M55" s="62">
        <f>'насел.'!M55+пільги!M55+субсидії!M55+'держ.бюджет'!M55+'місц.-районн.бюджет'!M55+обласний!M55+інші!M55</f>
        <v>0</v>
      </c>
      <c r="N55" s="62">
        <f>'насел.'!N55+пільги!N55+субсидії!N55+'держ.бюджет'!N55+'місц.-районн.бюджет'!N55+обласний!N55+інші!N55</f>
        <v>0</v>
      </c>
      <c r="O55" s="62" t="e">
        <f t="shared" si="56"/>
        <v>#DIV/0!</v>
      </c>
      <c r="P55" s="63">
        <f>'насел.'!P55+пільги!P55+субсидії!P55+'держ.бюджет'!P55+'місц.-районн.бюджет'!P55+обласний!P55+інші!P55</f>
        <v>0</v>
      </c>
      <c r="Q55" s="63">
        <f>'насел.'!Q55+пільги!Q55+субсидії!Q55+'держ.бюджет'!Q55+'місц.-районн.бюджет'!Q55+обласний!Q55+інші!Q55</f>
        <v>0</v>
      </c>
      <c r="R55" s="63" t="e">
        <f t="shared" si="57"/>
        <v>#DIV/0!</v>
      </c>
      <c r="S55" s="63">
        <f>'насел.'!S55+пільги!S55+субсидії!S55+'держ.бюджет'!S55+'місц.-районн.бюджет'!S55+обласний!S55+інші!S55</f>
        <v>0</v>
      </c>
      <c r="T55" s="63">
        <f>'насел.'!T55+пільги!T55+субсидії!T55+'держ.бюджет'!T55+'місц.-районн.бюджет'!T55+обласний!T55+інші!T55</f>
        <v>0</v>
      </c>
      <c r="U55" s="62" t="e">
        <f t="shared" si="58"/>
        <v>#DIV/0!</v>
      </c>
      <c r="V55" s="63">
        <f>'насел.'!V55+пільги!V55+субсидії!V55+'держ.бюджет'!V55+'місц.-районн.бюджет'!V55+обласний!V55+інші!V55</f>
        <v>0</v>
      </c>
      <c r="W55" s="63">
        <f>'насел.'!W55+пільги!W55+субсидії!W55+'держ.бюджет'!W55+'місц.-районн.бюджет'!W55+обласний!W55+інші!W55</f>
        <v>0</v>
      </c>
      <c r="X55" s="62" t="e">
        <f t="shared" si="59"/>
        <v>#DIV/0!</v>
      </c>
      <c r="Y55" s="63">
        <f>'насел.'!Y55+пільги!Y55+субсидії!Y55+'держ.бюджет'!Y55+'місц.-районн.бюджет'!Y55+обласний!Y55+інші!Y55</f>
        <v>0</v>
      </c>
      <c r="Z55" s="63">
        <f>'насел.'!Z55+пільги!Z55+субсидії!Z55+'держ.бюджет'!Z55+'місц.-районн.бюджет'!Z55+обласний!Z55+інші!Z55</f>
        <v>0</v>
      </c>
      <c r="AA55" s="62" t="e">
        <f t="shared" si="60"/>
        <v>#DIV/0!</v>
      </c>
      <c r="AB55" s="63">
        <f>'насел.'!AB55+пільги!AB55+субсидії!AB55+'держ.бюджет'!AB55+'місц.-районн.бюджет'!AB55+обласний!AB55+інші!AB55</f>
        <v>0</v>
      </c>
      <c r="AC55" s="63">
        <f>'насел.'!AC55+пільги!AC55+субсидії!AC55+'держ.бюджет'!AC55+'місц.-районн.бюджет'!AC55+обласний!AC55+інші!AC55</f>
        <v>0</v>
      </c>
      <c r="AD55" s="62" t="e">
        <f t="shared" si="61"/>
        <v>#DIV/0!</v>
      </c>
      <c r="AE55" s="63">
        <f>'насел.'!AE55+пільги!AE55+субсидії!AE55+'держ.бюджет'!AE55+'місц.-районн.бюджет'!AE55+обласний!AE55+інші!AE55</f>
        <v>0</v>
      </c>
      <c r="AF55" s="63">
        <f>'насел.'!AF55+пільги!AF55+субсидії!AF55+'держ.бюджет'!AF55+'місц.-районн.бюджет'!AF55+обласний!AF55+інші!AF55</f>
        <v>0</v>
      </c>
      <c r="AG55" s="62" t="e">
        <f t="shared" si="62"/>
        <v>#DIV/0!</v>
      </c>
      <c r="AH55" s="63">
        <f>'насел.'!AH55+пільги!AH55+субсидії!AH55+'держ.бюджет'!AH55+'місц.-районн.бюджет'!AH55+обласний!AH55+інші!AH55</f>
        <v>0</v>
      </c>
      <c r="AI55" s="63">
        <f>'насел.'!AI55+пільги!AI55+субсидії!AI55+'держ.бюджет'!AI55+'місц.-районн.бюджет'!AI55+обласний!AI55+інші!AI55</f>
        <v>0</v>
      </c>
      <c r="AJ55" s="62" t="e">
        <f t="shared" si="63"/>
        <v>#DIV/0!</v>
      </c>
      <c r="AK55" s="79">
        <f>'насел.'!AK55+пільги!AR55+субсидії!AK55+'держ.бюджет'!AK55+'місц.-районн.бюджет'!AK55+обласний!AK55+інші!AK55</f>
        <v>0</v>
      </c>
      <c r="AL55" s="63">
        <f>'насел.'!AL55+пільги!AK55+субсидії!AL55+'держ.бюджет'!AL55+'місц.-районн.бюджет'!AL55+обласний!AL55+інші!AL55</f>
        <v>0</v>
      </c>
      <c r="AM55" s="63" t="e">
        <f t="shared" si="64"/>
        <v>#DIV/0!</v>
      </c>
      <c r="AN55" s="79">
        <f>'насел.'!AN55+пільги!AN55+субсидії!AN55+'держ.бюджет'!AN55+'місц.-районн.бюджет'!AN55+обласний!AN55+інші!AN55</f>
        <v>0</v>
      </c>
      <c r="AO55" s="63">
        <f>'насел.'!AO55+пільги!AN55+субсидії!AO55+'держ.бюджет'!AO55+'місц.-районн.бюджет'!AO55+обласний!AO55+інші!AO55</f>
        <v>0</v>
      </c>
      <c r="AP55" s="63">
        <f>'насел.'!AP55+пільги!AO55+субсидії!AP55+'держ.бюджет'!AP55+'місц.-районн.бюджет'!AP55+обласний!AP55+інші!AP55</f>
        <v>0</v>
      </c>
      <c r="AQ55" s="63">
        <f>'насел.'!AQ55+пільги!AP55+субсидії!AQ55+'держ.бюджет'!AQ55+'місц.-районн.бюджет'!AQ55+обласний!AQ55+інші!AQ55</f>
        <v>0</v>
      </c>
      <c r="AR55" s="63">
        <f>'насел.'!AR55+пільги!AQ55+субсидії!AR55+'держ.бюджет'!AR55+'місц.-районн.бюджет'!AR55+обласний!AR55+інші!AR55</f>
        <v>0</v>
      </c>
      <c r="AS55" s="63">
        <f>'насел.'!AS55+пільги!AR55+субсидії!AS55+'держ.бюджет'!AS55+'місц.-районн.бюджет'!AS55+обласний!AS55+інші!AS55</f>
        <v>0</v>
      </c>
      <c r="AT55" s="63">
        <f>'насел.'!AT55+пільги!AT55+субсидії!AT55+'держ.бюджет'!AT55+'місц.-районн.бюджет'!AT55+обласний!AT55+інші!AT55</f>
        <v>0</v>
      </c>
      <c r="AU55" s="63">
        <f>'насел.'!AU55+пільги!AU55+субсидії!AU55+'держ.бюджет'!AU55+'місц.-районн.бюджет'!AU55+обласний!AU55+інші!AU55</f>
        <v>0</v>
      </c>
      <c r="AV55" s="62" t="e">
        <f t="shared" si="65"/>
        <v>#DIV/0!</v>
      </c>
      <c r="AW55" s="63">
        <f t="shared" si="13"/>
        <v>0</v>
      </c>
      <c r="AX55" s="66">
        <f>'насел.'!AX55+пільги!AX55+субсидії!AX55+'держ.бюджет'!AX55+'місц.-районн.бюджет'!AX55+обласний!AX55+інші!AX55</f>
        <v>0</v>
      </c>
      <c r="AY55" s="144"/>
      <c r="AZ55" s="144"/>
      <c r="BA55" s="144"/>
      <c r="BB55" s="144"/>
    </row>
    <row r="56" spans="1:54" ht="34.5" customHeight="1" hidden="1">
      <c r="A56" s="10" t="s">
        <v>10</v>
      </c>
      <c r="B56" s="110" t="s">
        <v>116</v>
      </c>
      <c r="C56" s="63">
        <f>'насел.'!C56+пільги!C56+субсидії!C56+'держ.бюджет'!C56+'місц.-районн.бюджет'!C56+обласний!C56+інші!C56</f>
        <v>0</v>
      </c>
      <c r="D56" s="63">
        <f>'насел.'!D56+пільги!D56+субсидії!D56+'держ.бюджет'!D56+'місц.-районн.бюджет'!D56+обласний!D56+інші!D56</f>
        <v>0</v>
      </c>
      <c r="E56" s="63">
        <f>'насел.'!E56+пільги!E56+субсидії!E56+'держ.бюджет'!E56+'місц.-районн.бюджет'!E56+обласний!E56+інші!E56</f>
        <v>0</v>
      </c>
      <c r="F56" s="62" t="e">
        <f t="shared" si="53"/>
        <v>#DIV/0!</v>
      </c>
      <c r="G56" s="63">
        <f>'насел.'!G56+пільги!G56+субсидії!G56+'держ.бюджет'!G56+'місц.-районн.бюджет'!G56+обласний!G56+інші!G56</f>
        <v>0</v>
      </c>
      <c r="H56" s="63">
        <f>'насел.'!H56+пільги!H56+субсидії!H56+'держ.бюджет'!H56+'місц.-районн.бюджет'!H56+обласний!H56+інші!H56</f>
        <v>0</v>
      </c>
      <c r="I56" s="62" t="e">
        <f t="shared" si="54"/>
        <v>#DIV/0!</v>
      </c>
      <c r="J56" s="63">
        <f>'насел.'!J56+пільги!J56+субсидії!J56+'держ.бюджет'!J56+'місц.-районн.бюджет'!J56+обласний!J56+інші!J56</f>
        <v>0</v>
      </c>
      <c r="K56" s="63">
        <f>'насел.'!K56+пільги!K56+субсидії!K56+'держ.бюджет'!K56+'місц.-районн.бюджет'!K56+обласний!K56+інші!K56</f>
        <v>0</v>
      </c>
      <c r="L56" s="62" t="e">
        <f t="shared" si="55"/>
        <v>#DIV/0!</v>
      </c>
      <c r="M56" s="62">
        <f>'насел.'!M56+пільги!M56+субсидії!M56+'держ.бюджет'!M56+'місц.-районн.бюджет'!M56+обласний!M56+інші!M56</f>
        <v>0</v>
      </c>
      <c r="N56" s="62">
        <f>'насел.'!N56+пільги!N56+субсидії!N56+'держ.бюджет'!N56+'місц.-районн.бюджет'!N56+обласний!N56+інші!N56</f>
        <v>0</v>
      </c>
      <c r="O56" s="62" t="e">
        <f t="shared" si="56"/>
        <v>#DIV/0!</v>
      </c>
      <c r="P56" s="63">
        <f>'насел.'!P56+пільги!P56+субсидії!P56+'держ.бюджет'!P56+'місц.-районн.бюджет'!P56+обласний!P56+інші!P56</f>
        <v>0</v>
      </c>
      <c r="Q56" s="63">
        <f>'насел.'!Q56+пільги!Q56+субсидії!Q56+'держ.бюджет'!Q56+'місц.-районн.бюджет'!Q56+обласний!Q56+інші!Q56</f>
        <v>0</v>
      </c>
      <c r="R56" s="63" t="e">
        <f t="shared" si="57"/>
        <v>#DIV/0!</v>
      </c>
      <c r="S56" s="63">
        <f>'насел.'!S56+пільги!S56+субсидії!S56+'держ.бюджет'!S56+'місц.-районн.бюджет'!S56+обласний!S56+інші!S56</f>
        <v>0</v>
      </c>
      <c r="T56" s="63">
        <f>'насел.'!T56+пільги!T56+субсидії!T56+'держ.бюджет'!T56+'місц.-районн.бюджет'!T56+обласний!T56+інші!T56</f>
        <v>0</v>
      </c>
      <c r="U56" s="62" t="e">
        <f t="shared" si="58"/>
        <v>#DIV/0!</v>
      </c>
      <c r="V56" s="63">
        <f>'насел.'!V56+пільги!V56+субсидії!V56+'держ.бюджет'!V56+'місц.-районн.бюджет'!V56+обласний!V56+інші!V56</f>
        <v>0</v>
      </c>
      <c r="W56" s="63">
        <f>'насел.'!W56+пільги!W56+субсидії!W56+'держ.бюджет'!W56+'місц.-районн.бюджет'!W56+обласний!W56+інші!W56</f>
        <v>0</v>
      </c>
      <c r="X56" s="62" t="e">
        <f t="shared" si="59"/>
        <v>#DIV/0!</v>
      </c>
      <c r="Y56" s="63">
        <f>'насел.'!Y56+пільги!Y56+субсидії!Y56+'держ.бюджет'!Y56+'місц.-районн.бюджет'!Y56+обласний!Y56+інші!Y56</f>
        <v>0</v>
      </c>
      <c r="Z56" s="63">
        <f>'насел.'!Z56+пільги!Z56+субсидії!Z56+'держ.бюджет'!Z56+'місц.-районн.бюджет'!Z56+обласний!Z56+інші!Z56</f>
        <v>0</v>
      </c>
      <c r="AA56" s="62" t="e">
        <f t="shared" si="60"/>
        <v>#DIV/0!</v>
      </c>
      <c r="AB56" s="63">
        <f>'насел.'!AB56+пільги!AB56+субсидії!AB56+'держ.бюджет'!AB56+'місц.-районн.бюджет'!AB56+обласний!AB56+інші!AB56</f>
        <v>0</v>
      </c>
      <c r="AC56" s="63">
        <f>'насел.'!AC56+пільги!AC56+субсидії!AC56+'держ.бюджет'!AC56+'місц.-районн.бюджет'!AC56+обласний!AC56+інші!AC56</f>
        <v>0</v>
      </c>
      <c r="AD56" s="62" t="e">
        <f t="shared" si="61"/>
        <v>#DIV/0!</v>
      </c>
      <c r="AE56" s="63">
        <f>'насел.'!AE56+пільги!AE56+субсидії!AE56+'держ.бюджет'!AE56+'місц.-районн.бюджет'!AE56+обласний!AE56+інші!AE56</f>
        <v>0</v>
      </c>
      <c r="AF56" s="63">
        <f>'насел.'!AF56+пільги!AF56+субсидії!AF56+'держ.бюджет'!AF56+'місц.-районн.бюджет'!AF56+обласний!AF56+інші!AF56</f>
        <v>0</v>
      </c>
      <c r="AG56" s="62" t="e">
        <f t="shared" si="62"/>
        <v>#DIV/0!</v>
      </c>
      <c r="AH56" s="63">
        <f>'насел.'!AH56+пільги!AH56+субсидії!AH56+'держ.бюджет'!AH56+'місц.-районн.бюджет'!AH56+обласний!AH56+інші!AH56</f>
        <v>0</v>
      </c>
      <c r="AI56" s="63">
        <f>'насел.'!AI56+пільги!AI56+субсидії!AI56+'держ.бюджет'!AI56+'місц.-районн.бюджет'!AI56+обласний!AI56+інші!AI56</f>
        <v>0</v>
      </c>
      <c r="AJ56" s="62" t="e">
        <f t="shared" si="63"/>
        <v>#DIV/0!</v>
      </c>
      <c r="AK56" s="79">
        <f>'насел.'!AK56+пільги!AR56+субсидії!AK56+'держ.бюджет'!AK56+'місц.-районн.бюджет'!AK56+обласний!AK56+інші!AK56</f>
        <v>0</v>
      </c>
      <c r="AL56" s="63">
        <f>'насел.'!AL56+пільги!AK56+субсидії!AL56+'держ.бюджет'!AL56+'місц.-районн.бюджет'!AL56+обласний!AL56+інші!AL56</f>
        <v>0</v>
      </c>
      <c r="AM56" s="63" t="e">
        <f t="shared" si="64"/>
        <v>#DIV/0!</v>
      </c>
      <c r="AN56" s="79">
        <f>'насел.'!AN56+пільги!AN56+субсидії!AN56+'держ.бюджет'!AN56+'місц.-районн.бюджет'!AN56+обласний!AN56+інші!AN56</f>
        <v>0</v>
      </c>
      <c r="AO56" s="63">
        <f>'насел.'!AO56+пільги!AN56+субсидії!AO56+'держ.бюджет'!AO56+'місц.-районн.бюджет'!AO56+обласний!AO56+інші!AO56</f>
        <v>0</v>
      </c>
      <c r="AP56" s="63">
        <f>'насел.'!AP56+пільги!AO56+субсидії!AP56+'держ.бюджет'!AP56+'місц.-районн.бюджет'!AP56+обласний!AP56+інші!AP56</f>
        <v>0</v>
      </c>
      <c r="AQ56" s="63">
        <f>'насел.'!AQ56+пільги!AP56+субсидії!AQ56+'держ.бюджет'!AQ56+'місц.-районн.бюджет'!AQ56+обласний!AQ56+інші!AQ56</f>
        <v>0</v>
      </c>
      <c r="AR56" s="63">
        <f>'насел.'!AR56+пільги!AQ56+субсидії!AR56+'держ.бюджет'!AR56+'місц.-районн.бюджет'!AR56+обласний!AR56+інші!AR56</f>
        <v>0</v>
      </c>
      <c r="AS56" s="63">
        <f>'насел.'!AS56+пільги!AR56+субсидії!AS56+'держ.бюджет'!AS56+'місц.-районн.бюджет'!AS56+обласний!AS56+інші!AS56</f>
        <v>0</v>
      </c>
      <c r="AT56" s="63">
        <f>'насел.'!AT56+пільги!AT56+субсидії!AT56+'держ.бюджет'!AT56+'місц.-районн.бюджет'!AT56+обласний!AT56+інші!AT56</f>
        <v>0</v>
      </c>
      <c r="AU56" s="63">
        <f>'насел.'!AU56+пільги!AU56+субсидії!AU56+'держ.бюджет'!AU56+'місц.-районн.бюджет'!AU56+обласний!AU56+інші!AU56</f>
        <v>0</v>
      </c>
      <c r="AV56" s="62" t="e">
        <f t="shared" si="65"/>
        <v>#DIV/0!</v>
      </c>
      <c r="AW56" s="63">
        <f t="shared" si="13"/>
        <v>0</v>
      </c>
      <c r="AX56" s="66">
        <f>'насел.'!AX56+пільги!AX56+субсидії!AX56+'держ.бюджет'!AX56+'місц.-районн.бюджет'!AX56+обласний!AX56+інші!AX56</f>
        <v>0</v>
      </c>
      <c r="AY56" s="144"/>
      <c r="AZ56" s="144"/>
      <c r="BA56" s="144"/>
      <c r="BB56" s="144"/>
    </row>
    <row r="57" spans="1:54" ht="34.5" customHeight="1">
      <c r="A57" s="10" t="s">
        <v>11</v>
      </c>
      <c r="B57" s="153" t="s">
        <v>162</v>
      </c>
      <c r="C57" s="63">
        <f>'насел.'!C57+пільги!C57+субсидії!C57+'держ.бюджет'!C57+'місц.-районн.бюджет'!C57+обласний!C57+інші!C57</f>
        <v>11325.9</v>
      </c>
      <c r="D57" s="63">
        <f>'насел.'!D57+пільги!D57+субсидії!D57+'держ.бюджет'!D57+'місц.-районн.бюджет'!D57+обласний!D57+інші!D57</f>
        <v>6440.4</v>
      </c>
      <c r="E57" s="63">
        <f>'насел.'!E57+пільги!E57+субсидії!E57+'держ.бюджет'!E57+'місц.-районн.бюджет'!E57+обласний!E57+інші!E57</f>
        <v>3747.8</v>
      </c>
      <c r="F57" s="62">
        <f t="shared" si="53"/>
        <v>58.19203776162972</v>
      </c>
      <c r="G57" s="63">
        <f>'насел.'!G57+пільги!G57+субсидії!G57+'держ.бюджет'!G57+'місц.-районн.бюджет'!G57+обласний!G57+інші!G57</f>
        <v>5875.4</v>
      </c>
      <c r="H57" s="63">
        <f>'насел.'!H57+пільги!H57+субсидії!H57+'держ.бюджет'!H57+'місц.-районн.бюджет'!H57+обласний!H57+інші!H57</f>
        <v>4260.799999999999</v>
      </c>
      <c r="I57" s="62">
        <f t="shared" si="54"/>
        <v>72.5193178336794</v>
      </c>
      <c r="J57" s="63">
        <f>'насел.'!J57+пільги!J57+субсидії!J57+'держ.бюджет'!J57+'місц.-районн.бюджет'!J57+обласний!J57+інші!J57</f>
        <v>4768.7</v>
      </c>
      <c r="K57" s="63">
        <f>'насел.'!K57+пільги!K57+субсидії!K57+'держ.бюджет'!K57+'місц.-районн.бюджет'!K57+обласний!K57+інші!K57</f>
        <v>4749.9</v>
      </c>
      <c r="L57" s="62">
        <f t="shared" si="55"/>
        <v>99.6057625768029</v>
      </c>
      <c r="M57" s="62">
        <f>'насел.'!M57+пільги!M57+субсидії!M57+'держ.бюджет'!M57+'місц.-районн.бюджет'!M57+обласний!M57+інші!M57</f>
        <v>17084.5</v>
      </c>
      <c r="N57" s="62">
        <f>'насел.'!N57+пільги!N57+субсидії!N57+'держ.бюджет'!N57+'місц.-районн.бюджет'!N57+обласний!N57+інші!N57</f>
        <v>12758.499999999998</v>
      </c>
      <c r="O57" s="62">
        <f t="shared" si="56"/>
        <v>74.67880242324914</v>
      </c>
      <c r="P57" s="63">
        <f>'насел.'!P57+пільги!P57+субсидії!P57+'держ.бюджет'!P57+'місц.-районн.бюджет'!P57+обласний!P57+інші!P57</f>
        <v>27.400000000000002</v>
      </c>
      <c r="Q57" s="63">
        <f>'насел.'!Q57+пільги!Q57+субсидії!Q57+'держ.бюджет'!Q57+'місц.-районн.бюджет'!Q57+обласний!Q57+інші!Q57</f>
        <v>3958.6</v>
      </c>
      <c r="R57" s="63">
        <f t="shared" si="57"/>
        <v>14447.445255474451</v>
      </c>
      <c r="S57" s="63">
        <f>'насел.'!S57+пільги!S57+субсидії!S57+'держ.бюджет'!S57+'місц.-районн.бюджет'!S57+обласний!S57+інші!S57</f>
        <v>0</v>
      </c>
      <c r="T57" s="63">
        <f>'насел.'!T57+пільги!T57+субсидії!T57+'держ.бюджет'!T57+'місц.-районн.бюджет'!T57+обласний!T57+інші!T57</f>
        <v>852.3</v>
      </c>
      <c r="U57" s="62" t="e">
        <f t="shared" si="58"/>
        <v>#DIV/0!</v>
      </c>
      <c r="V57" s="63">
        <f>'насел.'!V57+пільги!V57+субсидії!V57+'держ.бюджет'!V57+'місц.-районн.бюджет'!V57+обласний!V57+інші!V57</f>
        <v>0</v>
      </c>
      <c r="W57" s="63">
        <f>'насел.'!W57+пільги!W57+субсидії!W57+'держ.бюджет'!W57+'місц.-районн.бюджет'!W57+обласний!W57+інші!W57</f>
        <v>1018.7</v>
      </c>
      <c r="X57" s="62" t="e">
        <f t="shared" si="59"/>
        <v>#DIV/0!</v>
      </c>
      <c r="Y57" s="63">
        <f>'насел.'!Y57+пільги!Y57+субсидії!Y57+'держ.бюджет'!Y57+'місц.-районн.бюджет'!Y57+обласний!Y57+інші!Y57</f>
        <v>27.400000000000002</v>
      </c>
      <c r="Z57" s="63">
        <f>'насел.'!Z57+пільги!Z57+субсидії!Z57+'держ.бюджет'!Z57+'місц.-районн.бюджет'!Z57+обласний!Z57+інші!Z57</f>
        <v>5829.599999999999</v>
      </c>
      <c r="AA57" s="62">
        <f t="shared" si="60"/>
        <v>21275.91240875912</v>
      </c>
      <c r="AB57" s="63">
        <f>'насел.'!AB57+пільги!AB57+субсидії!AB57+'держ.бюджет'!AB57+'місц.-районн.бюджет'!AB57+обласний!AB57+інші!AB57</f>
        <v>0</v>
      </c>
      <c r="AC57" s="63">
        <f>'насел.'!AC57+пільги!AC57+субсидії!AC57+'держ.бюджет'!AC57+'місц.-районн.бюджет'!AC57+обласний!AC57+інші!AC57</f>
        <v>0</v>
      </c>
      <c r="AD57" s="62" t="e">
        <f t="shared" si="61"/>
        <v>#DIV/0!</v>
      </c>
      <c r="AE57" s="63">
        <f>'насел.'!AE57+пільги!AE57+субсидії!AE57+'держ.бюджет'!AE57+'місц.-районн.бюджет'!AE57+обласний!AE57+інші!AE57</f>
        <v>0</v>
      </c>
      <c r="AF57" s="63">
        <f>'насел.'!AF57+пільги!AF57+субсидії!AF57+'держ.бюджет'!AF57+'місц.-районн.бюджет'!AF57+обласний!AF57+інші!AF57</f>
        <v>0</v>
      </c>
      <c r="AG57" s="62" t="e">
        <f t="shared" si="62"/>
        <v>#DIV/0!</v>
      </c>
      <c r="AH57" s="63">
        <f>'насел.'!AH57+пільги!AH57+субсидії!AH57+'держ.бюджет'!AH57+'місц.-районн.бюджет'!AH57+обласний!AH57+інші!AH57</f>
        <v>0</v>
      </c>
      <c r="AI57" s="63">
        <f>'насел.'!AI57+пільги!AI57+субсидії!AI57+'держ.бюджет'!AI57+'місц.-районн.бюджет'!AI57+обласний!AI57+інші!AI57</f>
        <v>0</v>
      </c>
      <c r="AJ57" s="62" t="e">
        <f t="shared" si="63"/>
        <v>#DIV/0!</v>
      </c>
      <c r="AK57" s="79">
        <f>'насел.'!AK57+пільги!AR57+субсидії!AK57+'держ.бюджет'!AK57+'місц.-районн.бюджет'!AK57+обласний!AK57+інші!AK57</f>
        <v>0</v>
      </c>
      <c r="AL57" s="63">
        <f>'насел.'!AL57+пільги!AK57+субсидії!AL57+'держ.бюджет'!AL57+'місц.-районн.бюджет'!AL57+обласний!AL57+інші!AL57</f>
        <v>0</v>
      </c>
      <c r="AM57" s="63" t="e">
        <f t="shared" si="64"/>
        <v>#DIV/0!</v>
      </c>
      <c r="AN57" s="79">
        <f>'насел.'!AN57+пільги!AN57+субсидії!AN57+'держ.бюджет'!AN57+'місц.-районн.бюджет'!AN57+обласний!AN57+інші!AN57</f>
        <v>0</v>
      </c>
      <c r="AO57" s="63">
        <f>'насел.'!AO57+пільги!AN57+субсидії!AO57+'держ.бюджет'!AO57+'місц.-районн.бюджет'!AO57+обласний!AO57+інші!AO57</f>
        <v>0</v>
      </c>
      <c r="AP57" s="63">
        <f>'насел.'!AP57+пільги!AO57+субсидії!AP57+'держ.бюджет'!AP57+'місц.-районн.бюджет'!AP57+обласний!AP57+інші!AP57</f>
        <v>0</v>
      </c>
      <c r="AQ57" s="63">
        <f>'насел.'!AQ57+пільги!AP57+субсидії!AQ57+'держ.бюджет'!AQ57+'місц.-районн.бюджет'!AQ57+обласний!AQ57+інші!AQ57</f>
        <v>0</v>
      </c>
      <c r="AR57" s="63">
        <f>'насел.'!AR57+пільги!AQ57+субсидії!AR57+'держ.бюджет'!AR57+'місц.-районн.бюджет'!AR57+обласний!AR57+інші!AR57</f>
        <v>0</v>
      </c>
      <c r="AS57" s="63">
        <f>'насел.'!AS57+пільги!AR57+субсидії!AS57+'держ.бюджет'!AS57+'місц.-районн.бюджет'!AS57+обласний!AS57+інші!AS57</f>
        <v>0</v>
      </c>
      <c r="AT57" s="63">
        <f>'насел.'!AT57+пільги!AT57+субсидії!AT57+'держ.бюджет'!AT57+'місц.-районн.бюджет'!AT57+обласний!AT57+інші!AT57</f>
        <v>17111.899999999998</v>
      </c>
      <c r="AU57" s="63">
        <f>'насел.'!AU57+пільги!AU57+субсидії!AU57+'держ.бюджет'!AU57+'місц.-районн.бюджет'!AU57+обласний!AU57+інші!AU57</f>
        <v>18588.1</v>
      </c>
      <c r="AV57" s="62">
        <f t="shared" si="65"/>
        <v>108.62674513058164</v>
      </c>
      <c r="AW57" s="63">
        <f t="shared" si="13"/>
        <v>-1476.2000000000007</v>
      </c>
      <c r="AX57" s="66">
        <f>'насел.'!AX57+пільги!AX57+субсидії!AX57+'держ.бюджет'!AX57+'місц.-районн.бюджет'!AX57+обласний!AX57+інші!AX57</f>
        <v>9849.699999999999</v>
      </c>
      <c r="AY57" s="144"/>
      <c r="AZ57" s="144"/>
      <c r="BA57" s="144"/>
      <c r="BB57" s="144"/>
    </row>
    <row r="58" spans="1:54" ht="34.5" customHeight="1" hidden="1">
      <c r="A58" s="10" t="s">
        <v>9</v>
      </c>
      <c r="B58" s="110" t="s">
        <v>118</v>
      </c>
      <c r="C58" s="63">
        <f>'насел.'!C58+пільги!C58+субсидії!C58+'держ.бюджет'!C58+'місц.-районн.бюджет'!C58+обласний!C58+інші!C58</f>
        <v>0</v>
      </c>
      <c r="D58" s="63">
        <f>'насел.'!D58+пільги!D58+субсидії!D58+'держ.бюджет'!D58+'місц.-районн.бюджет'!D58+обласний!D58+інші!D58</f>
        <v>0</v>
      </c>
      <c r="E58" s="63">
        <f>'насел.'!E58+пільги!E58+субсидії!E58+'держ.бюджет'!E58+'місц.-районн.бюджет'!E58+обласний!E58+інші!E58</f>
        <v>0</v>
      </c>
      <c r="F58" s="62" t="e">
        <f t="shared" si="53"/>
        <v>#DIV/0!</v>
      </c>
      <c r="G58" s="63">
        <f>'насел.'!G58+пільги!G58+субсидії!G58+'держ.бюджет'!G58+'місц.-районн.бюджет'!G58+обласний!G58+інші!G58</f>
        <v>0</v>
      </c>
      <c r="H58" s="63">
        <f>'насел.'!H58+пільги!H58+субсидії!H58+'держ.бюджет'!H58+'місц.-районн.бюджет'!H58+обласний!H58+інші!H58</f>
        <v>0</v>
      </c>
      <c r="I58" s="62" t="e">
        <f t="shared" si="54"/>
        <v>#DIV/0!</v>
      </c>
      <c r="J58" s="63">
        <f>'насел.'!J58+пільги!J58+субсидії!J58+'держ.бюджет'!J58+'місц.-районн.бюджет'!J58+обласний!J58+інші!J58</f>
        <v>0</v>
      </c>
      <c r="K58" s="63">
        <f>'насел.'!K58+пільги!K58+субсидії!K58+'держ.бюджет'!K58+'місц.-районн.бюджет'!K58+обласний!K58+інші!K58</f>
        <v>0</v>
      </c>
      <c r="L58" s="62" t="e">
        <f t="shared" si="55"/>
        <v>#DIV/0!</v>
      </c>
      <c r="M58" s="62">
        <f>'насел.'!M58+пільги!M58+субсидії!M58+'держ.бюджет'!M58+'місц.-районн.бюджет'!M58+обласний!M58+інші!M58</f>
        <v>0</v>
      </c>
      <c r="N58" s="62">
        <f>'насел.'!N58+пільги!N58+субсидії!N58+'держ.бюджет'!N58+'місц.-районн.бюджет'!N58+обласний!N58+інші!N58</f>
        <v>0</v>
      </c>
      <c r="O58" s="62" t="e">
        <f t="shared" si="56"/>
        <v>#DIV/0!</v>
      </c>
      <c r="P58" s="63">
        <f>'насел.'!P58+пільги!P58+субсидії!P58+'держ.бюджет'!P58+'місц.-районн.бюджет'!P58+обласний!P58+інші!P58</f>
        <v>0</v>
      </c>
      <c r="Q58" s="63">
        <f>'насел.'!Q58+пільги!Q58+субсидії!Q58+'держ.бюджет'!Q58+'місц.-районн.бюджет'!Q58+обласний!Q58+інші!Q58</f>
        <v>0</v>
      </c>
      <c r="R58" s="63" t="e">
        <f t="shared" si="57"/>
        <v>#DIV/0!</v>
      </c>
      <c r="S58" s="63">
        <f>'насел.'!S58+пільги!S58+субсидії!S58+'держ.бюджет'!S58+'місц.-районн.бюджет'!S58+обласний!S58+інші!S58</f>
        <v>0</v>
      </c>
      <c r="T58" s="63">
        <f>'насел.'!T58+пільги!T58+субсидії!T58+'держ.бюджет'!T58+'місц.-районн.бюджет'!T58+обласний!T58+інші!T58</f>
        <v>0</v>
      </c>
      <c r="U58" s="62" t="e">
        <f t="shared" si="58"/>
        <v>#DIV/0!</v>
      </c>
      <c r="V58" s="63">
        <f>'насел.'!V58+пільги!V58+субсидії!V58+'держ.бюджет'!V58+'місц.-районн.бюджет'!V58+обласний!V58+інші!V58</f>
        <v>0</v>
      </c>
      <c r="W58" s="63">
        <f>'насел.'!W58+пільги!W58+субсидії!W58+'держ.бюджет'!W58+'місц.-районн.бюджет'!W58+обласний!W58+інші!W58</f>
        <v>0</v>
      </c>
      <c r="X58" s="62" t="e">
        <f t="shared" si="59"/>
        <v>#DIV/0!</v>
      </c>
      <c r="Y58" s="63">
        <f>'насел.'!Y58+пільги!Y58+субсидії!Y58+'держ.бюджет'!Y58+'місц.-районн.бюджет'!Y58+обласний!Y58+інші!Y58</f>
        <v>0</v>
      </c>
      <c r="Z58" s="63">
        <f>'насел.'!Z58+пільги!Z58+субсидії!Z58+'держ.бюджет'!Z58+'місц.-районн.бюджет'!Z58+обласний!Z58+інші!Z58</f>
        <v>0</v>
      </c>
      <c r="AA58" s="62" t="e">
        <f t="shared" si="60"/>
        <v>#DIV/0!</v>
      </c>
      <c r="AB58" s="63">
        <f>'насел.'!AB58+пільги!AB58+субсидії!AB58+'держ.бюджет'!AB58+'місц.-районн.бюджет'!AB58+обласний!AB58+інші!AB58</f>
        <v>0</v>
      </c>
      <c r="AC58" s="63">
        <f>'насел.'!AC58+пільги!AC58+субсидії!AC58+'держ.бюджет'!AC58+'місц.-районн.бюджет'!AC58+обласний!AC58+інші!AC58</f>
        <v>0</v>
      </c>
      <c r="AD58" s="62" t="e">
        <f t="shared" si="61"/>
        <v>#DIV/0!</v>
      </c>
      <c r="AE58" s="63">
        <f>'насел.'!AE58+пільги!AE58+субсидії!AE58+'держ.бюджет'!AE58+'місц.-районн.бюджет'!AE58+обласний!AE58+інші!AE58</f>
        <v>0</v>
      </c>
      <c r="AF58" s="63">
        <f>'насел.'!AF58+пільги!AF58+субсидії!AF58+'держ.бюджет'!AF58+'місц.-районн.бюджет'!AF58+обласний!AF58+інші!AF58</f>
        <v>0</v>
      </c>
      <c r="AG58" s="62" t="e">
        <f t="shared" si="62"/>
        <v>#DIV/0!</v>
      </c>
      <c r="AH58" s="63">
        <f>'насел.'!AH58+пільги!AH58+субсидії!AH58+'держ.бюджет'!AH58+'місц.-районн.бюджет'!AH58+обласний!AH58+інші!AH58</f>
        <v>0</v>
      </c>
      <c r="AI58" s="63">
        <f>'насел.'!AI58+пільги!AI58+субсидії!AI58+'держ.бюджет'!AI58+'місц.-районн.бюджет'!AI58+обласний!AI58+інші!AI58</f>
        <v>0</v>
      </c>
      <c r="AJ58" s="62" t="e">
        <f t="shared" si="63"/>
        <v>#DIV/0!</v>
      </c>
      <c r="AK58" s="79">
        <f>'насел.'!AK58+пільги!AR58+субсидії!AK58+'держ.бюджет'!AK58+'місц.-районн.бюджет'!AK58+обласний!AK58+інші!AK58</f>
        <v>0</v>
      </c>
      <c r="AL58" s="63">
        <f>'насел.'!AL58+пільги!AK58+субсидії!AL58+'держ.бюджет'!AL58+'місц.-районн.бюджет'!AL58+обласний!AL58+інші!AL58</f>
        <v>0</v>
      </c>
      <c r="AM58" s="63" t="e">
        <f t="shared" si="64"/>
        <v>#DIV/0!</v>
      </c>
      <c r="AN58" s="79">
        <f>'насел.'!AN58+пільги!AN58+субсидії!AN58+'держ.бюджет'!AN58+'місц.-районн.бюджет'!AN58+обласний!AN58+інші!AN58</f>
        <v>0</v>
      </c>
      <c r="AO58" s="63">
        <f>'насел.'!AO58+пільги!AN58+субсидії!AO58+'держ.бюджет'!AO58+'місц.-районн.бюджет'!AO58+обласний!AO58+інші!AO58</f>
        <v>0</v>
      </c>
      <c r="AP58" s="63">
        <f>'насел.'!AP58+пільги!AO58+субсидії!AP58+'держ.бюджет'!AP58+'місц.-районн.бюджет'!AP58+обласний!AP58+інші!AP58</f>
        <v>0</v>
      </c>
      <c r="AQ58" s="63">
        <f>'насел.'!AQ58+пільги!AP58+субсидії!AQ58+'держ.бюджет'!AQ58+'місц.-районн.бюджет'!AQ58+обласний!AQ58+інші!AQ58</f>
        <v>0</v>
      </c>
      <c r="AR58" s="63">
        <f>'насел.'!AR58+пільги!AQ58+субсидії!AR58+'держ.бюджет'!AR58+'місц.-районн.бюджет'!AR58+обласний!AR58+інші!AR58</f>
        <v>0</v>
      </c>
      <c r="AS58" s="63">
        <f>'насел.'!AS58+пільги!AR58+субсидії!AS58+'держ.бюджет'!AS58+'місц.-районн.бюджет'!AS58+обласний!AS58+інші!AS58</f>
        <v>0</v>
      </c>
      <c r="AT58" s="63">
        <f>'насел.'!AT58+пільги!AT58+субсидії!AT58+'держ.бюджет'!AT58+'місц.-районн.бюджет'!AT58+обласний!AT58+інші!AT58</f>
        <v>0</v>
      </c>
      <c r="AU58" s="63">
        <f>'насел.'!AU58+пільги!AU58+субсидії!AU58+'держ.бюджет'!AU58+'місц.-районн.бюджет'!AU58+обласний!AU58+інші!AU58</f>
        <v>0</v>
      </c>
      <c r="AV58" s="62" t="e">
        <f t="shared" si="65"/>
        <v>#DIV/0!</v>
      </c>
      <c r="AW58" s="63">
        <f t="shared" si="13"/>
        <v>0</v>
      </c>
      <c r="AX58" s="66">
        <f>'насел.'!AX58+пільги!AX58+субсидії!AX58+'держ.бюджет'!AX58+'місц.-районн.бюджет'!AX58+обласний!AX58+інші!AX58</f>
        <v>0</v>
      </c>
      <c r="AY58" s="144"/>
      <c r="AZ58" s="144"/>
      <c r="BA58" s="144"/>
      <c r="BB58" s="144"/>
    </row>
    <row r="59" spans="1:54" ht="34.5" customHeight="1" hidden="1">
      <c r="A59" s="10" t="s">
        <v>9</v>
      </c>
      <c r="B59" s="110" t="s">
        <v>119</v>
      </c>
      <c r="C59" s="63">
        <f>'насел.'!C58+пільги!C58+субсидії!C58+'держ.бюджет'!C58+'місц.-районн.бюджет'!C58+обласний!C58+інші!C58</f>
        <v>0</v>
      </c>
      <c r="D59" s="63">
        <f>'насел.'!D58+пільги!D58+субсидії!D58+'держ.бюджет'!D58+'місц.-районн.бюджет'!D58+обласний!D58+інші!D58</f>
        <v>0</v>
      </c>
      <c r="E59" s="63">
        <f>'насел.'!E58+пільги!E58+субсидії!E58+'держ.бюджет'!E58+'місц.-районн.бюджет'!E58+обласний!E58+інші!E58</f>
        <v>0</v>
      </c>
      <c r="F59" s="62" t="e">
        <f>E59/D59*100</f>
        <v>#DIV/0!</v>
      </c>
      <c r="G59" s="63">
        <f>'насел.'!G58+пільги!G58+субсидії!G58+'держ.бюджет'!G58+'місц.-районн.бюджет'!G58+обласний!G58+інші!G58</f>
        <v>0</v>
      </c>
      <c r="H59" s="63">
        <f>'насел.'!H58+пільги!H58+субсидії!H58+'держ.бюджет'!H58+'місц.-районн.бюджет'!H58+обласний!H58+інші!H58</f>
        <v>0</v>
      </c>
      <c r="I59" s="62" t="e">
        <f>H59/G59*100</f>
        <v>#DIV/0!</v>
      </c>
      <c r="J59" s="63">
        <f>'насел.'!J58+пільги!J58+субсидії!J58+'держ.бюджет'!J58+'місц.-районн.бюджет'!J58+обласний!J58+інші!J58</f>
        <v>0</v>
      </c>
      <c r="K59" s="63">
        <f>'насел.'!K58+пільги!K58+субсидії!K58+'держ.бюджет'!K58+'місц.-районн.бюджет'!K58+обласний!K58+інші!K58</f>
        <v>0</v>
      </c>
      <c r="L59" s="62" t="e">
        <f>K59/J59*100</f>
        <v>#DIV/0!</v>
      </c>
      <c r="M59" s="62">
        <f>'насел.'!M58+пільги!M58+субсидії!M58+'держ.бюджет'!M58+'місц.-районн.бюджет'!M58+обласний!M58+інші!M58</f>
        <v>0</v>
      </c>
      <c r="N59" s="62">
        <f>'насел.'!N58+пільги!N58+субсидії!N58+'держ.бюджет'!N58+'місц.-районн.бюджет'!N58+обласний!N58+інші!N58</f>
        <v>0</v>
      </c>
      <c r="O59" s="62" t="e">
        <f>N59/M59*100</f>
        <v>#DIV/0!</v>
      </c>
      <c r="P59" s="63">
        <f>'насел.'!P58+пільги!P58+субсидії!P58+'держ.бюджет'!P58+'місц.-районн.бюджет'!P58+обласний!P58+інші!P58</f>
        <v>0</v>
      </c>
      <c r="Q59" s="63">
        <f>'насел.'!Q58+пільги!Q58+субсидії!Q58+'держ.бюджет'!Q58+'місц.-районн.бюджет'!Q58+обласний!Q58+інші!Q58</f>
        <v>0</v>
      </c>
      <c r="R59" s="63" t="e">
        <f>Q59/P59*100</f>
        <v>#DIV/0!</v>
      </c>
      <c r="S59" s="63">
        <f>'насел.'!S58+пільги!S58+субсидії!S58+'держ.бюджет'!S58+'місц.-районн.бюджет'!S58+обласний!S58+інші!S58</f>
        <v>0</v>
      </c>
      <c r="T59" s="63">
        <f>'насел.'!T58+пільги!T58+субсидії!T58+'держ.бюджет'!T58+'місц.-районн.бюджет'!T58+обласний!T58+інші!T58</f>
        <v>0</v>
      </c>
      <c r="U59" s="62" t="e">
        <f>T59/S59*100</f>
        <v>#DIV/0!</v>
      </c>
      <c r="V59" s="63">
        <f>'насел.'!V58+пільги!V58+субсидії!V58+'держ.бюджет'!V58+'місц.-районн.бюджет'!V58+обласний!V58+інші!V58</f>
        <v>0</v>
      </c>
      <c r="W59" s="63">
        <f>'насел.'!W58+пільги!W58+субсидії!W58+'держ.бюджет'!W58+'місц.-районн.бюджет'!W58+обласний!W58+інші!W58</f>
        <v>0</v>
      </c>
      <c r="X59" s="62" t="e">
        <f>W59/V59*100</f>
        <v>#DIV/0!</v>
      </c>
      <c r="Y59" s="63">
        <f>'насел.'!Y58+пільги!Y58+субсидії!Y58+'держ.бюджет'!Y58+'місц.-районн.бюджет'!Y58+обласний!Y58+інші!Y58</f>
        <v>0</v>
      </c>
      <c r="Z59" s="63">
        <f>'насел.'!Z58+пільги!Z58+субсидії!Z58+'держ.бюджет'!Z58+'місц.-районн.бюджет'!Z58+обласний!Z58+інші!Z58</f>
        <v>0</v>
      </c>
      <c r="AA59" s="62" t="e">
        <f>Z59/Y59*100</f>
        <v>#DIV/0!</v>
      </c>
      <c r="AB59" s="63">
        <f>'насел.'!AB58+пільги!AB58+субсидії!AB58+'держ.бюджет'!AB58+'місц.-районн.бюджет'!AB58+обласний!AB58+інші!AB58</f>
        <v>0</v>
      </c>
      <c r="AC59" s="63">
        <f>'насел.'!AC58+пільги!AC58+субсидії!AC58+'держ.бюджет'!AC58+'місц.-районн.бюджет'!AC58+обласний!AC58+інші!AC58</f>
        <v>0</v>
      </c>
      <c r="AD59" s="62" t="e">
        <f>AC59/AB59*100</f>
        <v>#DIV/0!</v>
      </c>
      <c r="AE59" s="63">
        <f>'насел.'!AE58+пільги!AE58+субсидії!AE58+'держ.бюджет'!AE58+'місц.-районн.бюджет'!AE58+обласний!AE58+інші!AE58</f>
        <v>0</v>
      </c>
      <c r="AF59" s="63">
        <f>'насел.'!AF58+пільги!AF58+субсидії!AF58+'держ.бюджет'!AF58+'місц.-районн.бюджет'!AF58+обласний!AF58+інші!AF58</f>
        <v>0</v>
      </c>
      <c r="AG59" s="62" t="e">
        <f>AF59/AE59*100</f>
        <v>#DIV/0!</v>
      </c>
      <c r="AH59" s="63">
        <f>'насел.'!AH58+пільги!AH58+субсидії!AH58+'держ.бюджет'!AH58+'місц.-районн.бюджет'!AH58+обласний!AH58+інші!AH58</f>
        <v>0</v>
      </c>
      <c r="AI59" s="63">
        <f>'насел.'!AI58+пільги!AI58+субсидії!AI58+'держ.бюджет'!AI58+'місц.-районн.бюджет'!AI58+обласний!AI58+інші!AI58</f>
        <v>0</v>
      </c>
      <c r="AJ59" s="62" t="e">
        <f>AI59/AH59*100</f>
        <v>#DIV/0!</v>
      </c>
      <c r="AK59" s="79">
        <f>'насел.'!AK59+пільги!AR59+субсидії!AK59+'держ.бюджет'!AK59+'місц.-районн.бюджет'!AK59+обласний!AK59+інші!AK59</f>
        <v>0</v>
      </c>
      <c r="AL59" s="63">
        <f>'насел.'!AL58+пільги!AK58+субсидії!AL58+'держ.бюджет'!AL58+'місц.-районн.бюджет'!AL58+обласний!AL58+інші!AL58</f>
        <v>0</v>
      </c>
      <c r="AM59" s="63" t="e">
        <f>AL59/AK59*100</f>
        <v>#DIV/0!</v>
      </c>
      <c r="AN59" s="79">
        <f>'насел.'!AN59+пільги!AN59+субсидії!AN59+'держ.бюджет'!AN59+'місц.-районн.бюджет'!AN59+обласний!AN59+інші!AN59</f>
        <v>0</v>
      </c>
      <c r="AO59" s="63">
        <f>'насел.'!AO58+пільги!AN58+субсидії!AO58+'держ.бюджет'!AO58+'місц.-районн.бюджет'!AO58+обласний!AO58+інші!AO58</f>
        <v>0</v>
      </c>
      <c r="AP59" s="63">
        <f>'насел.'!AP58+пільги!AO58+субсидії!AP58+'держ.бюджет'!AP58+'місц.-районн.бюджет'!AP58+обласний!AP58+інші!AP58</f>
        <v>0</v>
      </c>
      <c r="AQ59" s="63">
        <f>'насел.'!AQ58+пільги!AP58+субсидії!AQ58+'держ.бюджет'!AQ58+'місц.-районн.бюджет'!AQ58+обласний!AQ58+інші!AQ58</f>
        <v>0</v>
      </c>
      <c r="AR59" s="63">
        <f>'насел.'!AR58+пільги!AQ58+субсидії!AR58+'держ.бюджет'!AR58+'місц.-районн.бюджет'!AR58+обласний!AR58+інші!AR58</f>
        <v>0</v>
      </c>
      <c r="AS59" s="63">
        <f>'насел.'!AS58+пільги!AR58+субсидії!AS58+'держ.бюджет'!AS58+'місц.-районн.бюджет'!AS58+обласний!AS58+інші!AS58</f>
        <v>0</v>
      </c>
      <c r="AT59" s="63">
        <f>'насел.'!AT59+пільги!AT59+субсидії!AT59+'держ.бюджет'!AT59+'місц.-районн.бюджет'!AT59+обласний!AT59+інші!AT59</f>
        <v>0</v>
      </c>
      <c r="AU59" s="63">
        <f>'насел.'!AU59+пільги!AU59+субсидії!AU59+'держ.бюджет'!AU59+'місц.-районн.бюджет'!AU59+обласний!AU59+інші!AU59</f>
        <v>0</v>
      </c>
      <c r="AV59" s="62" t="e">
        <f>AU59/AT59*100</f>
        <v>#DIV/0!</v>
      </c>
      <c r="AW59" s="63">
        <f>AT59-AU59</f>
        <v>0</v>
      </c>
      <c r="AX59" s="66">
        <f>'насел.'!AX59+пільги!AX59+субсидії!AX59+'держ.бюджет'!AX59+'місц.-районн.бюджет'!AX59+обласний!AX59+інші!AX59</f>
        <v>0</v>
      </c>
      <c r="AY59" s="144"/>
      <c r="AZ59" s="144"/>
      <c r="BA59" s="144"/>
      <c r="BB59" s="144"/>
    </row>
    <row r="60" spans="1:54" ht="34.5" customHeight="1">
      <c r="A60" s="10" t="s">
        <v>9</v>
      </c>
      <c r="B60" s="110" t="s">
        <v>137</v>
      </c>
      <c r="C60" s="63">
        <f>'насел.'!C60+пільги!C60+субсидії!C60+'держ.бюджет'!C60+'місц.-районн.бюджет'!C60+обласний!C60+інші!C60</f>
        <v>-417.5</v>
      </c>
      <c r="D60" s="63">
        <f>'насел.'!D60+пільги!D60+субсидії!D60+'держ.бюджет'!D60+'місц.-районн.бюджет'!D60+обласний!D60+інші!D60</f>
        <v>11251.7</v>
      </c>
      <c r="E60" s="63">
        <f>'насел.'!E60+пільги!E60+субсидії!E60+'держ.бюджет'!E60+'місц.-районн.бюджет'!E60+обласний!E60+інші!E60</f>
        <v>0</v>
      </c>
      <c r="F60" s="62">
        <f t="shared" si="53"/>
        <v>0</v>
      </c>
      <c r="G60" s="63">
        <f>'насел.'!G60+пільги!G60+субсидії!G60+'держ.бюджет'!G60+'місц.-районн.бюджет'!G60+обласний!G60+інші!G60</f>
        <v>10316.1</v>
      </c>
      <c r="H60" s="63">
        <f>'насел.'!H60+пільги!H60+субсидії!H60+'держ.бюджет'!H60+'місц.-районн.бюджет'!H60+обласний!H60+інші!H60</f>
        <v>5757.2</v>
      </c>
      <c r="I60" s="62">
        <f t="shared" si="54"/>
        <v>55.807911904692666</v>
      </c>
      <c r="J60" s="63">
        <f>'насел.'!J60+пільги!J60+субсидії!J60+'держ.бюджет'!J60+'місц.-районн.бюджет'!J60+обласний!J60+інші!J60</f>
        <v>8510.6</v>
      </c>
      <c r="K60" s="63">
        <f>'насел.'!K60+пільги!K60+субсидії!K60+'держ.бюджет'!K60+'місц.-районн.бюджет'!K60+обласний!K60+інші!K60</f>
        <v>13257.7</v>
      </c>
      <c r="L60" s="62">
        <f t="shared" si="55"/>
        <v>155.77867600404204</v>
      </c>
      <c r="M60" s="62">
        <f>'насел.'!M60+пільги!M60+субсидії!M60+'держ.бюджет'!M60+'місц.-районн.бюджет'!M60+обласний!M60+інші!M60</f>
        <v>30078.399999999998</v>
      </c>
      <c r="N60" s="62">
        <f>'насел.'!N60+пільги!N60+субсидії!N60+'держ.бюджет'!N60+'місц.-районн.бюджет'!N60+обласний!N60+інші!N60</f>
        <v>19014.9</v>
      </c>
      <c r="O60" s="62">
        <f t="shared" si="56"/>
        <v>63.2177908399383</v>
      </c>
      <c r="P60" s="63">
        <f>'насел.'!P60+пільги!P60+субсидії!P60+'держ.бюджет'!P60+'місц.-районн.бюджет'!P60+обласний!P60+інші!P60</f>
        <v>1371.7</v>
      </c>
      <c r="Q60" s="63">
        <f>'насел.'!Q60+пільги!Q60+субсидії!Q60+'держ.бюджет'!Q60+'місц.-районн.бюджет'!Q60+обласний!Q60+інші!Q60</f>
        <v>8372.1</v>
      </c>
      <c r="R60" s="63">
        <f t="shared" si="57"/>
        <v>610.344827586207</v>
      </c>
      <c r="S60" s="63">
        <f>'насел.'!S60+пільги!S60+субсидії!S60+'держ.бюджет'!S60+'місц.-районн.бюджет'!S60+обласний!S60+інші!S60</f>
        <v>47.1</v>
      </c>
      <c r="T60" s="63">
        <f>'насел.'!T60+пільги!T60+субсидії!T60+'держ.бюджет'!T60+'місц.-районн.бюджет'!T60+обласний!T60+інші!T60</f>
        <v>1505.4</v>
      </c>
      <c r="U60" s="62">
        <f t="shared" si="58"/>
        <v>3196.1783439490446</v>
      </c>
      <c r="V60" s="63">
        <f>'насел.'!V60+пільги!V60+субсидії!V60+'держ.бюджет'!V60+'місц.-районн.бюджет'!V60+обласний!V60+інші!V60</f>
        <v>0</v>
      </c>
      <c r="W60" s="63">
        <f>'насел.'!W60+пільги!W60+субсидії!W60+'держ.бюджет'!W60+'місц.-районн.бюджет'!W60+обласний!W60+інші!W60</f>
        <v>0</v>
      </c>
      <c r="X60" s="62" t="e">
        <f t="shared" si="59"/>
        <v>#DIV/0!</v>
      </c>
      <c r="Y60" s="63">
        <f>'насел.'!Y60+пільги!Y60+субсидії!Y60+'держ.бюджет'!Y60+'місц.-районн.бюджет'!Y60+обласний!Y60+інші!Y60</f>
        <v>1418.8</v>
      </c>
      <c r="Z60" s="63">
        <f>'насел.'!Z60+пільги!Z60+субсидії!Z60+'держ.бюджет'!Z60+'місц.-районн.бюджет'!Z60+обласний!Z60+інші!Z60</f>
        <v>9877.5</v>
      </c>
      <c r="AA60" s="62">
        <f t="shared" si="60"/>
        <v>696.1869185226954</v>
      </c>
      <c r="AB60" s="63">
        <f>'насел.'!AB60+пільги!AB60+субсидії!AB60+'держ.бюджет'!AB60+'місц.-районн.бюджет'!AB60+обласний!AB60+інші!AB60</f>
        <v>0</v>
      </c>
      <c r="AC60" s="63">
        <f>'насел.'!AC60+пільги!AC60+субсидії!AC60+'держ.бюджет'!AC60+'місц.-районн.бюджет'!AC60+обласний!AC60+інші!AC60</f>
        <v>0</v>
      </c>
      <c r="AD60" s="62" t="e">
        <f t="shared" si="61"/>
        <v>#DIV/0!</v>
      </c>
      <c r="AE60" s="63">
        <f>'насел.'!AE60+пільги!AE60+субсидії!AE60+'держ.бюджет'!AE60+'місц.-районн.бюджет'!AE60+обласний!AE60+інші!AE60</f>
        <v>0</v>
      </c>
      <c r="AF60" s="63">
        <f>'насел.'!AF60+пільги!AF60+субсидії!AF60+'держ.бюджет'!AF60+'місц.-районн.бюджет'!AF60+обласний!AF60+інші!AF60</f>
        <v>0</v>
      </c>
      <c r="AG60" s="62" t="e">
        <f t="shared" si="62"/>
        <v>#DIV/0!</v>
      </c>
      <c r="AH60" s="63">
        <f>'насел.'!AH60+пільги!AH60+субсидії!AH60+'держ.бюджет'!AH60+'місц.-районн.бюджет'!AH60+обласний!AH60+інші!AH60</f>
        <v>0</v>
      </c>
      <c r="AI60" s="63">
        <f>'насел.'!AI60+пільги!AI60+субсидії!AI60+'держ.бюджет'!AI60+'місц.-районн.бюджет'!AI60+обласний!AI60+інші!AI60</f>
        <v>0</v>
      </c>
      <c r="AJ60" s="62" t="e">
        <f t="shared" si="63"/>
        <v>#DIV/0!</v>
      </c>
      <c r="AK60" s="79">
        <f>'насел.'!AK60+пільги!AR60+субсидії!AK60+'держ.бюджет'!AK60+'місц.-районн.бюджет'!AK60+обласний!AK60+інші!AK60</f>
        <v>0</v>
      </c>
      <c r="AL60" s="63">
        <f>'насел.'!AL60+пільги!AK60+субсидії!AL60+'держ.бюджет'!AL60+'місц.-районн.бюджет'!AL60+обласний!AL60+інші!AL60</f>
        <v>0</v>
      </c>
      <c r="AM60" s="63" t="e">
        <f t="shared" si="64"/>
        <v>#DIV/0!</v>
      </c>
      <c r="AN60" s="79">
        <f>'насел.'!AN60+пільги!AN60+субсидії!AN60+'держ.бюджет'!AN60+'місц.-районн.бюджет'!AN60+обласний!AN60+інші!AN60</f>
        <v>0</v>
      </c>
      <c r="AO60" s="63">
        <f>'насел.'!AO60+пільги!AN60+субсидії!AO60+'держ.бюджет'!AO60+'місц.-районн.бюджет'!AO60+обласний!AO60+інші!AO60</f>
        <v>0</v>
      </c>
      <c r="AP60" s="63">
        <f>'насел.'!AP60+пільги!AO60+субсидії!AP60+'держ.бюджет'!AP60+'місц.-районн.бюджет'!AP60+обласний!AP60+інші!AP60</f>
        <v>0</v>
      </c>
      <c r="AQ60" s="63">
        <f>'насел.'!AQ60+пільги!AP60+субсидії!AQ60+'держ.бюджет'!AQ60+'місц.-районн.бюджет'!AQ60+обласний!AQ60+інші!AQ60</f>
        <v>0</v>
      </c>
      <c r="AR60" s="63">
        <f>'насел.'!AR60+пільги!AQ60+субсидії!AR60+'держ.бюджет'!AR60+'місц.-районн.бюджет'!AR60+обласний!AR60+інші!AR60</f>
        <v>0</v>
      </c>
      <c r="AS60" s="63">
        <f>'насел.'!AS60+пільги!AR60+субсидії!AS60+'держ.бюджет'!AS60+'місц.-районн.бюджет'!AS60+обласний!AS60+інші!AS60</f>
        <v>0</v>
      </c>
      <c r="AT60" s="79">
        <f>'насел.'!AT60+пільги!AT60+субсидії!AT60+'держ.бюджет'!AT60+'місц.-районн.бюджет'!AT60+обласний!AT60+інші!AT60</f>
        <v>31497.2</v>
      </c>
      <c r="AU60" s="79">
        <f>'насел.'!AU60+пільги!AU60+субсидії!AU60+'держ.бюджет'!AU60+'місц.-районн.бюджет'!AU60+обласний!AU60+інші!AU60</f>
        <v>28892.4</v>
      </c>
      <c r="AV60" s="62">
        <f t="shared" si="65"/>
        <v>91.73005854488653</v>
      </c>
      <c r="AW60" s="63">
        <f t="shared" si="13"/>
        <v>2604.7999999999993</v>
      </c>
      <c r="AX60" s="66">
        <f>'насел.'!AX60+пільги!AX60+субсидії!AX60+'держ.бюджет'!AX60+'місц.-районн.бюджет'!AX60+обласний!AX60+інші!AX60</f>
        <v>2187.299999999999</v>
      </c>
      <c r="AY60" s="144"/>
      <c r="AZ60" s="144"/>
      <c r="BA60" s="144"/>
      <c r="BB60" s="144"/>
    </row>
    <row r="61" spans="1:54" s="9" customFormat="1" ht="34.5" customHeight="1">
      <c r="A61" s="8" t="s">
        <v>26</v>
      </c>
      <c r="B61" s="156" t="s">
        <v>41</v>
      </c>
      <c r="C61" s="79">
        <f>'насел.'!C61+пільги!C61+субсидії!C61+'держ.бюджет'!C61+'місц.-районн.бюджет'!C61+обласний!C61+інші!C61</f>
        <v>79370.6</v>
      </c>
      <c r="D61" s="79">
        <f>'насел.'!D61+пільги!D61+субсидії!D61+'держ.бюджет'!D61+'місц.-районн.бюджет'!D61+обласний!D61+інші!D61</f>
        <v>49470.69999999999</v>
      </c>
      <c r="E61" s="79">
        <f>'насел.'!E61+пільги!E61+субсидії!E61+'держ.бюджет'!E61+'місц.-районн.бюджет'!E61+обласний!E61+інші!E61</f>
        <v>28332</v>
      </c>
      <c r="F61" s="58">
        <f t="shared" si="53"/>
        <v>57.27026300416207</v>
      </c>
      <c r="G61" s="79">
        <f>'насел.'!G61+пільги!G61+субсидії!G61+'держ.бюджет'!G61+'місц.-районн.бюджет'!G61+обласний!G61+інші!G61</f>
        <v>50848.799999999996</v>
      </c>
      <c r="H61" s="79">
        <f>'насел.'!H61+пільги!H61+субсидії!H61+'держ.бюджет'!H61+'місц.-районн.бюджет'!H61+обласний!H61+інші!H61</f>
        <v>40295.19999999999</v>
      </c>
      <c r="I61" s="58">
        <f t="shared" si="54"/>
        <v>79.24513459511334</v>
      </c>
      <c r="J61" s="79">
        <f>'насел.'!J61+пільги!J61+субсидії!J61+'держ.бюджет'!J61+'місц.-районн.бюджет'!J61+обласний!J61+інші!J61</f>
        <v>45356.8</v>
      </c>
      <c r="K61" s="79">
        <f>'насел.'!K61+пільги!K61+субсидії!K61+'держ.бюджет'!K61+'місц.-районн.бюджет'!K61+обласний!K61+інші!K61</f>
        <v>45161.9</v>
      </c>
      <c r="L61" s="58">
        <f t="shared" si="55"/>
        <v>99.57029596444194</v>
      </c>
      <c r="M61" s="58">
        <f>'насел.'!M61+пільги!M61+субсидії!M61+'держ.бюджет'!M61+'місц.-районн.бюджет'!M61+обласний!M61+інші!M61</f>
        <v>145676.3</v>
      </c>
      <c r="N61" s="58">
        <f>'насел.'!N61+пільги!N61+субсидії!N61+'держ.бюджет'!N61+'місц.-районн.бюджет'!N61+обласний!N61+інші!N61</f>
        <v>113789.1</v>
      </c>
      <c r="O61" s="58">
        <f t="shared" si="56"/>
        <v>78.11092126859346</v>
      </c>
      <c r="P61" s="79">
        <f>'насел.'!P61+пільги!P61+субсидії!P61+'держ.бюджет'!P61+'місц.-районн.бюджет'!P61+обласний!P61+інші!P61</f>
        <v>14485.600000000002</v>
      </c>
      <c r="Q61" s="79">
        <f>'насел.'!Q61+пільги!Q61+субсидії!Q61+'держ.бюджет'!Q61+'місц.-районн.бюджет'!Q61+обласний!Q61+інші!Q61</f>
        <v>42207</v>
      </c>
      <c r="R61" s="79">
        <f t="shared" si="57"/>
        <v>291.37212127906326</v>
      </c>
      <c r="S61" s="79">
        <f>'насел.'!S61+пільги!S61+субсидії!S61+'держ.бюджет'!S61+'місц.-районн.бюджет'!S61+обласний!S61+інші!S61</f>
        <v>2145</v>
      </c>
      <c r="T61" s="79">
        <f>'насел.'!T61+пільги!T61+субсидії!T61+'держ.бюджет'!T61+'місц.-районн.бюджет'!T61+обласний!T61+інші!T61</f>
        <v>14454.1</v>
      </c>
      <c r="U61" s="58">
        <f t="shared" si="58"/>
        <v>673.8508158508159</v>
      </c>
      <c r="V61" s="79">
        <f>'насел.'!V61+пільги!V61+субсидії!V61+'держ.бюджет'!V61+'місц.-районн.бюджет'!V61+обласний!V61+інші!V61</f>
        <v>1928.3999999999999</v>
      </c>
      <c r="W61" s="79">
        <f>'насел.'!W61+пільги!W61+субсидії!W61+'держ.бюджет'!W61+'місц.-районн.бюджет'!W61+обласний!W61+інші!W61</f>
        <v>7127.1</v>
      </c>
      <c r="X61" s="58">
        <f t="shared" si="59"/>
        <v>369.5861854387057</v>
      </c>
      <c r="Y61" s="79">
        <f>'насел.'!Y61+пільги!Y61+субсидії!Y61+'держ.бюджет'!Y61+'місц.-районн.бюджет'!Y61+обласний!Y61+інші!Y61</f>
        <v>18559</v>
      </c>
      <c r="Z61" s="79">
        <f>'насел.'!Z61+пільги!Z61+субсидії!Z61+'держ.бюджет'!Z61+'місц.-районн.бюджет'!Z61+обласний!Z61+інші!Z61</f>
        <v>63788.200000000004</v>
      </c>
      <c r="AA61" s="58">
        <f t="shared" si="60"/>
        <v>343.70494099897627</v>
      </c>
      <c r="AB61" s="79">
        <f>'насел.'!AB61+пільги!AB61+субсидії!AB61+'держ.бюджет'!AB61+'місц.-районн.бюджет'!AB61+обласний!AB61+інші!AB61</f>
        <v>0</v>
      </c>
      <c r="AC61" s="79">
        <f>'насел.'!AC61+пільги!AC61+субсидії!AC61+'держ.бюджет'!AC61+'місц.-районн.бюджет'!AC61+обласний!AC61+інші!AC61</f>
        <v>0</v>
      </c>
      <c r="AD61" s="58" t="e">
        <f t="shared" si="61"/>
        <v>#DIV/0!</v>
      </c>
      <c r="AE61" s="79">
        <f>'насел.'!AE61+пільги!AE61+субсидії!AE61+'держ.бюджет'!AE61+'місц.-районн.бюджет'!AE61+обласний!AE61+інші!AE61</f>
        <v>0</v>
      </c>
      <c r="AF61" s="79">
        <f>'насел.'!AF61+пільги!AF61+субсидії!AF61+'держ.бюджет'!AF61+'місц.-районн.бюджет'!AF61+обласний!AF61+інші!AF61</f>
        <v>0</v>
      </c>
      <c r="AG61" s="58" t="e">
        <f t="shared" si="62"/>
        <v>#DIV/0!</v>
      </c>
      <c r="AH61" s="79">
        <f>'насел.'!AH61+пільги!AH61+субсидії!AH61+'держ.бюджет'!AH61+'місц.-районн.бюджет'!AH61+обласний!AH61+інші!AH61</f>
        <v>0</v>
      </c>
      <c r="AI61" s="79">
        <f>'насел.'!AI61+пільги!AI61+субсидії!AI61+'держ.бюджет'!AI61+'місц.-районн.бюджет'!AI61+обласний!AI61+інші!AI61</f>
        <v>0</v>
      </c>
      <c r="AJ61" s="58" t="e">
        <f t="shared" si="63"/>
        <v>#DIV/0!</v>
      </c>
      <c r="AK61" s="79">
        <f>'насел.'!AK61+пільги!AR61+субсидії!AK61+'держ.бюджет'!AK61+'місц.-районн.бюджет'!AK61+обласний!AK61+інші!AK61</f>
        <v>0</v>
      </c>
      <c r="AL61" s="79">
        <f>'насел.'!AL61+пільги!AK61+субсидії!AL61+'держ.бюджет'!AL61+'місц.-районн.бюджет'!AL61+обласний!AL61+інші!AL61</f>
        <v>0</v>
      </c>
      <c r="AM61" s="79" t="e">
        <f t="shared" si="64"/>
        <v>#DIV/0!</v>
      </c>
      <c r="AN61" s="79">
        <f>'насел.'!AN61+пільги!AN61+субсидії!AN61+'держ.бюджет'!AN61+'місц.-районн.бюджет'!AN61+обласний!AN61+інші!AN61</f>
        <v>0</v>
      </c>
      <c r="AO61" s="79">
        <f>'насел.'!AO61+пільги!AN61+субсидії!AO61+'держ.бюджет'!AO61+'місц.-районн.бюджет'!AO61+обласний!AO61+інші!AO61</f>
        <v>0</v>
      </c>
      <c r="AP61" s="79">
        <f>'насел.'!AP61+пільги!AO61+субсидії!AP61+'держ.бюджет'!AP61+'місц.-районн.бюджет'!AP61+обласний!AP61+інші!AP61</f>
        <v>0</v>
      </c>
      <c r="AQ61" s="79">
        <f>'насел.'!AQ61+пільги!AP61+субсидії!AQ61+'держ.бюджет'!AQ61+'місц.-районн.бюджет'!AQ61+обласний!AQ61+інші!AQ61</f>
        <v>0</v>
      </c>
      <c r="AR61" s="79">
        <f>'насел.'!AR61+пільги!AQ61+субсидії!AR61+'держ.бюджет'!AR61+'місц.-районн.бюджет'!AR61+обласний!AR61+інші!AR61</f>
        <v>0</v>
      </c>
      <c r="AS61" s="79">
        <f>'насел.'!AS61+пільги!AR61+субсидії!AS61+'держ.бюджет'!AS61+'місц.-районн.бюджет'!AS61+обласний!AS61+інші!AS61</f>
        <v>0</v>
      </c>
      <c r="AT61" s="79">
        <f>'насел.'!AT61+пільги!AT61+субсидії!AT61+'держ.бюджет'!AT61+'місц.-районн.бюджет'!AT61+обласний!AT61+інші!AT61</f>
        <v>164235.3</v>
      </c>
      <c r="AU61" s="79">
        <f>'насел.'!AU61+пільги!AU61+субсидії!AU61+'держ.бюджет'!AU61+'місц.-районн.бюджет'!AU61+обласний!AU61+інші!AU61</f>
        <v>177577.3</v>
      </c>
      <c r="AV61" s="58">
        <f t="shared" si="65"/>
        <v>108.12371031075536</v>
      </c>
      <c r="AW61" s="79">
        <f t="shared" si="13"/>
        <v>-13342</v>
      </c>
      <c r="AX61" s="66">
        <f>'насел.'!AX61+пільги!AX61+субсидії!AX61+'держ.бюджет'!AX61+'місц.-районн.бюджет'!AX61+обласний!AX61+інші!AX61</f>
        <v>66028.60000000002</v>
      </c>
      <c r="AY61" s="150"/>
      <c r="AZ61" s="150"/>
      <c r="BA61" s="150"/>
      <c r="BB61" s="150"/>
    </row>
    <row r="62" spans="1:54" ht="34.5" customHeight="1">
      <c r="A62" s="10" t="s">
        <v>9</v>
      </c>
      <c r="B62" s="110" t="s">
        <v>163</v>
      </c>
      <c r="C62" s="63">
        <f>'насел.'!C62+пільги!C62+субсидії!C62+'держ.бюджет'!C62+'місц.-районн.бюджет'!C62+обласний!C62+інші!C62</f>
        <v>7372.7</v>
      </c>
      <c r="D62" s="63">
        <f>'насел.'!D62+пільги!D62+субсидії!D62+'держ.бюджет'!D62+'місц.-районн.бюджет'!D62+обласний!D62+інші!D62</f>
        <v>10510</v>
      </c>
      <c r="E62" s="63">
        <f>'насел.'!E62+пільги!E62+субсидії!E62+'держ.бюджет'!E62+'місц.-районн.бюджет'!E62+обласний!E62+інші!E62</f>
        <v>3787.2</v>
      </c>
      <c r="F62" s="62">
        <f t="shared" si="53"/>
        <v>36.03425309229305</v>
      </c>
      <c r="G62" s="63">
        <f>'насел.'!G62+пільги!G62+субсидії!G62+'держ.бюджет'!G62+'місц.-районн.бюджет'!G62+обласний!G62+інші!G62</f>
        <v>10858.2</v>
      </c>
      <c r="H62" s="63">
        <f>'насел.'!H62+пільги!H62+субсидії!H62+'держ.бюджет'!H62+'місц.-районн.бюджет'!H62+обласний!H62+інші!H62</f>
        <v>9938.8</v>
      </c>
      <c r="I62" s="62">
        <f t="shared" si="54"/>
        <v>91.5326665561511</v>
      </c>
      <c r="J62" s="63">
        <f>'насел.'!J62+пільги!J62+субсидії!J62+'держ.бюджет'!J62+'місц.-районн.бюджет'!J62+обласний!J62+інші!J62</f>
        <v>10116</v>
      </c>
      <c r="K62" s="63">
        <f>'насел.'!K62+пільги!K62+субсидії!K62+'держ.бюджет'!K62+'місц.-районн.бюджет'!K62+обласний!K62+інші!K62</f>
        <v>9495.8</v>
      </c>
      <c r="L62" s="62">
        <f t="shared" si="55"/>
        <v>93.86911822854883</v>
      </c>
      <c r="M62" s="62">
        <f>'насел.'!M62+пільги!M62+субсидії!M62+'держ.бюджет'!M62+'місц.-районн.бюджет'!M62+обласний!M62+інші!M62</f>
        <v>31484.199999999997</v>
      </c>
      <c r="N62" s="62">
        <f>'насел.'!N62+пільги!N62+субсидії!N62+'держ.бюджет'!N62+'місц.-районн.бюджет'!N62+обласний!N62+інші!N62</f>
        <v>23221.800000000003</v>
      </c>
      <c r="O62" s="62">
        <f t="shared" si="56"/>
        <v>73.75699557238235</v>
      </c>
      <c r="P62" s="63">
        <f>'насел.'!P62+пільги!P62+субсидії!P62+'держ.бюджет'!P62+'місц.-районн.бюджет'!P62+обласний!P62+інші!P62</f>
        <v>2329.2</v>
      </c>
      <c r="Q62" s="63">
        <f>'насел.'!Q62+пільги!Q62+субсидії!Q62+'держ.бюджет'!Q62+'місц.-районн.бюджет'!Q62+обласний!Q62+інші!Q62</f>
        <v>9890.199999999999</v>
      </c>
      <c r="R62" s="63">
        <f t="shared" si="57"/>
        <v>424.6178945560707</v>
      </c>
      <c r="S62" s="63">
        <f>'насел.'!S62+пільги!S62+субсидії!S62+'держ.бюджет'!S62+'місц.-районн.бюджет'!S62+обласний!S62+інші!S62</f>
        <v>0</v>
      </c>
      <c r="T62" s="63">
        <f>'насел.'!T62+пільги!T62+субсидії!T62+'держ.бюджет'!T62+'місц.-районн.бюджет'!T62+обласний!T62+інші!T62</f>
        <v>2004.5000000000002</v>
      </c>
      <c r="U62" s="62" t="e">
        <f t="shared" si="58"/>
        <v>#DIV/0!</v>
      </c>
      <c r="V62" s="63">
        <f>'насел.'!V62+пільги!V62+субсидії!V62+'держ.бюджет'!V62+'місц.-районн.бюджет'!V62+обласний!V62+інші!V62</f>
        <v>0</v>
      </c>
      <c r="W62" s="63">
        <f>'насел.'!W62+пільги!W62+субсидії!W62+'держ.бюджет'!W62+'місц.-районн.бюджет'!W62+обласний!W62+інші!W62</f>
        <v>1316.5</v>
      </c>
      <c r="X62" s="62" t="e">
        <f t="shared" si="59"/>
        <v>#DIV/0!</v>
      </c>
      <c r="Y62" s="63">
        <f>'насел.'!Y62+пільги!Y62+субсидії!Y62+'держ.бюджет'!Y62+'місц.-районн.бюджет'!Y62+обласний!Y62+інші!Y62</f>
        <v>2329.2</v>
      </c>
      <c r="Z62" s="63">
        <f>'насел.'!Z62+пільги!Z62+субсидії!Z62+'держ.бюджет'!Z62+'місц.-районн.бюджет'!Z62+обласний!Z62+інші!Z62</f>
        <v>13211.2</v>
      </c>
      <c r="AA62" s="62">
        <f t="shared" si="60"/>
        <v>567.1990382964109</v>
      </c>
      <c r="AB62" s="63">
        <f>'насел.'!AB62+пільги!AB62+субсидії!AB62+'держ.бюджет'!AB62+'місц.-районн.бюджет'!AB62+обласний!AB62+інші!AB62</f>
        <v>0</v>
      </c>
      <c r="AC62" s="63">
        <f>'насел.'!AC62+пільги!AC62+субсидії!AC62+'держ.бюджет'!AC62+'місц.-районн.бюджет'!AC62+обласний!AC62+інші!AC62</f>
        <v>0</v>
      </c>
      <c r="AD62" s="62" t="e">
        <f t="shared" si="61"/>
        <v>#DIV/0!</v>
      </c>
      <c r="AE62" s="63">
        <f>'насел.'!AE62+пільги!AE62+субсидії!AE62+'держ.бюджет'!AE62+'місц.-районн.бюджет'!AE62+обласний!AE62+інші!AE62</f>
        <v>0</v>
      </c>
      <c r="AF62" s="63">
        <f>'насел.'!AF62+пільги!AF62+субсидії!AF62+'держ.бюджет'!AF62+'місц.-районн.бюджет'!AF62+обласний!AF62+інші!AF62</f>
        <v>0</v>
      </c>
      <c r="AG62" s="62" t="e">
        <f t="shared" si="62"/>
        <v>#DIV/0!</v>
      </c>
      <c r="AH62" s="63">
        <f>'насел.'!AH62+пільги!AH62+субсидії!AH62+'держ.бюджет'!AH62+'місц.-районн.бюджет'!AH62+обласний!AH62+інші!AH62</f>
        <v>0</v>
      </c>
      <c r="AI62" s="63">
        <f>'насел.'!AI62+пільги!AI62+субсидії!AI62+'держ.бюджет'!AI62+'місц.-районн.бюджет'!AI62+обласний!AI62+інші!AI62</f>
        <v>0</v>
      </c>
      <c r="AJ62" s="62" t="e">
        <f t="shared" si="63"/>
        <v>#DIV/0!</v>
      </c>
      <c r="AK62" s="79">
        <f>'насел.'!AK62+пільги!AR62+субсидії!AK62+'держ.бюджет'!AK62+'місц.-районн.бюджет'!AK62+обласний!AK62+інші!AK62</f>
        <v>0</v>
      </c>
      <c r="AL62" s="63">
        <f>'насел.'!AL62+пільги!AK62+субсидії!AL62+'держ.бюджет'!AL62+'місц.-районн.бюджет'!AL62+обласний!AL62+інші!AL62</f>
        <v>0</v>
      </c>
      <c r="AM62" s="63" t="e">
        <f t="shared" si="64"/>
        <v>#DIV/0!</v>
      </c>
      <c r="AN62" s="79">
        <f>'насел.'!AN62+пільги!AN62+субсидії!AN62+'держ.бюджет'!AN62+'місц.-районн.бюджет'!AN62+обласний!AN62+інші!AN62</f>
        <v>0</v>
      </c>
      <c r="AO62" s="63">
        <f>'насел.'!AO62+пільги!AN62+субсидії!AO62+'держ.бюджет'!AO62+'місц.-районн.бюджет'!AO62+обласний!AO62+інші!AO62</f>
        <v>0</v>
      </c>
      <c r="AP62" s="63">
        <f>'насел.'!AP62+пільги!AO62+субсидії!AP62+'держ.бюджет'!AP62+'місц.-районн.бюджет'!AP62+обласний!AP62+інші!AP62</f>
        <v>0</v>
      </c>
      <c r="AQ62" s="63">
        <f>'насел.'!AQ62+пільги!AP62+субсидії!AQ62+'держ.бюджет'!AQ62+'місц.-районн.бюджет'!AQ62+обласний!AQ62+інші!AQ62</f>
        <v>0</v>
      </c>
      <c r="AR62" s="63">
        <f>'насел.'!AR62+пільги!AQ62+субсидії!AR62+'держ.бюджет'!AR62+'місц.-районн.бюджет'!AR62+обласний!AR62+інші!AR62</f>
        <v>0</v>
      </c>
      <c r="AS62" s="63">
        <f>'насел.'!AS62+пільги!AR62+субсидії!AS62+'держ.бюджет'!AS62+'місц.-районн.бюджет'!AS62+обласний!AS62+інші!AS62</f>
        <v>0</v>
      </c>
      <c r="AT62" s="63">
        <f>'насел.'!AT62+пільги!AT62+субсидії!AT62+'держ.бюджет'!AT62+'місц.-районн.бюджет'!AT62+обласний!AT62+інші!AT62</f>
        <v>33813.4</v>
      </c>
      <c r="AU62" s="63">
        <f>'насел.'!AU62+пільги!AU62+субсидії!AU62+'держ.бюджет'!AU62+'місц.-районн.бюджет'!AU62+обласний!AU62+інші!AU62</f>
        <v>36433</v>
      </c>
      <c r="AV62" s="62">
        <f t="shared" si="65"/>
        <v>107.74722447313788</v>
      </c>
      <c r="AW62" s="63">
        <f t="shared" si="13"/>
        <v>-2619.5999999999985</v>
      </c>
      <c r="AX62" s="66">
        <f>'насел.'!AX62+пільги!AX62+субсидії!AX62+'держ.бюджет'!AX62+'місц.-районн.бюджет'!AX62+обласний!AX62+інші!AX62</f>
        <v>4753.100000000001</v>
      </c>
      <c r="AY62" s="144"/>
      <c r="AZ62" s="144"/>
      <c r="BA62" s="144"/>
      <c r="BB62" s="144"/>
    </row>
    <row r="63" spans="1:54" ht="34.5" customHeight="1">
      <c r="A63" s="10" t="s">
        <v>13</v>
      </c>
      <c r="B63" s="110" t="s">
        <v>164</v>
      </c>
      <c r="C63" s="63">
        <f>'насел.'!C63+пільги!C63+субсидії!C63+'держ.бюджет'!C63+'місц.-районн.бюджет'!C63+обласний!C63+інші!C63</f>
        <v>4778.9</v>
      </c>
      <c r="D63" s="63">
        <f>'насел.'!D63+пільги!D63+субсидії!D63+'держ.бюджет'!D63+'місц.-районн.бюджет'!D63+обласний!D63+інші!D63</f>
        <v>3853.6</v>
      </c>
      <c r="E63" s="63">
        <f>'насел.'!E63+пільги!E63+субсидії!E63+'держ.бюджет'!E63+'місц.-районн.бюджет'!E63+обласний!E63+інші!E63</f>
        <v>1083.4</v>
      </c>
      <c r="F63" s="62">
        <f t="shared" si="53"/>
        <v>28.11397135146357</v>
      </c>
      <c r="G63" s="63">
        <f>'насел.'!G63+пільги!G63+субсидії!G63+'держ.бюджет'!G63+'місц.-районн.бюджет'!G63+обласний!G63+інші!G63</f>
        <v>4230</v>
      </c>
      <c r="H63" s="63">
        <f>'насел.'!H63+пільги!H63+субсидії!H63+'держ.бюджет'!H63+'місц.-районн.бюджет'!H63+обласний!H63+інші!H63</f>
        <v>2278.2999999999997</v>
      </c>
      <c r="I63" s="62">
        <f t="shared" si="54"/>
        <v>53.86052009456264</v>
      </c>
      <c r="J63" s="63">
        <f>'насел.'!J63+пільги!J63+субсидії!J63+'держ.бюджет'!J63+'місц.-районн.бюджет'!J63+обласний!J63+інші!J63</f>
        <v>3319</v>
      </c>
      <c r="K63" s="63">
        <f>'насел.'!K63+пільги!K63+субсидії!K63+'держ.бюджет'!K63+'місц.-районн.бюджет'!K63+обласний!K63+інші!K63</f>
        <v>4117.099999999999</v>
      </c>
      <c r="L63" s="62">
        <f t="shared" si="55"/>
        <v>124.04639951792706</v>
      </c>
      <c r="M63" s="62">
        <f>'насел.'!M63+пільги!M63+субсидії!M63+'держ.бюджет'!M63+'місц.-районн.бюджет'!M63+обласний!M63+інші!M63</f>
        <v>11402.599999999999</v>
      </c>
      <c r="N63" s="62">
        <f>'насел.'!N63+пільги!N63+субсидії!N63+'держ.бюджет'!N63+'місц.-районн.бюджет'!N63+обласний!N63+інші!N63</f>
        <v>7478.8</v>
      </c>
      <c r="O63" s="62">
        <f t="shared" si="56"/>
        <v>65.58854997982917</v>
      </c>
      <c r="P63" s="63">
        <f>'насел.'!P63+пільги!P63+субсидії!P63+'держ.бюджет'!P63+'місц.-районн.бюджет'!P63+обласний!P63+інші!P63</f>
        <v>1418.1999999999998</v>
      </c>
      <c r="Q63" s="63">
        <f>'насел.'!Q63+пільги!Q63+субсидії!Q63+'держ.бюджет'!Q63+'місц.-районн.бюджет'!Q63+обласний!Q63+інші!Q63</f>
        <v>4874.1</v>
      </c>
      <c r="R63" s="63">
        <f t="shared" si="57"/>
        <v>343.68213228035546</v>
      </c>
      <c r="S63" s="63">
        <f>'насел.'!S63+пільги!S63+субсидії!S63+'держ.бюджет'!S63+'місц.-районн.бюджет'!S63+обласний!S63+інші!S63</f>
        <v>8.499999999999996</v>
      </c>
      <c r="T63" s="63">
        <f>'насел.'!T63+пільги!T63+субсидії!T63+'держ.бюджет'!T63+'місц.-районн.бюджет'!T63+обласний!T63+інші!T63</f>
        <v>901.6000000000001</v>
      </c>
      <c r="U63" s="62">
        <f t="shared" si="58"/>
        <v>10607.058823529418</v>
      </c>
      <c r="V63" s="63">
        <f>'насел.'!V63+пільги!V63+субсидії!V63+'держ.бюджет'!V63+'місц.-районн.бюджет'!V63+обласний!V63+інші!V63</f>
        <v>37.8</v>
      </c>
      <c r="W63" s="63">
        <f>'насел.'!W63+пільги!W63+субсидії!W63+'держ.бюджет'!W63+'місц.-районн.бюджет'!W63+обласний!W63+інші!W63</f>
        <v>260.9</v>
      </c>
      <c r="X63" s="62">
        <f t="shared" si="59"/>
        <v>690.2116402116402</v>
      </c>
      <c r="Y63" s="63">
        <f>'насел.'!Y63+пільги!Y63+субсидії!Y63+'держ.бюджет'!Y63+'місц.-районн.бюджет'!Y63+обласний!Y63+інші!Y63</f>
        <v>1464.4999999999998</v>
      </c>
      <c r="Z63" s="63">
        <f>'насел.'!Z63+пільги!Z63+субсидії!Z63+'держ.бюджет'!Z63+'місц.-районн.бюджет'!Z63+обласний!Z63+інші!Z63</f>
        <v>6036.6</v>
      </c>
      <c r="AA63" s="62">
        <f t="shared" si="60"/>
        <v>412.1952884943668</v>
      </c>
      <c r="AB63" s="63">
        <f>'насел.'!AB63+пільги!AB63+субсидії!AB63+'держ.бюджет'!AB63+'місц.-районн.бюджет'!AB63+обласний!AB63+інші!AB63</f>
        <v>0</v>
      </c>
      <c r="AC63" s="63">
        <f>'насел.'!AC63+пільги!AC63+субсидії!AC63+'держ.бюджет'!AC63+'місц.-районн.бюджет'!AC63+обласний!AC63+інші!AC63</f>
        <v>0</v>
      </c>
      <c r="AD63" s="62" t="e">
        <f t="shared" si="61"/>
        <v>#DIV/0!</v>
      </c>
      <c r="AE63" s="63">
        <f>'насел.'!AE63+пільги!AE63+субсидії!AE63+'держ.бюджет'!AE63+'місц.-районн.бюджет'!AE63+обласний!AE63+інші!AE63</f>
        <v>0</v>
      </c>
      <c r="AF63" s="63">
        <f>'насел.'!AF63+пільги!AF63+субсидії!AF63+'держ.бюджет'!AF63+'місц.-районн.бюджет'!AF63+обласний!AF63+інші!AF63</f>
        <v>0</v>
      </c>
      <c r="AG63" s="62" t="e">
        <f t="shared" si="62"/>
        <v>#DIV/0!</v>
      </c>
      <c r="AH63" s="63">
        <f>'насел.'!AH63+пільги!AH63+субсидії!AH63+'держ.бюджет'!AH63+'місц.-районн.бюджет'!AH63+обласний!AH63+інші!AH63</f>
        <v>0</v>
      </c>
      <c r="AI63" s="63">
        <f>'насел.'!AI63+пільги!AI63+субсидії!AI63+'держ.бюджет'!AI63+'місц.-районн.бюджет'!AI63+обласний!AI63+інші!AI63</f>
        <v>0</v>
      </c>
      <c r="AJ63" s="62" t="e">
        <f t="shared" si="63"/>
        <v>#DIV/0!</v>
      </c>
      <c r="AK63" s="79">
        <f>'насел.'!AK63+пільги!AR63+субсидії!AK63+'держ.бюджет'!AK63+'місц.-районн.бюджет'!AK63+обласний!AK63+інші!AK63</f>
        <v>0</v>
      </c>
      <c r="AL63" s="63">
        <f>'насел.'!AL63+пільги!AK63+субсидії!AL63+'держ.бюджет'!AL63+'місц.-районн.бюджет'!AL63+обласний!AL63+інші!AL63</f>
        <v>0</v>
      </c>
      <c r="AM63" s="63" t="e">
        <f t="shared" si="64"/>
        <v>#DIV/0!</v>
      </c>
      <c r="AN63" s="79">
        <f>'насел.'!AN63+пільги!AN63+субсидії!AN63+'держ.бюджет'!AN63+'місц.-районн.бюджет'!AN63+обласний!AN63+інші!AN63</f>
        <v>0</v>
      </c>
      <c r="AO63" s="63">
        <f>'насел.'!AO63+пільги!AN63+субсидії!AO63+'держ.бюджет'!AO63+'місц.-районн.бюджет'!AO63+обласний!AO63+інші!AO63</f>
        <v>0</v>
      </c>
      <c r="AP63" s="63">
        <f>'насел.'!AP63+пільги!AO63+субсидії!AP63+'держ.бюджет'!AP63+'місц.-районн.бюджет'!AP63+обласний!AP63+інші!AP63</f>
        <v>0</v>
      </c>
      <c r="AQ63" s="63">
        <f>'насел.'!AQ63+пільги!AP63+субсидії!AQ63+'держ.бюджет'!AQ63+'місц.-районн.бюджет'!AQ63+обласний!AQ63+інші!AQ63</f>
        <v>0</v>
      </c>
      <c r="AR63" s="63">
        <f>'насел.'!AR63+пільги!AQ63+субсидії!AR63+'держ.бюджет'!AR63+'місц.-районн.бюджет'!AR63+обласний!AR63+інші!AR63</f>
        <v>0</v>
      </c>
      <c r="AS63" s="63">
        <f>'насел.'!AS63+пільги!AR63+субсидії!AS63+'держ.бюджет'!AS63+'місц.-районн.бюджет'!AS63+обласний!AS63+інші!AS63</f>
        <v>0</v>
      </c>
      <c r="AT63" s="63">
        <f>'насел.'!AT63+пільги!AT63+субсидії!AT63+'держ.бюджет'!AT63+'місц.-районн.бюджет'!AT63+обласний!AT63+інші!AT63</f>
        <v>12867.1</v>
      </c>
      <c r="AU63" s="63">
        <f>'насел.'!AU63+пільги!AU63+субсидії!AU63+'держ.бюджет'!AU63+'місц.-районн.бюджет'!AU63+обласний!AU63+інші!AU63</f>
        <v>13515.4</v>
      </c>
      <c r="AV63" s="62">
        <f t="shared" si="65"/>
        <v>105.03843134816702</v>
      </c>
      <c r="AW63" s="63">
        <f t="shared" si="13"/>
        <v>-648.2999999999993</v>
      </c>
      <c r="AX63" s="66">
        <f>'насел.'!AX63+пільги!AX63+субсидії!AX63+'держ.бюджет'!AX63+'місц.-районн.бюджет'!AX63+обласний!AX63+інші!AX63</f>
        <v>4130.5999999999985</v>
      </c>
      <c r="AY63" s="144"/>
      <c r="AZ63" s="144"/>
      <c r="BA63" s="144"/>
      <c r="BB63" s="144"/>
    </row>
    <row r="64" spans="1:54" ht="34.5" customHeight="1">
      <c r="A64" s="10" t="s">
        <v>11</v>
      </c>
      <c r="B64" s="153" t="s">
        <v>140</v>
      </c>
      <c r="C64" s="63">
        <f>'насел.'!C64+пільги!C64+субсидії!C64+'держ.бюджет'!C64+'місц.-районн.бюджет'!C64+обласний!C64+інші!C64</f>
        <v>3748.7</v>
      </c>
      <c r="D64" s="63">
        <f>'насел.'!D64+пільги!D64+субсидії!D64+'держ.бюджет'!D64+'місц.-районн.бюджет'!D64+обласний!D64+інші!D64</f>
        <v>1215.1</v>
      </c>
      <c r="E64" s="63">
        <f>'насел.'!E64+пільги!E64+субсидії!E64+'держ.бюджет'!E64+'місц.-районн.бюджет'!E64+обласний!E64+інші!E64</f>
        <v>800.1</v>
      </c>
      <c r="F64" s="62">
        <f t="shared" si="53"/>
        <v>65.8464323923957</v>
      </c>
      <c r="G64" s="63">
        <f>'насел.'!G64+пільги!G64+субсидії!G64+'держ.бюджет'!G64+'місц.-районн.бюджет'!G64+обласний!G64+інші!G64</f>
        <v>1244.5</v>
      </c>
      <c r="H64" s="63">
        <f>'насел.'!H64+пільги!H64+субсидії!H64+'держ.бюджет'!H64+'місц.-районн.бюджет'!H64+обласний!H64+інші!H64</f>
        <v>982.8</v>
      </c>
      <c r="I64" s="62">
        <f t="shared" si="54"/>
        <v>78.97147448774608</v>
      </c>
      <c r="J64" s="63">
        <f>'насел.'!J64+пільги!J64+субсидії!J64+'держ.бюджет'!J64+'місц.-районн.бюджет'!J64+обласний!J64+інші!J64</f>
        <v>1032.1</v>
      </c>
      <c r="K64" s="63">
        <f>'насел.'!K64+пільги!K64+субсидії!K64+'держ.бюджет'!K64+'місц.-районн.бюджет'!K64+обласний!K64+інші!K64</f>
        <v>1035.8999999999999</v>
      </c>
      <c r="L64" s="62">
        <f t="shared" si="55"/>
        <v>100.36818137777345</v>
      </c>
      <c r="M64" s="62">
        <f>'насел.'!M64+пільги!M64+субсидії!M64+'держ.бюджет'!M64+'місц.-районн.бюджет'!M64+обласний!M64+інші!M64</f>
        <v>3491.7</v>
      </c>
      <c r="N64" s="62">
        <f>'насел.'!N64+пільги!N64+субсидії!N64+'держ.бюджет'!N64+'місц.-районн.бюджет'!N64+обласний!N64+інші!N64</f>
        <v>2818.7999999999997</v>
      </c>
      <c r="O64" s="62">
        <f t="shared" si="56"/>
        <v>80.7285849299768</v>
      </c>
      <c r="P64" s="63">
        <f>'насел.'!P64+пільги!P64+субсидії!P64+'держ.бюджет'!P64+'місц.-районн.бюджет'!P64+обласний!P64+інші!P64</f>
        <v>315.2</v>
      </c>
      <c r="Q64" s="63">
        <f>'насел.'!Q64+пільги!Q64+субсидії!Q64+'держ.бюджет'!Q64+'місц.-районн.бюджет'!Q64+обласний!Q64+інші!Q64</f>
        <v>755</v>
      </c>
      <c r="R64" s="63">
        <f t="shared" si="57"/>
        <v>239.53045685279187</v>
      </c>
      <c r="S64" s="63">
        <f>'насел.'!S64+пільги!S64+субсидії!S64+'держ.бюджет'!S64+'місц.-районн.бюджет'!S64+обласний!S64+інші!S64</f>
        <v>0</v>
      </c>
      <c r="T64" s="63">
        <f>'насел.'!T64+пільги!T64+субсидії!T64+'держ.бюджет'!T64+'місц.-районн.бюджет'!T64+обласний!T64+інші!T64</f>
        <v>368.4</v>
      </c>
      <c r="U64" s="62" t="e">
        <f t="shared" si="58"/>
        <v>#DIV/0!</v>
      </c>
      <c r="V64" s="63">
        <f>'насел.'!V64+пільги!V64+субсидії!V64+'держ.бюджет'!V64+'місц.-районн.бюджет'!V64+обласний!V64+інші!V64</f>
        <v>0</v>
      </c>
      <c r="W64" s="63">
        <f>'насел.'!W64+пільги!W64+субсидії!W64+'держ.бюджет'!W64+'місц.-районн.бюджет'!W64+обласний!W64+інші!W64</f>
        <v>145.5</v>
      </c>
      <c r="X64" s="62" t="e">
        <f t="shared" si="59"/>
        <v>#DIV/0!</v>
      </c>
      <c r="Y64" s="63">
        <f>'насел.'!Y64+пільги!Y64+субсидії!Y64+'держ.бюджет'!Y64+'місц.-районн.бюджет'!Y64+обласний!Y64+інші!Y64</f>
        <v>315.2</v>
      </c>
      <c r="Z64" s="63">
        <f>'насел.'!Z64+пільги!Z64+субсидії!Z64+'держ.бюджет'!Z64+'місц.-районн.бюджет'!Z64+обласний!Z64+інші!Z64</f>
        <v>1268.9</v>
      </c>
      <c r="AA64" s="62">
        <f t="shared" si="60"/>
        <v>402.5697969543148</v>
      </c>
      <c r="AB64" s="63">
        <f>'насел.'!AB64+пільги!AB64+субсидії!AB64+'держ.бюджет'!AB64+'місц.-районн.бюджет'!AB64+обласний!AB64+інші!AB64</f>
        <v>0</v>
      </c>
      <c r="AC64" s="63">
        <f>'насел.'!AC64+пільги!AC64+субсидії!AC64+'держ.бюджет'!AC64+'місц.-районн.бюджет'!AC64+обласний!AC64+інші!AC64</f>
        <v>0</v>
      </c>
      <c r="AD64" s="62" t="e">
        <f t="shared" si="61"/>
        <v>#DIV/0!</v>
      </c>
      <c r="AE64" s="63">
        <f>'насел.'!AE64+пільги!AE64+субсидії!AE64+'держ.бюджет'!AE64+'місц.-районн.бюджет'!AE64+обласний!AE64+інші!AE64</f>
        <v>0</v>
      </c>
      <c r="AF64" s="63">
        <f>'насел.'!AF64+пільги!AF64+субсидії!AF64+'держ.бюджет'!AF64+'місц.-районн.бюджет'!AF64+обласний!AF64+інші!AF64</f>
        <v>0</v>
      </c>
      <c r="AG64" s="62" t="e">
        <f t="shared" si="62"/>
        <v>#DIV/0!</v>
      </c>
      <c r="AH64" s="63">
        <f>'насел.'!AH64+пільги!AH64+субсидії!AH64+'держ.бюджет'!AH64+'місц.-районн.бюджет'!AH64+обласний!AH64+інші!AH64</f>
        <v>0</v>
      </c>
      <c r="AI64" s="63">
        <f>'насел.'!AI64+пільги!AI64+субсидії!AI64+'держ.бюджет'!AI64+'місц.-районн.бюджет'!AI64+обласний!AI64+інші!AI64</f>
        <v>0</v>
      </c>
      <c r="AJ64" s="62" t="e">
        <f t="shared" si="63"/>
        <v>#DIV/0!</v>
      </c>
      <c r="AK64" s="79">
        <f>'насел.'!AK64+пільги!AR64+субсидії!AK64+'держ.бюджет'!AK64+'місц.-районн.бюджет'!AK64+обласний!AK64+інші!AK64</f>
        <v>0</v>
      </c>
      <c r="AL64" s="63">
        <f>'насел.'!AL64+пільги!AK64+субсидії!AL64+'держ.бюджет'!AL64+'місц.-районн.бюджет'!AL64+обласний!AL64+інші!AL64</f>
        <v>0</v>
      </c>
      <c r="AM64" s="63" t="e">
        <f t="shared" si="64"/>
        <v>#DIV/0!</v>
      </c>
      <c r="AN64" s="79">
        <f>'насел.'!AN64+пільги!AN64+субсидії!AN64+'держ.бюджет'!AN64+'місц.-районн.бюджет'!AN64+обласний!AN64+інші!AN64</f>
        <v>0</v>
      </c>
      <c r="AO64" s="63">
        <f>'насел.'!AO64+пільги!AN64+субсидії!AO64+'держ.бюджет'!AO64+'місц.-районн.бюджет'!AO64+обласний!AO64+інші!AO64</f>
        <v>0</v>
      </c>
      <c r="AP64" s="63">
        <f>'насел.'!AP64+пільги!AO64+субсидії!AP64+'держ.бюджет'!AP64+'місц.-районн.бюджет'!AP64+обласний!AP64+інші!AP64</f>
        <v>0</v>
      </c>
      <c r="AQ64" s="63">
        <f>'насел.'!AQ64+пільги!AP64+субсидії!AQ64+'держ.бюджет'!AQ64+'місц.-районн.бюджет'!AQ64+обласний!AQ64+інші!AQ64</f>
        <v>0</v>
      </c>
      <c r="AR64" s="63">
        <f>'насел.'!AR64+пільги!AQ64+субсидії!AR64+'держ.бюджет'!AR64+'місц.-районн.бюджет'!AR64+обласний!AR64+інші!AR64</f>
        <v>0</v>
      </c>
      <c r="AS64" s="63">
        <f>'насел.'!AS64+пільги!AR64+субсидії!AS64+'держ.бюджет'!AS64+'місц.-районн.бюджет'!AS64+обласний!AS64+інші!AS64</f>
        <v>0</v>
      </c>
      <c r="AT64" s="63">
        <f>'насел.'!AT64+пільги!AT64+субсидії!AT64+'держ.бюджет'!AT64+'місц.-районн.бюджет'!AT64+обласний!AT64+інші!AT64</f>
        <v>3806.9</v>
      </c>
      <c r="AU64" s="63">
        <f>'насел.'!AU64+пільги!AU64+субсидії!AU64+'держ.бюджет'!AU64+'місц.-районн.бюджет'!AU64+обласний!AU64+інші!AU64</f>
        <v>4087.7</v>
      </c>
      <c r="AV64" s="62">
        <f t="shared" si="65"/>
        <v>107.3760802752896</v>
      </c>
      <c r="AW64" s="63">
        <f t="shared" si="13"/>
        <v>-280.7999999999997</v>
      </c>
      <c r="AX64" s="66">
        <f>'насел.'!AX64+пільги!AX64+субсидії!AX64+'держ.бюджет'!AX64+'місц.-районн.бюджет'!AX64+обласний!AX64+інші!AX64</f>
        <v>3467.8999999999996</v>
      </c>
      <c r="AY64" s="144"/>
      <c r="AZ64" s="144"/>
      <c r="BA64" s="144"/>
      <c r="BB64" s="144"/>
    </row>
    <row r="65" spans="1:54" ht="34.5" customHeight="1" hidden="1">
      <c r="A65" s="10" t="s">
        <v>11</v>
      </c>
      <c r="B65" s="153" t="s">
        <v>142</v>
      </c>
      <c r="C65" s="63">
        <f>'насел.'!C65+пільги!C65+субсидії!C65+'держ.бюджет'!C65+'місц.-районн.бюджет'!C65+обласний!C65+інші!C65</f>
        <v>0</v>
      </c>
      <c r="D65" s="63">
        <f>'насел.'!D65+пільги!D65+субсидії!D65+'держ.бюджет'!D65+'місц.-районн.бюджет'!D65+обласний!D65+інші!D65</f>
        <v>0</v>
      </c>
      <c r="E65" s="63">
        <f>'насел.'!E65+пільги!E65+субсидії!E65+'держ.бюджет'!E65+'місц.-районн.бюджет'!E65+обласний!E65+інші!E65</f>
        <v>0</v>
      </c>
      <c r="F65" s="62" t="e">
        <f t="shared" si="53"/>
        <v>#DIV/0!</v>
      </c>
      <c r="G65" s="63">
        <f>'насел.'!G65+пільги!G65+субсидії!G65+'держ.бюджет'!G65+'місц.-районн.бюджет'!G65+обласний!G65+інші!G65</f>
        <v>0</v>
      </c>
      <c r="H65" s="63">
        <f>'насел.'!H65+пільги!H65+субсидії!H65+'держ.бюджет'!H65+'місц.-районн.бюджет'!H65+обласний!H65+інші!H65</f>
        <v>0</v>
      </c>
      <c r="I65" s="62" t="e">
        <f t="shared" si="54"/>
        <v>#DIV/0!</v>
      </c>
      <c r="J65" s="63">
        <f>'насел.'!J65+пільги!J65+субсидії!J65+'держ.бюджет'!J65+'місц.-районн.бюджет'!J65+обласний!J65+інші!J65</f>
        <v>0</v>
      </c>
      <c r="K65" s="63">
        <f>'насел.'!K65+пільги!K65+субсидії!K65+'держ.бюджет'!K65+'місц.-районн.бюджет'!K65+обласний!K65+інші!K65</f>
        <v>0</v>
      </c>
      <c r="L65" s="62" t="e">
        <f t="shared" si="55"/>
        <v>#DIV/0!</v>
      </c>
      <c r="M65" s="62">
        <f>'насел.'!M65+пільги!M65+субсидії!M65+'держ.бюджет'!M65+'місц.-районн.бюджет'!M65+обласний!M65+інші!M65</f>
        <v>0</v>
      </c>
      <c r="N65" s="62">
        <f>'насел.'!N65+пільги!N65+субсидії!N65+'держ.бюджет'!N65+'місц.-районн.бюджет'!N65+обласний!N65+інші!N65</f>
        <v>0</v>
      </c>
      <c r="O65" s="62" t="e">
        <f t="shared" si="56"/>
        <v>#DIV/0!</v>
      </c>
      <c r="P65" s="63">
        <f>'насел.'!P65+пільги!P65+субсидії!P65+'держ.бюджет'!P65+'місц.-районн.бюджет'!P65+обласний!P65+інші!P65</f>
        <v>0</v>
      </c>
      <c r="Q65" s="63">
        <f>'насел.'!Q65+пільги!Q65+субсидії!Q65+'держ.бюджет'!Q65+'місц.-районн.бюджет'!Q65+обласний!Q65+інші!Q65</f>
        <v>0</v>
      </c>
      <c r="R65" s="63" t="e">
        <f t="shared" si="57"/>
        <v>#DIV/0!</v>
      </c>
      <c r="S65" s="63">
        <f>'насел.'!S65+пільги!S65+субсидії!S65+'держ.бюджет'!S65+'місц.-районн.бюджет'!S65+обласний!S65+інші!S65</f>
        <v>0</v>
      </c>
      <c r="T65" s="63">
        <f>'насел.'!T65+пільги!T65+субсидії!T65+'держ.бюджет'!T65+'місц.-районн.бюджет'!T65+обласний!T65+інші!T65</f>
        <v>0</v>
      </c>
      <c r="U65" s="62" t="e">
        <f t="shared" si="58"/>
        <v>#DIV/0!</v>
      </c>
      <c r="V65" s="63">
        <f>'насел.'!V65+пільги!V65+субсидії!V65+'держ.бюджет'!V65+'місц.-районн.бюджет'!V65+обласний!V65+інші!V65</f>
        <v>0</v>
      </c>
      <c r="W65" s="63">
        <f>'насел.'!W65+пільги!W65+субсидії!W65+'держ.бюджет'!W65+'місц.-районн.бюджет'!W65+обласний!W65+інші!W65</f>
        <v>0</v>
      </c>
      <c r="X65" s="62" t="e">
        <f t="shared" si="59"/>
        <v>#DIV/0!</v>
      </c>
      <c r="Y65" s="63">
        <f>'насел.'!Y65+пільги!Y65+субсидії!Y65+'держ.бюджет'!Y65+'місц.-районн.бюджет'!Y65+обласний!Y65+інші!Y65</f>
        <v>0</v>
      </c>
      <c r="Z65" s="63">
        <f>'насел.'!Z65+пільги!Z65+субсидії!Z65+'держ.бюджет'!Z65+'місц.-районн.бюджет'!Z65+обласний!Z65+інші!Z65</f>
        <v>0</v>
      </c>
      <c r="AA65" s="62" t="e">
        <f t="shared" si="60"/>
        <v>#DIV/0!</v>
      </c>
      <c r="AB65" s="63">
        <f>'насел.'!AB65+пільги!AB65+субсидії!AB65+'держ.бюджет'!AB65+'місц.-районн.бюджет'!AB65+обласний!AB65+інші!AB65</f>
        <v>0</v>
      </c>
      <c r="AC65" s="63">
        <f>'насел.'!AC65+пільги!AC65+субсидії!AC65+'держ.бюджет'!AC65+'місц.-районн.бюджет'!AC65+обласний!AC65+інші!AC65</f>
        <v>0</v>
      </c>
      <c r="AD65" s="62" t="e">
        <f t="shared" si="61"/>
        <v>#DIV/0!</v>
      </c>
      <c r="AE65" s="63">
        <f>'насел.'!AE65+пільги!AE65+субсидії!AE65+'держ.бюджет'!AE65+'місц.-районн.бюджет'!AE65+обласний!AE65+інші!AE65</f>
        <v>0</v>
      </c>
      <c r="AF65" s="63">
        <f>'насел.'!AF65+пільги!AF65+субсидії!AF65+'держ.бюджет'!AF65+'місц.-районн.бюджет'!AF65+обласний!AF65+інші!AF65</f>
        <v>0</v>
      </c>
      <c r="AG65" s="62" t="e">
        <f t="shared" si="62"/>
        <v>#DIV/0!</v>
      </c>
      <c r="AH65" s="63">
        <f>'насел.'!AH65+пільги!AH65+субсидії!AH65+'держ.бюджет'!AH65+'місц.-районн.бюджет'!AH65+обласний!AH65+інші!AH65</f>
        <v>0</v>
      </c>
      <c r="AI65" s="63">
        <f>'насел.'!AI65+пільги!AI65+субсидії!AI65+'держ.бюджет'!AI65+'місц.-районн.бюджет'!AI65+обласний!AI65+інші!AI65</f>
        <v>0</v>
      </c>
      <c r="AJ65" s="62" t="e">
        <f t="shared" si="63"/>
        <v>#DIV/0!</v>
      </c>
      <c r="AK65" s="79">
        <f>'насел.'!AK65+пільги!AR65+субсидії!AK65+'держ.бюджет'!AK65+'місц.-районн.бюджет'!AK65+обласний!AK65+інші!AK65</f>
        <v>0</v>
      </c>
      <c r="AL65" s="63">
        <f>'насел.'!AL65+пільги!AK65+субсидії!AL65+'держ.бюджет'!AL65+'місц.-районн.бюджет'!AL65+обласний!AL65+інші!AL65</f>
        <v>0</v>
      </c>
      <c r="AM65" s="63" t="e">
        <f t="shared" si="64"/>
        <v>#DIV/0!</v>
      </c>
      <c r="AN65" s="79">
        <f>'насел.'!AN65+пільги!AN65+субсидії!AN65+'держ.бюджет'!AN65+'місц.-районн.бюджет'!AN65+обласний!AN65+інші!AN65</f>
        <v>0</v>
      </c>
      <c r="AO65" s="63">
        <f>'насел.'!AO65+пільги!AN65+субсидії!AO65+'держ.бюджет'!AO65+'місц.-районн.бюджет'!AO65+обласний!AO65+інші!AO65</f>
        <v>0</v>
      </c>
      <c r="AP65" s="63">
        <f>'насел.'!AP65+пільги!AO65+субсидії!AP65+'держ.бюджет'!AP65+'місц.-районн.бюджет'!AP65+обласний!AP65+інші!AP65</f>
        <v>0</v>
      </c>
      <c r="AQ65" s="63">
        <f>'насел.'!AQ65+пільги!AP65+субсидії!AQ65+'держ.бюджет'!AQ65+'місц.-районн.бюджет'!AQ65+обласний!AQ65+інші!AQ65</f>
        <v>0</v>
      </c>
      <c r="AR65" s="63">
        <f>'насел.'!AR65+пільги!AQ65+субсидії!AR65+'держ.бюджет'!AR65+'місц.-районн.бюджет'!AR65+обласний!AR65+інші!AR65</f>
        <v>0</v>
      </c>
      <c r="AS65" s="63">
        <f>'насел.'!AS65+пільги!AR65+субсидії!AS65+'держ.бюджет'!AS65+'місц.-районн.бюджет'!AS65+обласний!AS65+інші!AS65</f>
        <v>0</v>
      </c>
      <c r="AT65" s="63">
        <f>'насел.'!AT65+пільги!AT65+субсидії!AT65+'держ.бюджет'!AT65+'місц.-районн.бюджет'!AT65+обласний!AT65+інші!AT65</f>
        <v>0</v>
      </c>
      <c r="AU65" s="63">
        <f>'насел.'!AU65+пільги!AU65+субсидії!AU65+'держ.бюджет'!AU65+'місц.-районн.бюджет'!AU65+обласний!AU65+інші!AU65</f>
        <v>0</v>
      </c>
      <c r="AV65" s="62" t="e">
        <f t="shared" si="65"/>
        <v>#DIV/0!</v>
      </c>
      <c r="AW65" s="63">
        <f t="shared" si="13"/>
        <v>0</v>
      </c>
      <c r="AX65" s="66">
        <f>'насел.'!AX65+пільги!AX65+субсидії!AX65+'держ.бюджет'!AX65+'місц.-районн.бюджет'!AX65+обласний!AX65+інші!AX65</f>
        <v>0</v>
      </c>
      <c r="AY65" s="144"/>
      <c r="AZ65" s="144"/>
      <c r="BA65" s="144"/>
      <c r="BB65" s="144"/>
    </row>
    <row r="66" spans="1:54" ht="34.5" customHeight="1" hidden="1">
      <c r="A66" s="10" t="s">
        <v>23</v>
      </c>
      <c r="B66" s="153" t="s">
        <v>124</v>
      </c>
      <c r="C66" s="63">
        <f>'насел.'!C66+пільги!C66+субсидії!C66+'держ.бюджет'!C66+'місц.-районн.бюджет'!C66+обласний!C66+інші!C66</f>
        <v>0</v>
      </c>
      <c r="D66" s="63">
        <f>'насел.'!D66+пільги!D66+субсидії!D66+'держ.бюджет'!D66+'місц.-районн.бюджет'!D66+обласний!D66+інші!D66</f>
        <v>0</v>
      </c>
      <c r="E66" s="63">
        <f>'насел.'!E66+пільги!E66+субсидії!E66+'держ.бюджет'!E66+'місц.-районн.бюджет'!E66+обласний!E66+інші!E66</f>
        <v>0</v>
      </c>
      <c r="F66" s="62" t="e">
        <f t="shared" si="53"/>
        <v>#DIV/0!</v>
      </c>
      <c r="G66" s="63">
        <f>'насел.'!G66+пільги!G66+субсидії!G66+'держ.бюджет'!G66+'місц.-районн.бюджет'!G66+обласний!G66+інші!G66</f>
        <v>0</v>
      </c>
      <c r="H66" s="63">
        <f>'насел.'!H66+пільги!H66+субсидії!H66+'держ.бюджет'!H66+'місц.-районн.бюджет'!H66+обласний!H66+інші!H66</f>
        <v>0</v>
      </c>
      <c r="I66" s="62" t="e">
        <f t="shared" si="54"/>
        <v>#DIV/0!</v>
      </c>
      <c r="J66" s="63">
        <f>'насел.'!J66+пільги!J66+субсидії!J66+'держ.бюджет'!J66+'місц.-районн.бюджет'!J66+обласний!J66+інші!J66</f>
        <v>0</v>
      </c>
      <c r="K66" s="63">
        <f>'насел.'!K66+пільги!K66+субсидії!K66+'держ.бюджет'!K66+'місц.-районн.бюджет'!K66+обласний!K66+інші!K66</f>
        <v>0</v>
      </c>
      <c r="L66" s="62" t="e">
        <f t="shared" si="55"/>
        <v>#DIV/0!</v>
      </c>
      <c r="M66" s="62">
        <f>'насел.'!M66+пільги!M66+субсидії!M66+'держ.бюджет'!M66+'місц.-районн.бюджет'!M66+обласний!M66+інші!M66</f>
        <v>0</v>
      </c>
      <c r="N66" s="62">
        <f>'насел.'!N66+пільги!N66+субсидії!N66+'держ.бюджет'!N66+'місц.-районн.бюджет'!N66+обласний!N66+інші!N66</f>
        <v>0</v>
      </c>
      <c r="O66" s="62" t="e">
        <f t="shared" si="56"/>
        <v>#DIV/0!</v>
      </c>
      <c r="P66" s="63">
        <f>'насел.'!P66+пільги!P66+субсидії!P66+'держ.бюджет'!P66+'місц.-районн.бюджет'!P66+обласний!P66+інші!P66</f>
        <v>0</v>
      </c>
      <c r="Q66" s="63">
        <f>'насел.'!Q66+пільги!Q66+субсидії!Q66+'держ.бюджет'!Q66+'місц.-районн.бюджет'!Q66+обласний!Q66+інші!Q66</f>
        <v>0</v>
      </c>
      <c r="R66" s="63" t="e">
        <f t="shared" si="57"/>
        <v>#DIV/0!</v>
      </c>
      <c r="S66" s="63">
        <f>'насел.'!S66+пільги!S66+субсидії!S66+'держ.бюджет'!S66+'місц.-районн.бюджет'!S66+обласний!S66+інші!S66</f>
        <v>0</v>
      </c>
      <c r="T66" s="63">
        <f>'насел.'!T66+пільги!T66+субсидії!T66+'держ.бюджет'!T66+'місц.-районн.бюджет'!T66+обласний!T66+інші!T66</f>
        <v>0</v>
      </c>
      <c r="U66" s="62" t="e">
        <f t="shared" si="58"/>
        <v>#DIV/0!</v>
      </c>
      <c r="V66" s="63">
        <f>'насел.'!V66+пільги!V66+субсидії!V66+'держ.бюджет'!V66+'місц.-районн.бюджет'!V66+обласний!V66+інші!V66</f>
        <v>0</v>
      </c>
      <c r="W66" s="63">
        <f>'насел.'!W66+пільги!W66+субсидії!W66+'держ.бюджет'!W66+'місц.-районн.бюджет'!W66+обласний!W66+інші!W66</f>
        <v>0</v>
      </c>
      <c r="X66" s="62" t="e">
        <f t="shared" si="59"/>
        <v>#DIV/0!</v>
      </c>
      <c r="Y66" s="63">
        <f>'насел.'!Y66+пільги!Y66+субсидії!Y66+'держ.бюджет'!Y66+'місц.-районн.бюджет'!Y66+обласний!Y66+інші!Y66</f>
        <v>0</v>
      </c>
      <c r="Z66" s="63">
        <f>'насел.'!Z66+пільги!Z66+субсидії!Z66+'держ.бюджет'!Z66+'місц.-районн.бюджет'!Z66+обласний!Z66+інші!Z66</f>
        <v>0</v>
      </c>
      <c r="AA66" s="62" t="e">
        <f t="shared" si="60"/>
        <v>#DIV/0!</v>
      </c>
      <c r="AB66" s="63">
        <f>'насел.'!AB66+пільги!AB66+субсидії!AB66+'держ.бюджет'!AB66+'місц.-районн.бюджет'!AB66+обласний!AB66+інші!AB66</f>
        <v>0</v>
      </c>
      <c r="AC66" s="63">
        <f>'насел.'!AC66+пільги!AC66+субсидії!AC66+'держ.бюджет'!AC66+'місц.-районн.бюджет'!AC66+обласний!AC66+інші!AC66</f>
        <v>0</v>
      </c>
      <c r="AD66" s="62" t="e">
        <f t="shared" si="61"/>
        <v>#DIV/0!</v>
      </c>
      <c r="AE66" s="63">
        <f>'насел.'!AE66+пільги!AE66+субсидії!AE66+'держ.бюджет'!AE66+'місц.-районн.бюджет'!AE66+обласний!AE66+інші!AE66</f>
        <v>0</v>
      </c>
      <c r="AF66" s="63">
        <f>'насел.'!AF66+пільги!AF66+субсидії!AF66+'держ.бюджет'!AF66+'місц.-районн.бюджет'!AF66+обласний!AF66+інші!AF66</f>
        <v>0</v>
      </c>
      <c r="AG66" s="62" t="e">
        <f t="shared" si="62"/>
        <v>#DIV/0!</v>
      </c>
      <c r="AH66" s="63">
        <f>'насел.'!AH66+пільги!AH66+субсидії!AH66+'держ.бюджет'!AH66+'місц.-районн.бюджет'!AH66+обласний!AH66+інші!AH66</f>
        <v>0</v>
      </c>
      <c r="AI66" s="63">
        <f>'насел.'!AI66+пільги!AI66+субсидії!AI66+'держ.бюджет'!AI66+'місц.-районн.бюджет'!AI66+обласний!AI66+інші!AI66</f>
        <v>0</v>
      </c>
      <c r="AJ66" s="62" t="e">
        <f t="shared" si="63"/>
        <v>#DIV/0!</v>
      </c>
      <c r="AK66" s="79">
        <f>'насел.'!AK66+пільги!AR66+субсидії!AK66+'держ.бюджет'!AK66+'місц.-районн.бюджет'!AK66+обласний!AK66+інші!AK66</f>
        <v>0</v>
      </c>
      <c r="AL66" s="63">
        <f>'насел.'!AL66+пільги!AK66+субсидії!AL66+'держ.бюджет'!AL66+'місц.-районн.бюджет'!AL66+обласний!AL66+інші!AL66</f>
        <v>0</v>
      </c>
      <c r="AM66" s="63" t="e">
        <f t="shared" si="64"/>
        <v>#DIV/0!</v>
      </c>
      <c r="AN66" s="79">
        <f>'насел.'!AN66+пільги!AN66+субсидії!AN66+'держ.бюджет'!AN66+'місц.-районн.бюджет'!AN66+обласний!AN66+інші!AN66</f>
        <v>0</v>
      </c>
      <c r="AO66" s="63">
        <f>'насел.'!AO66+пільги!AN66+субсидії!AO66+'держ.бюджет'!AO66+'місц.-районн.бюджет'!AO66+обласний!AO66+інші!AO66</f>
        <v>0</v>
      </c>
      <c r="AP66" s="63">
        <f>'насел.'!AP66+пільги!AO66+субсидії!AP66+'держ.бюджет'!AP66+'місц.-районн.бюджет'!AP66+обласний!AP66+інші!AP66</f>
        <v>0</v>
      </c>
      <c r="AQ66" s="63">
        <f>'насел.'!AQ66+пільги!AP66+субсидії!AQ66+'держ.бюджет'!AQ66+'місц.-районн.бюджет'!AQ66+обласний!AQ66+інші!AQ66</f>
        <v>0</v>
      </c>
      <c r="AR66" s="63">
        <f>'насел.'!AR66+пільги!AQ66+субсидії!AR66+'держ.бюджет'!AR66+'місц.-районн.бюджет'!AR66+обласний!AR66+інші!AR66</f>
        <v>0</v>
      </c>
      <c r="AS66" s="63">
        <f>'насел.'!AS66+пільги!AR66+субсидії!AS66+'держ.бюджет'!AS66+'місц.-районн.бюджет'!AS66+обласний!AS66+інші!AS66</f>
        <v>0</v>
      </c>
      <c r="AT66" s="63">
        <f>'насел.'!AT66+пільги!AT66+субсидії!AT66+'держ.бюджет'!AT66+'місц.-районн.бюджет'!AT66+обласний!AT66+інші!AT66</f>
        <v>0</v>
      </c>
      <c r="AU66" s="63">
        <f>'насел.'!AU66+пільги!AU66+субсидії!AU66+'держ.бюджет'!AU66+'місц.-районн.бюджет'!AU66+обласний!AU66+інші!AU66</f>
        <v>0</v>
      </c>
      <c r="AV66" s="62" t="e">
        <f t="shared" si="65"/>
        <v>#DIV/0!</v>
      </c>
      <c r="AW66" s="63">
        <f t="shared" si="13"/>
        <v>0</v>
      </c>
      <c r="AX66" s="66">
        <f>'насел.'!AX66+пільги!AX66+субсидії!AX66+'держ.бюджет'!AX66+'місц.-районн.бюджет'!AX66+обласний!AX66+інші!AX66</f>
        <v>0</v>
      </c>
      <c r="AY66" s="144"/>
      <c r="AZ66" s="144"/>
      <c r="BA66" s="144"/>
      <c r="BB66" s="144"/>
    </row>
    <row r="67" spans="1:54" ht="34.5" customHeight="1">
      <c r="A67" s="10" t="s">
        <v>11</v>
      </c>
      <c r="B67" s="153" t="s">
        <v>125</v>
      </c>
      <c r="C67" s="63">
        <f>'насел.'!C67+пільги!C67+субсидії!C67+'держ.бюджет'!C67+'місц.-районн.бюджет'!C67+обласний!C67+інші!C67</f>
        <v>17640.3</v>
      </c>
      <c r="D67" s="63">
        <f>'насел.'!D67+пільги!D67+субсидії!D67+'держ.бюджет'!D67+'місц.-районн.бюджет'!D67+обласний!D67+інші!D67</f>
        <v>7865.1</v>
      </c>
      <c r="E67" s="63">
        <f>'насел.'!E67+пільги!E67+субсидії!E67+'держ.бюджет'!E67+'місц.-районн.бюджет'!E67+обласний!E67+інші!E67</f>
        <v>5017.6</v>
      </c>
      <c r="F67" s="62">
        <f t="shared" si="53"/>
        <v>63.79575593444458</v>
      </c>
      <c r="G67" s="63">
        <f>'насел.'!G67+пільги!G67+субсидії!G67+'держ.бюджет'!G67+'місц.-районн.бюджет'!G67+обласний!G67+інші!G67</f>
        <v>7637.4</v>
      </c>
      <c r="H67" s="63">
        <f>'насел.'!H67+пільги!H67+субсидії!H67+'держ.бюджет'!H67+'місц.-районн.бюджет'!H67+обласний!H67+інші!H67</f>
        <v>6143</v>
      </c>
      <c r="I67" s="62">
        <f t="shared" si="54"/>
        <v>80.433131694032</v>
      </c>
      <c r="J67" s="63">
        <f>'насел.'!J67+пільги!J67+субсидії!J67+'держ.бюджет'!J67+'місц.-районн.бюджет'!J67+обласний!J67+інші!J67</f>
        <v>7200</v>
      </c>
      <c r="K67" s="63">
        <f>'насел.'!K67+пільги!K67+субсидії!K67+'держ.бюджет'!K67+'місц.-районн.бюджет'!K67+обласний!K67+інші!K67</f>
        <v>7748.1</v>
      </c>
      <c r="L67" s="62">
        <f t="shared" si="55"/>
        <v>107.6125</v>
      </c>
      <c r="M67" s="62">
        <f>'насел.'!M67+пільги!M67+субсидії!M67+'держ.бюджет'!M67+'місц.-районн.бюджет'!M67+обласний!M67+інші!M67</f>
        <v>22702.5</v>
      </c>
      <c r="N67" s="62">
        <f>'насел.'!N67+пільги!N67+субсидії!N67+'держ.бюджет'!N67+'місц.-районн.бюджет'!N67+обласний!N67+інші!N67</f>
        <v>18908.7</v>
      </c>
      <c r="O67" s="62">
        <f t="shared" si="56"/>
        <v>83.28906508093823</v>
      </c>
      <c r="P67" s="63">
        <f>'насел.'!P67+пільги!P67+субсидії!P67+'держ.бюджет'!P67+'місц.-районн.бюджет'!P67+обласний!P67+інші!P67</f>
        <v>4595.4</v>
      </c>
      <c r="Q67" s="63">
        <f>'насел.'!Q67+пільги!Q67+субсидії!Q67+'держ.бюджет'!Q67+'місц.-районн.бюджет'!Q67+обласний!Q67+інші!Q67</f>
        <v>7108.3</v>
      </c>
      <c r="R67" s="63">
        <f t="shared" si="57"/>
        <v>154.6829438133786</v>
      </c>
      <c r="S67" s="63">
        <f>'насел.'!S67+пільги!S67+субсидії!S67+'держ.бюджет'!S67+'місц.-районн.бюджет'!S67+обласний!S67+інші!S67</f>
        <v>611.5</v>
      </c>
      <c r="T67" s="63">
        <f>'насел.'!T67+пільги!T67+субсидії!T67+'держ.бюджет'!T67+'місц.-районн.бюджет'!T67+обласний!T67+інші!T67</f>
        <v>4136.6</v>
      </c>
      <c r="U67" s="62">
        <f t="shared" si="58"/>
        <v>676.4677023712184</v>
      </c>
      <c r="V67" s="63">
        <f>'насел.'!V67+пільги!V67+субсидії!V67+'держ.бюджет'!V67+'місц.-районн.бюджет'!V67+обласний!V67+інші!V67</f>
        <v>365.6</v>
      </c>
      <c r="W67" s="63">
        <f>'насел.'!W67+пільги!W67+субсидії!W67+'держ.бюджет'!W67+'місц.-районн.бюджет'!W67+обласний!W67+інші!W67</f>
        <v>1257.7</v>
      </c>
      <c r="X67" s="62">
        <f t="shared" si="59"/>
        <v>344.0098468271335</v>
      </c>
      <c r="Y67" s="63">
        <f>'насел.'!Y67+пільги!Y67+субсидії!Y67+'держ.бюджет'!Y67+'місц.-районн.бюджет'!Y67+обласний!Y67+інші!Y67</f>
        <v>5572.5</v>
      </c>
      <c r="Z67" s="63">
        <f>'насел.'!Z67+пільги!Z67+субсидії!Z67+'держ.бюджет'!Z67+'місц.-районн.бюджет'!Z67+обласний!Z67+інші!Z67</f>
        <v>12502.6</v>
      </c>
      <c r="AA67" s="62">
        <f t="shared" si="60"/>
        <v>224.36249439210408</v>
      </c>
      <c r="AB67" s="63">
        <f>'насел.'!AB67+пільги!AB67+субсидії!AB67+'держ.бюджет'!AB67+'місц.-районн.бюджет'!AB67+обласний!AB67+інші!AB67</f>
        <v>0</v>
      </c>
      <c r="AC67" s="63">
        <f>'насел.'!AC67+пільги!AC67+субсидії!AC67+'держ.бюджет'!AC67+'місц.-районн.бюджет'!AC67+обласний!AC67+інші!AC67</f>
        <v>0</v>
      </c>
      <c r="AD67" s="62" t="e">
        <f t="shared" si="61"/>
        <v>#DIV/0!</v>
      </c>
      <c r="AE67" s="63">
        <f>'насел.'!AE67+пільги!AE67+субсидії!AE67+'держ.бюджет'!AE67+'місц.-районн.бюджет'!AE67+обласний!AE67+інші!AE67</f>
        <v>0</v>
      </c>
      <c r="AF67" s="63">
        <f>'насел.'!AF67+пільги!AF67+субсидії!AF67+'держ.бюджет'!AF67+'місц.-районн.бюджет'!AF67+обласний!AF67+інші!AF67</f>
        <v>0</v>
      </c>
      <c r="AG67" s="62" t="e">
        <f t="shared" si="62"/>
        <v>#DIV/0!</v>
      </c>
      <c r="AH67" s="63">
        <f>'насел.'!AH67+пільги!AH67+субсидії!AH67+'держ.бюджет'!AH67+'місц.-районн.бюджет'!AH67+обласний!AH67+інші!AH67</f>
        <v>0</v>
      </c>
      <c r="AI67" s="63">
        <f>'насел.'!AI67+пільги!AI67+субсидії!AI67+'держ.бюджет'!AI67+'місц.-районн.бюджет'!AI67+обласний!AI67+інші!AI67</f>
        <v>0</v>
      </c>
      <c r="AJ67" s="62" t="e">
        <f t="shared" si="63"/>
        <v>#DIV/0!</v>
      </c>
      <c r="AK67" s="79">
        <f>'насел.'!AK67+пільги!AR67+субсидії!AK67+'держ.бюджет'!AK67+'місц.-районн.бюджет'!AK67+обласний!AK67+інші!AK67</f>
        <v>0</v>
      </c>
      <c r="AL67" s="63">
        <f>'насел.'!AL67+пільги!AK67+субсидії!AL67+'держ.бюджет'!AL67+'місц.-районн.бюджет'!AL67+обласний!AL67+інші!AL67</f>
        <v>0</v>
      </c>
      <c r="AM67" s="63" t="e">
        <f t="shared" si="64"/>
        <v>#DIV/0!</v>
      </c>
      <c r="AN67" s="79">
        <f>'насел.'!AN67+пільги!AN67+субсидії!AN67+'держ.бюджет'!AN67+'місц.-районн.бюджет'!AN67+обласний!AN67+інші!AN67</f>
        <v>0</v>
      </c>
      <c r="AO67" s="63">
        <f>'насел.'!AO67+пільги!AN67+субсидії!AO67+'держ.бюджет'!AO67+'місц.-районн.бюджет'!AO67+обласний!AO67+інші!AO67</f>
        <v>0</v>
      </c>
      <c r="AP67" s="63">
        <f>'насел.'!AP67+пільги!AO67+субсидії!AP67+'держ.бюджет'!AP67+'місц.-районн.бюджет'!AP67+обласний!AP67+інші!AP67</f>
        <v>0</v>
      </c>
      <c r="AQ67" s="63">
        <f>'насел.'!AQ67+пільги!AP67+субсидії!AQ67+'держ.бюджет'!AQ67+'місц.-районн.бюджет'!AQ67+обласний!AQ67+інші!AQ67</f>
        <v>0</v>
      </c>
      <c r="AR67" s="63">
        <f>'насел.'!AR67+пільги!AQ67+субсидії!AR67+'держ.бюджет'!AR67+'місц.-районн.бюджет'!AR67+обласний!AR67+інші!AR67</f>
        <v>0</v>
      </c>
      <c r="AS67" s="63">
        <f>'насел.'!AS67+пільги!AR67+субсидії!AS67+'держ.бюджет'!AS67+'місц.-районн.бюджет'!AS67+обласний!AS67+інші!AS67</f>
        <v>0</v>
      </c>
      <c r="AT67" s="63">
        <f>'насел.'!AT67+пільги!AT67+субсидії!AT67+'держ.бюджет'!AT67+'місц.-районн.бюджет'!AT67+обласний!AT67+інші!AT67</f>
        <v>28274.999999999996</v>
      </c>
      <c r="AU67" s="63">
        <f>'насел.'!AU67+пільги!AU67+субсидії!AU67+'держ.бюджет'!AU67+'місц.-районн.бюджет'!AU67+обласний!AU67+інші!AU67</f>
        <v>31411.300000000003</v>
      </c>
      <c r="AV67" s="62">
        <f t="shared" si="65"/>
        <v>111.09213085764813</v>
      </c>
      <c r="AW67" s="63">
        <f t="shared" si="13"/>
        <v>-3136.3000000000065</v>
      </c>
      <c r="AX67" s="66">
        <f>'насел.'!AX67+пільги!AX67+субсидії!AX67+'держ.бюджет'!AX67+'місц.-районн.бюджет'!AX67+обласний!AX67+інші!AX67</f>
        <v>14503.999999999996</v>
      </c>
      <c r="AY67" s="144"/>
      <c r="AZ67" s="144"/>
      <c r="BA67" s="144"/>
      <c r="BB67" s="144"/>
    </row>
    <row r="68" spans="1:54" ht="34.5" customHeight="1" hidden="1">
      <c r="A68" s="10" t="s">
        <v>10</v>
      </c>
      <c r="B68" s="110" t="s">
        <v>126</v>
      </c>
      <c r="C68" s="63">
        <f>'насел.'!C68+пільги!C68+субсидії!C68+'держ.бюджет'!C68+'місц.-районн.бюджет'!C68+обласний!C68+інші!C68</f>
        <v>0</v>
      </c>
      <c r="D68" s="63">
        <f>'насел.'!D68+пільги!D68+субсидії!D68+'держ.бюджет'!D68+'місц.-районн.бюджет'!D68+обласний!D68+інші!D68</f>
        <v>0</v>
      </c>
      <c r="E68" s="63">
        <f>'насел.'!E68+пільги!E68+субсидії!E68+'держ.бюджет'!E68+'місц.-районн.бюджет'!E68+обласний!E68+інші!E68</f>
        <v>0</v>
      </c>
      <c r="F68" s="62" t="e">
        <f t="shared" si="53"/>
        <v>#DIV/0!</v>
      </c>
      <c r="G68" s="63">
        <f>'насел.'!G68+пільги!G68+субсидії!G68+'держ.бюджет'!G68+'місц.-районн.бюджет'!G68+обласний!G68+інші!G68</f>
        <v>0</v>
      </c>
      <c r="H68" s="63">
        <f>'насел.'!H68+пільги!H68+субсидії!H68+'держ.бюджет'!H68+'місц.-районн.бюджет'!H68+обласний!H68+інші!H68</f>
        <v>0</v>
      </c>
      <c r="I68" s="62" t="e">
        <f t="shared" si="54"/>
        <v>#DIV/0!</v>
      </c>
      <c r="J68" s="63">
        <f>'насел.'!J68+пільги!J68+субсидії!J68+'держ.бюджет'!J68+'місц.-районн.бюджет'!J68+обласний!J68+інші!J68</f>
        <v>0</v>
      </c>
      <c r="K68" s="63">
        <f>'насел.'!K68+пільги!K68+субсидії!K68+'держ.бюджет'!K68+'місц.-районн.бюджет'!K68+обласний!K68+інші!K68</f>
        <v>0</v>
      </c>
      <c r="L68" s="62" t="e">
        <f t="shared" si="55"/>
        <v>#DIV/0!</v>
      </c>
      <c r="M68" s="62">
        <f>'насел.'!M68+пільги!M68+субсидії!M68+'держ.бюджет'!M68+'місц.-районн.бюджет'!M68+обласний!M68+інші!M68</f>
        <v>0</v>
      </c>
      <c r="N68" s="62">
        <f>'насел.'!N68+пільги!N68+субсидії!N68+'держ.бюджет'!N68+'місц.-районн.бюджет'!N68+обласний!N68+інші!N68</f>
        <v>0</v>
      </c>
      <c r="O68" s="62" t="e">
        <f t="shared" si="56"/>
        <v>#DIV/0!</v>
      </c>
      <c r="P68" s="63">
        <f>'насел.'!P68+пільги!P68+субсидії!P68+'держ.бюджет'!P68+'місц.-районн.бюджет'!P68+обласний!P68+інші!P68</f>
        <v>0</v>
      </c>
      <c r="Q68" s="63">
        <f>'насел.'!Q68+пільги!Q68+субсидії!Q68+'держ.бюджет'!Q68+'місц.-районн.бюджет'!Q68+обласний!Q68+інші!Q68</f>
        <v>0</v>
      </c>
      <c r="R68" s="63" t="e">
        <f t="shared" si="57"/>
        <v>#DIV/0!</v>
      </c>
      <c r="S68" s="63">
        <f>'насел.'!S68+пільги!S68+субсидії!S68+'держ.бюджет'!S68+'місц.-районн.бюджет'!S68+обласний!S68+інші!S68</f>
        <v>0</v>
      </c>
      <c r="T68" s="63">
        <f>'насел.'!T68+пільги!T68+субсидії!T68+'держ.бюджет'!T68+'місц.-районн.бюджет'!T68+обласний!T68+інші!T68</f>
        <v>0</v>
      </c>
      <c r="U68" s="62" t="e">
        <f t="shared" si="58"/>
        <v>#DIV/0!</v>
      </c>
      <c r="V68" s="63">
        <f>'насел.'!V68+пільги!V68+субсидії!V68+'держ.бюджет'!V68+'місц.-районн.бюджет'!V68+обласний!V68+інші!V68</f>
        <v>0</v>
      </c>
      <c r="W68" s="63">
        <f>'насел.'!W68+пільги!W68+субсидії!W68+'держ.бюджет'!W68+'місц.-районн.бюджет'!W68+обласний!W68+інші!W68</f>
        <v>0</v>
      </c>
      <c r="X68" s="62" t="e">
        <f t="shared" si="59"/>
        <v>#DIV/0!</v>
      </c>
      <c r="Y68" s="63">
        <f>'насел.'!Y68+пільги!Y68+субсидії!Y68+'держ.бюджет'!Y68+'місц.-районн.бюджет'!Y68+обласний!Y68+інші!Y68</f>
        <v>0</v>
      </c>
      <c r="Z68" s="63">
        <f>'насел.'!Z68+пільги!Z68+субсидії!Z68+'держ.бюджет'!Z68+'місц.-районн.бюджет'!Z68+обласний!Z68+інші!Z68</f>
        <v>0</v>
      </c>
      <c r="AA68" s="62" t="e">
        <f t="shared" si="60"/>
        <v>#DIV/0!</v>
      </c>
      <c r="AB68" s="63">
        <f>'насел.'!AB68+пільги!AB68+субсидії!AB68+'держ.бюджет'!AB68+'місц.-районн.бюджет'!AB68+обласний!AB68+інші!AB68</f>
        <v>0</v>
      </c>
      <c r="AC68" s="63">
        <f>'насел.'!AC68+пільги!AC68+субсидії!AC68+'держ.бюджет'!AC68+'місц.-районн.бюджет'!AC68+обласний!AC68+інші!AC68</f>
        <v>0</v>
      </c>
      <c r="AD68" s="62" t="e">
        <f t="shared" si="61"/>
        <v>#DIV/0!</v>
      </c>
      <c r="AE68" s="63">
        <f>'насел.'!AE68+пільги!AE68+субсидії!AE68+'держ.бюджет'!AE68+'місц.-районн.бюджет'!AE68+обласний!AE68+інші!AE68</f>
        <v>0</v>
      </c>
      <c r="AF68" s="63">
        <f>'насел.'!AF68+пільги!AF68+субсидії!AF68+'держ.бюджет'!AF68+'місц.-районн.бюджет'!AF68+обласний!AF68+інші!AF68</f>
        <v>0</v>
      </c>
      <c r="AG68" s="62" t="e">
        <f t="shared" si="62"/>
        <v>#DIV/0!</v>
      </c>
      <c r="AH68" s="63">
        <f>'насел.'!AH68+пільги!AH68+субсидії!AH68+'держ.бюджет'!AH68+'місц.-районн.бюджет'!AH68+обласний!AH68+інші!AH68</f>
        <v>0</v>
      </c>
      <c r="AI68" s="63">
        <f>'насел.'!AI68+пільги!AI68+субсидії!AI68+'держ.бюджет'!AI68+'місц.-районн.бюджет'!AI68+обласний!AI68+інші!AI68</f>
        <v>0</v>
      </c>
      <c r="AJ68" s="62" t="e">
        <f t="shared" si="63"/>
        <v>#DIV/0!</v>
      </c>
      <c r="AK68" s="79">
        <f>'насел.'!AK68+пільги!AR68+субсидії!AK68+'держ.бюджет'!AK68+'місц.-районн.бюджет'!AK68+обласний!AK68+інші!AK68</f>
        <v>0</v>
      </c>
      <c r="AL68" s="63">
        <f>'насел.'!AL68+пільги!AK68+субсидії!AL68+'держ.бюджет'!AL68+'місц.-районн.бюджет'!AL68+обласний!AL68+інші!AL68</f>
        <v>0</v>
      </c>
      <c r="AM68" s="63" t="e">
        <f t="shared" si="64"/>
        <v>#DIV/0!</v>
      </c>
      <c r="AN68" s="79">
        <f>'насел.'!AN68+пільги!AN68+субсидії!AN68+'держ.бюджет'!AN68+'місц.-районн.бюджет'!AN68+обласний!AN68+інші!AN68</f>
        <v>0</v>
      </c>
      <c r="AO68" s="63">
        <f>'насел.'!AO68+пільги!AN68+субсидії!AO68+'держ.бюджет'!AO68+'місц.-районн.бюджет'!AO68+обласний!AO68+інші!AO68</f>
        <v>0</v>
      </c>
      <c r="AP68" s="63">
        <f>'насел.'!AP68+пільги!AO68+субсидії!AP68+'держ.бюджет'!AP68+'місц.-районн.бюджет'!AP68+обласний!AP68+інші!AP68</f>
        <v>0</v>
      </c>
      <c r="AQ68" s="63">
        <f>'насел.'!AQ68+пільги!AP68+субсидії!AQ68+'держ.бюджет'!AQ68+'місц.-районн.бюджет'!AQ68+обласний!AQ68+інші!AQ68</f>
        <v>0</v>
      </c>
      <c r="AR68" s="63">
        <f>'насел.'!AR68+пільги!AQ68+субсидії!AR68+'держ.бюджет'!AR68+'місц.-районн.бюджет'!AR68+обласний!AR68+інші!AR68</f>
        <v>0</v>
      </c>
      <c r="AS68" s="63">
        <f>'насел.'!AS68+пільги!AR68+субсидії!AS68+'держ.бюджет'!AS68+'місц.-районн.бюджет'!AS68+обласний!AS68+інші!AS68</f>
        <v>0</v>
      </c>
      <c r="AT68" s="63">
        <f>'насел.'!AT68+пільги!AT68+субсидії!AT68+'держ.бюджет'!AT68+'місц.-районн.бюджет'!AT68+обласний!AT68+інші!AT68</f>
        <v>0</v>
      </c>
      <c r="AU68" s="63">
        <f>'насел.'!AU68+пільги!AU68+субсидії!AU68+'держ.бюджет'!AU68+'місц.-районн.бюджет'!AU68+обласний!AU68+інші!AU68</f>
        <v>0</v>
      </c>
      <c r="AV68" s="62" t="e">
        <f t="shared" si="65"/>
        <v>#DIV/0!</v>
      </c>
      <c r="AW68" s="63">
        <f t="shared" si="13"/>
        <v>0</v>
      </c>
      <c r="AX68" s="66">
        <f>'насел.'!AX68+пільги!AX68+субсидії!AX68+'держ.бюджет'!AX68+'місц.-районн.бюджет'!AX68+обласний!AX68+інші!AX68</f>
        <v>0</v>
      </c>
      <c r="AY68" s="144"/>
      <c r="AZ68" s="144"/>
      <c r="BA68" s="144"/>
      <c r="BB68" s="144"/>
    </row>
    <row r="69" spans="1:54" ht="47.25" customHeight="1">
      <c r="A69" s="10" t="s">
        <v>11</v>
      </c>
      <c r="B69" s="110" t="s">
        <v>167</v>
      </c>
      <c r="C69" s="63">
        <f>'насел.'!C69+пільги!C69+субсидії!C69+'держ.бюджет'!C69+'місц.-районн.бюджет'!C69+обласний!C69+інші!C69</f>
        <v>11628</v>
      </c>
      <c r="D69" s="63">
        <f>'насел.'!D69+пільги!D69+субсидії!D69+'держ.бюджет'!D69+'місц.-районн.бюджет'!D69+обласний!D69+інші!D69</f>
        <v>4033.3</v>
      </c>
      <c r="E69" s="63">
        <f>'насел.'!E69+пільги!E69+субсидії!E69+'держ.бюджет'!E69+'місц.-районн.бюджет'!E69+обласний!E69+інші!E69</f>
        <v>2554.0000000000005</v>
      </c>
      <c r="F69" s="62">
        <f t="shared" si="53"/>
        <v>63.32283737882132</v>
      </c>
      <c r="G69" s="63">
        <f>'насел.'!G69+пільги!G69+субсидії!G69+'держ.бюджет'!G69+'місц.-районн.бюджет'!G69+обласний!G69+інші!G69</f>
        <v>4436.9</v>
      </c>
      <c r="H69" s="63">
        <f>'насел.'!H69+пільги!H69+субсидії!H69+'держ.бюджет'!H69+'місц.-районн.бюджет'!H69+обласний!H69+інші!H69</f>
        <v>3371.0000000000005</v>
      </c>
      <c r="I69" s="62">
        <f t="shared" si="54"/>
        <v>75.97647005792334</v>
      </c>
      <c r="J69" s="63">
        <f>'насел.'!J69+пільги!J69+субсидії!J69+'держ.бюджет'!J69+'місц.-районн.бюджет'!J69+обласний!J69+інші!J69</f>
        <v>3275.2</v>
      </c>
      <c r="K69" s="63">
        <f>'насел.'!K69+пільги!K69+субсидії!K69+'держ.бюджет'!K69+'місц.-районн.бюджет'!K69+обласний!K69+інші!K69</f>
        <v>3117.3</v>
      </c>
      <c r="L69" s="62">
        <f t="shared" si="55"/>
        <v>95.17892037127504</v>
      </c>
      <c r="M69" s="62">
        <f>'насел.'!M69+пільги!M69+субсидії!M69+'держ.бюджет'!M69+'місц.-районн.бюджет'!M69+обласний!M69+інші!M69</f>
        <v>11745.400000000001</v>
      </c>
      <c r="N69" s="62">
        <f>'насел.'!N69+пільги!N69+субсидії!N69+'держ.бюджет'!N69+'місц.-районн.бюджет'!N69+обласний!N69+інші!N69</f>
        <v>9042.300000000001</v>
      </c>
      <c r="O69" s="62">
        <f t="shared" si="56"/>
        <v>76.98588383537384</v>
      </c>
      <c r="P69" s="63">
        <f>'насел.'!P69+пільги!P69+субсидії!P69+'держ.бюджет'!P69+'місц.-районн.бюджет'!P69+обласний!P69+інші!P69</f>
        <v>-52.2</v>
      </c>
      <c r="Q69" s="63">
        <f>'насел.'!Q69+пільги!Q69+субсидії!Q69+'держ.бюджет'!Q69+'місц.-районн.бюджет'!Q69+обласний!Q69+інші!Q69</f>
        <v>1661</v>
      </c>
      <c r="R69" s="63">
        <f t="shared" si="57"/>
        <v>-3181.992337164751</v>
      </c>
      <c r="S69" s="63">
        <f>'насел.'!S69+пільги!S69+субсидії!S69+'держ.бюджет'!S69+'місц.-районн.бюджет'!S69+обласний!S69+інші!S69</f>
        <v>0</v>
      </c>
      <c r="T69" s="63">
        <f>'насел.'!T69+пільги!T69+субсидії!T69+'держ.бюджет'!T69+'місц.-районн.бюджет'!T69+обласний!T69+інші!T69</f>
        <v>604.5</v>
      </c>
      <c r="U69" s="62" t="e">
        <f t="shared" si="58"/>
        <v>#DIV/0!</v>
      </c>
      <c r="V69" s="63">
        <f>'насел.'!V69+пільги!V69+субсидії!V69+'держ.бюджет'!V69+'місц.-районн.бюджет'!V69+обласний!V69+інші!V69</f>
        <v>0</v>
      </c>
      <c r="W69" s="63">
        <f>'насел.'!W69+пільги!W69+субсидії!W69+'держ.бюджет'!W69+'місц.-районн.бюджет'!W69+обласний!W69+інші!W69</f>
        <v>765.4</v>
      </c>
      <c r="X69" s="62" t="e">
        <f t="shared" si="59"/>
        <v>#DIV/0!</v>
      </c>
      <c r="Y69" s="63">
        <f>'насел.'!Y69+пільги!Y69+субсидії!Y69+'держ.бюджет'!Y69+'місц.-районн.бюджет'!Y69+обласний!Y69+інші!Y69</f>
        <v>-52.2</v>
      </c>
      <c r="Z69" s="63">
        <f>'насел.'!Z69+пільги!Z69+субсидії!Z69+'держ.бюджет'!Z69+'місц.-районн.бюджет'!Z69+обласний!Z69+інші!Z69</f>
        <v>3030.9</v>
      </c>
      <c r="AA69" s="62">
        <f t="shared" si="60"/>
        <v>-5806.3218390804595</v>
      </c>
      <c r="AB69" s="63">
        <f>'насел.'!AB69+пільги!AB69+субсидії!AB69+'держ.бюджет'!AB69+'місц.-районн.бюджет'!AB69+обласний!AB69+інші!AB69</f>
        <v>0</v>
      </c>
      <c r="AC69" s="63">
        <f>'насел.'!AC69+пільги!AC69+субсидії!AC69+'держ.бюджет'!AC69+'місц.-районн.бюджет'!AC69+обласний!AC69+інші!AC69</f>
        <v>0</v>
      </c>
      <c r="AD69" s="62" t="e">
        <f t="shared" si="61"/>
        <v>#DIV/0!</v>
      </c>
      <c r="AE69" s="63">
        <f>'насел.'!AE69+пільги!AE69+субсидії!AE69+'держ.бюджет'!AE69+'місц.-районн.бюджет'!AE69+обласний!AE69+інші!AE69</f>
        <v>0</v>
      </c>
      <c r="AF69" s="63">
        <f>'насел.'!AF69+пільги!AF69+субсидії!AF69+'держ.бюджет'!AF69+'місц.-районн.бюджет'!AF69+обласний!AF69+інші!AF69</f>
        <v>0</v>
      </c>
      <c r="AG69" s="62" t="e">
        <f t="shared" si="62"/>
        <v>#DIV/0!</v>
      </c>
      <c r="AH69" s="63">
        <f>'насел.'!AH69+пільги!AH69+субсидії!AH69+'держ.бюджет'!AH69+'місц.-районн.бюджет'!AH69+обласний!AH69+інші!AH69</f>
        <v>0</v>
      </c>
      <c r="AI69" s="63">
        <f>'насел.'!AI69+пільги!AI69+субсидії!AI69+'держ.бюджет'!AI69+'місц.-районн.бюджет'!AI69+обласний!AI69+інші!AI69</f>
        <v>0</v>
      </c>
      <c r="AJ69" s="62" t="e">
        <f t="shared" si="63"/>
        <v>#DIV/0!</v>
      </c>
      <c r="AK69" s="79">
        <f>'насел.'!AK69+пільги!AR69+субсидії!AK69+'держ.бюджет'!AK69+'місц.-районн.бюджет'!AK69+обласний!AK69+інші!AK69</f>
        <v>0</v>
      </c>
      <c r="AL69" s="63">
        <f>'насел.'!AL69+пільги!AK69+субсидії!AL69+'держ.бюджет'!AL69+'місц.-районн.бюджет'!AL69+обласний!AL69+інші!AL69</f>
        <v>0</v>
      </c>
      <c r="AM69" s="63" t="e">
        <f t="shared" si="64"/>
        <v>#DIV/0!</v>
      </c>
      <c r="AN69" s="79">
        <f>'насел.'!AN69+пільги!AN69+субсидії!AN69+'держ.бюджет'!AN69+'місц.-районн.бюджет'!AN69+обласний!AN69+інші!AN69</f>
        <v>0</v>
      </c>
      <c r="AO69" s="63">
        <f>'насел.'!AO69+пільги!AN69+субсидії!AO69+'держ.бюджет'!AO69+'місц.-районн.бюджет'!AO69+обласний!AO69+інші!AO69</f>
        <v>0</v>
      </c>
      <c r="AP69" s="63">
        <f>'насел.'!AP69+пільги!AO69+субсидії!AP69+'держ.бюджет'!AP69+'місц.-районн.бюджет'!AP69+обласний!AP69+інші!AP69</f>
        <v>0</v>
      </c>
      <c r="AQ69" s="63">
        <f>'насел.'!AQ69+пільги!AP69+субсидії!AQ69+'держ.бюджет'!AQ69+'місц.-районн.бюджет'!AQ69+обласний!AQ69+інші!AQ69</f>
        <v>0</v>
      </c>
      <c r="AR69" s="63">
        <f>'насел.'!AR69+пільги!AQ69+субсидії!AR69+'держ.бюджет'!AR69+'місц.-районн.бюджет'!AR69+обласний!AR69+інші!AR69</f>
        <v>0</v>
      </c>
      <c r="AS69" s="63">
        <f>'насел.'!AS69+пільги!AR69+субсидії!AS69+'держ.бюджет'!AS69+'місц.-районн.бюджет'!AS69+обласний!AS69+інші!AS69</f>
        <v>0</v>
      </c>
      <c r="AT69" s="63">
        <f>'насел.'!AT69+пільги!AT69+субсидії!AT69+'держ.бюджет'!AT69+'місц.-районн.бюджет'!AT69+обласний!AT69+інші!AT69</f>
        <v>11693.2</v>
      </c>
      <c r="AU69" s="63">
        <f>'насел.'!AU69+пільги!AU69+субсидії!AU69+'держ.бюджет'!AU69+'місц.-районн.бюджет'!AU69+обласний!AU69+інші!AU69</f>
        <v>12073.2</v>
      </c>
      <c r="AV69" s="62">
        <f t="shared" si="65"/>
        <v>103.24975199261108</v>
      </c>
      <c r="AW69" s="63">
        <f t="shared" si="13"/>
        <v>-380</v>
      </c>
      <c r="AX69" s="66">
        <f>'насел.'!AX69+пільги!AX69+субсидії!AX69+'держ.бюджет'!AX69+'місц.-районн.бюджет'!AX69+обласний!AX69+інші!AX69</f>
        <v>11248</v>
      </c>
      <c r="AY69" s="144"/>
      <c r="AZ69" s="144"/>
      <c r="BA69" s="144"/>
      <c r="BB69" s="144"/>
    </row>
    <row r="70" spans="1:54" ht="34.5" customHeight="1">
      <c r="A70" s="10" t="s">
        <v>33</v>
      </c>
      <c r="B70" s="162" t="s">
        <v>166</v>
      </c>
      <c r="C70" s="63">
        <f>'насел.'!C70+пільги!C70+субсидії!C70+'держ.бюджет'!C70+'місц.-районн.бюджет'!C70+обласний!C70+інші!C70</f>
        <v>2078.3</v>
      </c>
      <c r="D70" s="63">
        <f>'насел.'!D70+пільги!D70+субсидії!D70+'держ.бюджет'!D70+'місц.-районн.бюджет'!D70+обласний!D70+інші!D70</f>
        <v>1213.1000000000001</v>
      </c>
      <c r="E70" s="63">
        <f>'насел.'!E70+пільги!E70+субсидії!E70+'держ.бюджет'!E70+'місц.-районн.бюджет'!E70+обласний!E70+інші!E70</f>
        <v>632.8000000000001</v>
      </c>
      <c r="F70" s="62">
        <f>E70/D70*100</f>
        <v>52.163877668782455</v>
      </c>
      <c r="G70" s="63">
        <f>'насел.'!G70+пільги!G70+субсидії!G70+'держ.бюджет'!G70+'місц.-районн.бюджет'!G70+обласний!G70+інші!G70</f>
        <v>1429.3999999999999</v>
      </c>
      <c r="H70" s="63">
        <f>'насел.'!H70+пільги!H70+субсидії!H70+'держ.бюджет'!H70+'місц.-районн.бюджет'!H70+обласний!H70+інші!H70</f>
        <v>995.5999999999999</v>
      </c>
      <c r="I70" s="62">
        <f>H70/G70*100</f>
        <v>69.65160207079893</v>
      </c>
      <c r="J70" s="63">
        <f>'насел.'!J70+пільги!J70+субсидії!J70+'держ.бюджет'!J70+'місц.-районн.бюджет'!J70+обласний!J70+інші!J70</f>
        <v>1126.1000000000001</v>
      </c>
      <c r="K70" s="63">
        <f>'насел.'!K70+пільги!K70+субсидії!K70+'держ.бюджет'!K70+'місц.-районн.бюджет'!K70+обласний!K70+інші!K70</f>
        <v>1258.5</v>
      </c>
      <c r="L70" s="62">
        <f>K70/J70*100</f>
        <v>111.75739277151229</v>
      </c>
      <c r="M70" s="62">
        <f>'насел.'!M70+пільги!M70+субсидії!M70+'держ.бюджет'!M70+'місц.-районн.бюджет'!M70+обласний!M70+інші!M70</f>
        <v>3768.6000000000004</v>
      </c>
      <c r="N70" s="62">
        <f>'насел.'!N70+пільги!N70+субсидії!N70+'держ.бюджет'!N70+'місц.-районн.бюджет'!N70+обласний!N70+інші!N70</f>
        <v>2886.9</v>
      </c>
      <c r="O70" s="62">
        <f>N70/M70*100</f>
        <v>76.60404394204744</v>
      </c>
      <c r="P70" s="63">
        <f>'насел.'!P70+пільги!P70+субсидії!P70+'держ.бюджет'!P70+'місц.-районн.бюджет'!P70+обласний!P70+інші!P70</f>
        <v>375.79999999999995</v>
      </c>
      <c r="Q70" s="63">
        <f>'насел.'!Q70+пільги!Q70+субсидії!Q70+'держ.бюджет'!Q70+'місц.-районн.бюджет'!Q70+обласний!Q70+інші!Q70</f>
        <v>957.2</v>
      </c>
      <c r="R70" s="63">
        <f>Q70/P70*100</f>
        <v>254.70995210218206</v>
      </c>
      <c r="S70" s="63">
        <f>'насел.'!S70+пільги!S70+субсидії!S70+'держ.бюджет'!S70+'місц.-районн.бюджет'!S70+обласний!S70+інші!S70</f>
        <v>0</v>
      </c>
      <c r="T70" s="63">
        <f>'насел.'!T70+пільги!T70+субсидії!T70+'держ.бюджет'!T70+'місц.-районн.бюджет'!T70+обласний!T70+інші!T70</f>
        <v>439.4</v>
      </c>
      <c r="U70" s="62" t="e">
        <f>T70/S70*100</f>
        <v>#DIV/0!</v>
      </c>
      <c r="V70" s="63">
        <f>'насел.'!V70+пільги!V70+субсидії!V70+'держ.бюджет'!V70+'місц.-районн.бюджет'!V70+обласний!V70+інші!V70</f>
        <v>0</v>
      </c>
      <c r="W70" s="63">
        <f>'насел.'!W70+пільги!W70+субсидії!W70+'держ.бюджет'!W70+'місц.-районн.бюджет'!W70+обласний!W70+інші!W70</f>
        <v>121.1</v>
      </c>
      <c r="X70" s="62" t="e">
        <f>W70/V70*100</f>
        <v>#DIV/0!</v>
      </c>
      <c r="Y70" s="63">
        <f>'насел.'!Y70+пільги!Y70+субсидії!Y70+'держ.бюджет'!Y70+'місц.-районн.бюджет'!Y70+обласний!Y70+інші!Y70</f>
        <v>375.79999999999995</v>
      </c>
      <c r="Z70" s="63">
        <f>'насел.'!Z70+пільги!Z70+субсидії!Z70+'держ.бюджет'!Z70+'місц.-районн.бюджет'!Z70+обласний!Z70+інші!Z70</f>
        <v>1517.7</v>
      </c>
      <c r="AA70" s="62">
        <f>Z70/Y70*100</f>
        <v>403.85843533794576</v>
      </c>
      <c r="AB70" s="63">
        <f>'насел.'!AB70+пільги!AB70+субсидії!AB70+'держ.бюджет'!AB70+'місц.-районн.бюджет'!AB70+обласний!AB70+інші!AB70</f>
        <v>0</v>
      </c>
      <c r="AC70" s="63">
        <f>'насел.'!AC70+пільги!AC70+субсидії!AC70+'держ.бюджет'!AC70+'місц.-районн.бюджет'!AC70+обласний!AC70+інші!AC70</f>
        <v>0</v>
      </c>
      <c r="AD70" s="62" t="e">
        <f>AC70/AB70*100</f>
        <v>#DIV/0!</v>
      </c>
      <c r="AE70" s="63">
        <f>'насел.'!AE70+пільги!AE70+субсидії!AE70+'держ.бюджет'!AE70+'місц.-районн.бюджет'!AE70+обласний!AE70+інші!AE70</f>
        <v>0</v>
      </c>
      <c r="AF70" s="63">
        <f>'насел.'!AF70+пільги!AF70+субсидії!AF70+'держ.бюджет'!AF70+'місц.-районн.бюджет'!AF70+обласний!AF70+інші!AF70</f>
        <v>0</v>
      </c>
      <c r="AG70" s="62" t="e">
        <f>AF70/AE70*100</f>
        <v>#DIV/0!</v>
      </c>
      <c r="AH70" s="63">
        <f>'насел.'!AH70+пільги!AH70+субсидії!AH70+'держ.бюджет'!AH70+'місц.-районн.бюджет'!AH70+обласний!AH70+інші!AH70</f>
        <v>0</v>
      </c>
      <c r="AI70" s="63">
        <f>'насел.'!AI70+пільги!AI70+субсидії!AI70+'держ.бюджет'!AI70+'місц.-районн.бюджет'!AI70+обласний!AI70+інші!AI70</f>
        <v>0</v>
      </c>
      <c r="AJ70" s="62" t="e">
        <f>AI70/AH70*100</f>
        <v>#DIV/0!</v>
      </c>
      <c r="AK70" s="79">
        <f>'насел.'!AK70+пільги!AR70+субсидії!AK70+'держ.бюджет'!AK70+'місц.-районн.бюджет'!AK70+обласний!AK70+інші!AK70</f>
        <v>0</v>
      </c>
      <c r="AL70" s="63">
        <f>'насел.'!AL70+пільги!AK70+субсидії!AL70+'держ.бюджет'!AL70+'місц.-районн.бюджет'!AL70+обласний!AL70+інші!AL70</f>
        <v>0</v>
      </c>
      <c r="AM70" s="63" t="e">
        <f>AL70/AK70*100</f>
        <v>#DIV/0!</v>
      </c>
      <c r="AN70" s="79">
        <f>'насел.'!AN70+пільги!AN70+субсидії!AN70+'держ.бюджет'!AN70+'місц.-районн.бюджет'!AN70+обласний!AN70+інші!AN70</f>
        <v>0</v>
      </c>
      <c r="AO70" s="63">
        <f>'насел.'!AO70+пільги!AN70+субсидії!AO70+'держ.бюджет'!AO70+'місц.-районн.бюджет'!AO70+обласний!AO70+інші!AO70</f>
        <v>0</v>
      </c>
      <c r="AP70" s="63">
        <f>'насел.'!AP70+пільги!AO70+субсидії!AP70+'держ.бюджет'!AP70+'місц.-районн.бюджет'!AP70+обласний!AP70+інші!AP70</f>
        <v>0</v>
      </c>
      <c r="AQ70" s="63">
        <f>'насел.'!AQ70+пільги!AP70+субсидії!AQ70+'держ.бюджет'!AQ70+'місц.-районн.бюджет'!AQ70+обласний!AQ70+інші!AQ70</f>
        <v>0</v>
      </c>
      <c r="AR70" s="63">
        <f>'насел.'!AR70+пільги!AQ70+субсидії!AR70+'держ.бюджет'!AR70+'місц.-районн.бюджет'!AR70+обласний!AR70+інші!AR70</f>
        <v>0</v>
      </c>
      <c r="AS70" s="63">
        <f>'насел.'!AS70+пільги!AR70+субсидії!AS70+'держ.бюджет'!AS70+'місц.-районн.бюджет'!AS70+обласний!AS70+інші!AS70</f>
        <v>0</v>
      </c>
      <c r="AT70" s="63">
        <f>'насел.'!AT70+пільги!AT70+субсидії!AT70+'держ.бюджет'!AT70+'місц.-районн.бюджет'!AT70+обласний!AT70+інші!AT70</f>
        <v>4144.400000000001</v>
      </c>
      <c r="AU70" s="63">
        <f>'насел.'!AU70+пільги!AU70+субсидії!AU70+'держ.бюджет'!AU70+'місц.-районн.бюджет'!AU70+обласний!AU70+інші!AU70</f>
        <v>4404.6</v>
      </c>
      <c r="AV70" s="62">
        <f>AU70/AT70*100</f>
        <v>106.27835151047196</v>
      </c>
      <c r="AW70" s="63">
        <f>AT70-AU70</f>
        <v>-260.1999999999998</v>
      </c>
      <c r="AX70" s="66">
        <f>'насел.'!AX70+пільги!AX70+субсидії!AX70+'держ.бюджет'!AX70+'місц.-районн.бюджет'!AX70+обласний!AX70+інші!AX70</f>
        <v>1818.1000000000008</v>
      </c>
      <c r="AY70" s="144"/>
      <c r="AZ70" s="144"/>
      <c r="BA70" s="144"/>
      <c r="BB70" s="144"/>
    </row>
    <row r="71" spans="1:54" ht="34.5" customHeight="1">
      <c r="A71" s="10" t="s">
        <v>33</v>
      </c>
      <c r="B71" s="162" t="s">
        <v>182</v>
      </c>
      <c r="C71" s="63">
        <f>'насел.'!C71+пільги!C71+субсидії!C71+'держ.бюджет'!C71+'місц.-районн.бюджет'!C71+обласний!C71+інші!C71</f>
        <v>32123.699999999997</v>
      </c>
      <c r="D71" s="63">
        <f>'насел.'!D71+пільги!D71+субсидії!D71+'держ.бюджет'!D71+'місц.-районн.бюджет'!D71+обласний!D71+інші!D71</f>
        <v>20780.5</v>
      </c>
      <c r="E71" s="63">
        <f>'насел.'!E71+пільги!E71+субсидії!E71+'держ.бюджет'!E71+'місц.-районн.бюджет'!E71+обласний!E71+інші!E71</f>
        <v>14456.900000000001</v>
      </c>
      <c r="F71" s="62">
        <f t="shared" si="53"/>
        <v>69.56954837467819</v>
      </c>
      <c r="G71" s="63">
        <f>'насел.'!G71+пільги!G71+субсидії!G71+'держ.бюджет'!G71+'місц.-районн.бюджет'!G71+обласний!G71+інші!G71</f>
        <v>21012.4</v>
      </c>
      <c r="H71" s="63">
        <f>'насел.'!H71+пільги!H71+субсидії!H71+'держ.бюджет'!H71+'місц.-районн.бюджет'!H71+обласний!H71+інші!H71</f>
        <v>16585.7</v>
      </c>
      <c r="I71" s="62">
        <f t="shared" si="54"/>
        <v>78.9329158020978</v>
      </c>
      <c r="J71" s="63">
        <f>'насел.'!J71+пільги!J71+субсидії!J71+'держ.бюджет'!J71+'місц.-районн.бюджет'!J71+обласний!J71+інші!J71</f>
        <v>19288.400000000005</v>
      </c>
      <c r="K71" s="63">
        <f>'насел.'!K71+пільги!K71+субсидії!K71+'держ.бюджет'!K71+'місц.-районн.бюджет'!K71+обласний!K71+інші!K71</f>
        <v>18389.2</v>
      </c>
      <c r="L71" s="62">
        <f t="shared" si="55"/>
        <v>95.33813068994834</v>
      </c>
      <c r="M71" s="62">
        <f>'насел.'!M71+пільги!M71+субсидії!M71+'держ.бюджет'!M71+'місц.-районн.бюджет'!M71+обласний!M71+інші!M71</f>
        <v>61081.3</v>
      </c>
      <c r="N71" s="62">
        <f>'насел.'!N71+пільги!N71+субсидії!N71+'держ.бюджет'!N71+'місц.-районн.бюджет'!N71+обласний!N71+інші!N71</f>
        <v>49431.799999999996</v>
      </c>
      <c r="O71" s="62">
        <f t="shared" si="56"/>
        <v>80.92787809034843</v>
      </c>
      <c r="P71" s="63">
        <f>'насел.'!P71+пільги!P71+субсидії!P71+'держ.бюджет'!P71+'місц.-районн.бюджет'!P71+обласний!P71+інші!P71</f>
        <v>5504.000000000001</v>
      </c>
      <c r="Q71" s="63">
        <f>'насел.'!Q71+пільги!Q71+субсидії!Q71+'держ.бюджет'!Q71+'місц.-районн.бюджет'!Q71+обласний!Q71+інші!Q71</f>
        <v>16961.2</v>
      </c>
      <c r="R71" s="63">
        <f t="shared" si="57"/>
        <v>308.1613372093023</v>
      </c>
      <c r="S71" s="63">
        <f>'насел.'!S71+пільги!S71+субсидії!S71+'держ.бюджет'!S71+'місц.-районн.бюджет'!S71+обласний!S71+інші!S71</f>
        <v>1525</v>
      </c>
      <c r="T71" s="63">
        <f>'насел.'!T71+пільги!T71+субсидії!T71+'держ.бюджет'!T71+'місц.-районн.бюджет'!T71+обласний!T71+інші!T71</f>
        <v>5999.1</v>
      </c>
      <c r="U71" s="62">
        <f t="shared" si="58"/>
        <v>393.38360655737705</v>
      </c>
      <c r="V71" s="63">
        <f>'насел.'!V71+пільги!V71+субсидії!V71+'держ.бюджет'!V71+'місц.-районн.бюджет'!V71+обласний!V71+інші!V71</f>
        <v>1525</v>
      </c>
      <c r="W71" s="63">
        <f>'насел.'!W71+пільги!W71+субсидії!W71+'держ.бюджет'!W71+'місц.-районн.бюджет'!W71+обласний!W71+інші!W71</f>
        <v>3260</v>
      </c>
      <c r="X71" s="62">
        <f t="shared" si="59"/>
        <v>213.7704918032787</v>
      </c>
      <c r="Y71" s="63">
        <f>'насел.'!Y71+пільги!Y71+субсидії!Y71+'держ.бюджет'!Y71+'місц.-районн.бюджет'!Y71+обласний!Y71+інші!Y71</f>
        <v>8554</v>
      </c>
      <c r="Z71" s="63">
        <f>'насел.'!Z71+пільги!Z71+субсидії!Z71+'держ.бюджет'!Z71+'місц.-районн.бюджет'!Z71+обласний!Z71+інші!Z71</f>
        <v>26220.299999999996</v>
      </c>
      <c r="AA71" s="62">
        <f t="shared" si="60"/>
        <v>306.5267711012391</v>
      </c>
      <c r="AB71" s="63">
        <f>'насел.'!AB71+пільги!AB71+субсидії!AB71+'держ.бюджет'!AB71+'місц.-районн.бюджет'!AB71+обласний!AB71+інші!AB71</f>
        <v>0</v>
      </c>
      <c r="AC71" s="63">
        <f>'насел.'!AC71+пільги!AC71+субсидії!AC71+'держ.бюджет'!AC71+'місц.-районн.бюджет'!AC71+обласний!AC71+інші!AC71</f>
        <v>0</v>
      </c>
      <c r="AD71" s="62" t="e">
        <f t="shared" si="61"/>
        <v>#DIV/0!</v>
      </c>
      <c r="AE71" s="63">
        <f>'насел.'!AE71+пільги!AE71+субсидії!AE71+'держ.бюджет'!AE71+'місц.-районн.бюджет'!AE71+обласний!AE71+інші!AE71</f>
        <v>0</v>
      </c>
      <c r="AF71" s="63">
        <f>'насел.'!AF71+пільги!AF71+субсидії!AF71+'держ.бюджет'!AF71+'місц.-районн.бюджет'!AF71+обласний!AF71+інші!AF71</f>
        <v>0</v>
      </c>
      <c r="AG71" s="62" t="e">
        <f t="shared" si="62"/>
        <v>#DIV/0!</v>
      </c>
      <c r="AH71" s="63">
        <f>'насел.'!AH71+пільги!AH71+субсидії!AH71+'держ.бюджет'!AH71+'місц.-районн.бюджет'!AH71+обласний!AH71+інші!AH71</f>
        <v>0</v>
      </c>
      <c r="AI71" s="63">
        <f>'насел.'!AI71+пільги!AI71+субсидії!AI71+'держ.бюджет'!AI71+'місц.-районн.бюджет'!AI71+обласний!AI71+інші!AI71</f>
        <v>0</v>
      </c>
      <c r="AJ71" s="62" t="e">
        <f t="shared" si="63"/>
        <v>#DIV/0!</v>
      </c>
      <c r="AK71" s="79">
        <f>'насел.'!AK71+пільги!AR71+субсидії!AK71+'держ.бюджет'!AK71+'місц.-районн.бюджет'!AK71+обласний!AK71+інші!AK71</f>
        <v>0</v>
      </c>
      <c r="AL71" s="63">
        <f>'насел.'!AL71+пільги!AK71+субсидії!AL71+'держ.бюджет'!AL71+'місц.-районн.бюджет'!AL71+обласний!AL71+інші!AL71</f>
        <v>0</v>
      </c>
      <c r="AM71" s="63" t="e">
        <f t="shared" si="64"/>
        <v>#DIV/0!</v>
      </c>
      <c r="AN71" s="79">
        <f>'насел.'!AN71+пільги!AN71+субсидії!AN71+'держ.бюджет'!AN71+'місц.-районн.бюджет'!AN71+обласний!AN71+інші!AN71</f>
        <v>0</v>
      </c>
      <c r="AO71" s="63">
        <f>'насел.'!AO71+пільги!AN71+субсидії!AO71+'держ.бюджет'!AO71+'місц.-районн.бюджет'!AO71+обласний!AO71+інші!AO71</f>
        <v>0</v>
      </c>
      <c r="AP71" s="63">
        <f>'насел.'!AP71+пільги!AO71+субсидії!AP71+'держ.бюджет'!AP71+'місц.-районн.бюджет'!AP71+обласний!AP71+інші!AP71</f>
        <v>0</v>
      </c>
      <c r="AQ71" s="63">
        <f>'насел.'!AQ71+пільги!AP71+субсидії!AQ71+'держ.бюджет'!AQ71+'місц.-районн.бюджет'!AQ71+обласний!AQ71+інші!AQ71</f>
        <v>0</v>
      </c>
      <c r="AR71" s="63">
        <f>'насел.'!AR71+пільги!AQ71+субсидії!AR71+'держ.бюджет'!AR71+'місц.-районн.бюджет'!AR71+обласний!AR71+інші!AR71</f>
        <v>0</v>
      </c>
      <c r="AS71" s="63">
        <f>'насел.'!AS71+пільги!AR71+субсидії!AS71+'держ.бюджет'!AS71+'місц.-районн.бюджет'!AS71+обласний!AS71+інші!AS71</f>
        <v>0</v>
      </c>
      <c r="AT71" s="63">
        <f>'насел.'!AT71+пільги!AT71+субсидії!AT71+'держ.бюджет'!AT71+'місц.-районн.бюджет'!AT71+обласний!AT71+інші!AT71</f>
        <v>69635.3</v>
      </c>
      <c r="AU71" s="63">
        <f>'насел.'!AU71+пільги!AU71+субсидії!AU71+'держ.бюджет'!AU71+'місц.-районн.бюджет'!AU71+обласний!AU71+інші!AU71</f>
        <v>75652.09999999999</v>
      </c>
      <c r="AV71" s="62">
        <f t="shared" si="65"/>
        <v>108.64044529139673</v>
      </c>
      <c r="AW71" s="63">
        <f t="shared" si="13"/>
        <v>-6016.799999999988</v>
      </c>
      <c r="AX71" s="66">
        <f>'насел.'!AX71+пільги!AX71+субсидії!AX71+'держ.бюджет'!AX71+'місц.-районн.бюджет'!AX71+обласний!AX71+інші!AX71</f>
        <v>26106.900000000005</v>
      </c>
      <c r="AY71" s="144"/>
      <c r="AZ71" s="144"/>
      <c r="BA71" s="144"/>
      <c r="BB71" s="144"/>
    </row>
    <row r="72" spans="1:54" s="9" customFormat="1" ht="34.5" customHeight="1">
      <c r="A72" s="10" t="s">
        <v>34</v>
      </c>
      <c r="B72" s="166" t="s">
        <v>131</v>
      </c>
      <c r="C72" s="63">
        <f>'насел.'!C72+пільги!C72+субсидії!C72+'держ.бюджет'!C72+'місц.-районн.бюджет'!C72+обласний!C72+інші!C72</f>
        <v>3912615.5</v>
      </c>
      <c r="D72" s="63">
        <f>'насел.'!D72+пільги!D72+субсидії!D72+'держ.бюджет'!D72+'місц.-районн.бюджет'!D72+обласний!D72+інші!D72</f>
        <v>1334543.2999999998</v>
      </c>
      <c r="E72" s="63">
        <f>'насел.'!E72+пільги!E72+субсидії!E72+'держ.бюджет'!E72+'місц.-районн.бюджет'!E72+обласний!E72+інші!E72</f>
        <v>663839.6</v>
      </c>
      <c r="F72" s="58">
        <f>E72/D72*100</f>
        <v>49.74282962568544</v>
      </c>
      <c r="G72" s="79">
        <f>'насел.'!G72+пільги!G76+субсидії!G72+'держ.бюджет'!G72+'місц.-районн.бюджет'!G72+обласний!G72+інші!G72</f>
        <v>1161994.7</v>
      </c>
      <c r="H72" s="79">
        <f>'насел.'!H72+пільги!H76+субсидії!H72+'держ.бюджет'!H72+'місц.-районн.бюджет'!H72+обласний!H72+інші!H72</f>
        <v>873729.5</v>
      </c>
      <c r="I72" s="58">
        <f>H72/G72*100</f>
        <v>75.19221042918699</v>
      </c>
      <c r="J72" s="79">
        <f>'насел.'!J72+пільги!J76+субсидії!J72+'держ.бюджет'!J72+'місц.-районн.бюджет'!J72+обласний!J72+інші!J72</f>
        <v>1199025.5</v>
      </c>
      <c r="K72" s="79">
        <f>'насел.'!K72+пільги!K76+субсидії!K72+'держ.бюджет'!K72+'місц.-районн.бюджет'!K72+обласний!K72+інші!K72</f>
        <v>1060280.3</v>
      </c>
      <c r="L72" s="58">
        <f>K72/J72*100</f>
        <v>88.42850298012846</v>
      </c>
      <c r="M72" s="58">
        <f>'насел.'!M72+пільги!M76+субсидії!M72+'держ.бюджет'!M72+'місц.-районн.бюджет'!M72+обласний!M72+інші!M72</f>
        <v>3695565.9</v>
      </c>
      <c r="N72" s="58">
        <f>'насел.'!N72+пільги!N76+субсидії!N72+'держ.бюджет'!N72+'місц.-районн.бюджет'!N72+обласний!N72+інші!N72</f>
        <v>2597849.4000000004</v>
      </c>
      <c r="O72" s="58">
        <f>N72/M72*100</f>
        <v>70.29638951912617</v>
      </c>
      <c r="P72" s="79">
        <f>'насел.'!P72+пільги!P76+субсидії!P72+'держ.бюджет'!P72+'місц.-районн.бюджет'!P72+обласний!P72+інші!P72</f>
        <v>650943.1</v>
      </c>
      <c r="Q72" s="79">
        <f>'насел.'!Q72+пільги!Q76+субсидії!Q72+'держ.бюджет'!Q72+'місц.-районн.бюджет'!Q72+обласний!Q72+інші!Q72</f>
        <v>904306</v>
      </c>
      <c r="R72" s="79">
        <f>Q72/P72*100</f>
        <v>138.92243423426717</v>
      </c>
      <c r="S72" s="79">
        <f>'насел.'!S72+пільги!S76+субсидії!S72+'держ.бюджет'!S72+'місц.-районн.бюджет'!S72+обласний!S72+інші!S72</f>
        <v>115928.2</v>
      </c>
      <c r="T72" s="79">
        <f>'насел.'!T72+пільги!T76+субсидії!T72+'держ.бюджет'!T72+'місц.-районн.бюджет'!T72+обласний!T72+інші!T72</f>
        <v>540077.5</v>
      </c>
      <c r="U72" s="58">
        <f>T72/S72*100</f>
        <v>465.8724106817841</v>
      </c>
      <c r="V72" s="79">
        <f>'насел.'!V72+пільги!V76+субсидії!V72+'держ.бюджет'!V72+'місц.-районн.бюджет'!V72+обласний!V72+інші!V72</f>
        <v>79320.40000000001</v>
      </c>
      <c r="W72" s="79">
        <f>'насел.'!W72+пільги!W76+субсидії!W72+'держ.бюджет'!W72+'місц.-районн.бюджет'!W72+обласний!W72+інші!W72</f>
        <v>304860.9</v>
      </c>
      <c r="X72" s="58">
        <f>W72/V72*100</f>
        <v>384.3411026671575</v>
      </c>
      <c r="Y72" s="79">
        <f>'насел.'!Y72+пільги!Y76+субсидії!Y72+'держ.бюджет'!Y72+'місц.-районн.бюджет'!Y72+обласний!Y72+інші!Y72</f>
        <v>846191.7</v>
      </c>
      <c r="Z72" s="79">
        <f>'насел.'!Z72+пільги!Z76+субсидії!Z72+'держ.бюджет'!Z72+'місц.-районн.бюджет'!Z72+обласний!Z72+інші!Z72</f>
        <v>1749244.4</v>
      </c>
      <c r="AA72" s="58">
        <f>Z72/Y72*100</f>
        <v>206.7196357515679</v>
      </c>
      <c r="AB72" s="79">
        <f>'насел.'!AB72+пільги!AB76+субсидії!AB72+'держ.бюджет'!AB72+'місц.-районн.бюджет'!AB72+обласний!AB72+інші!AB72</f>
        <v>0</v>
      </c>
      <c r="AC72" s="79">
        <f>'насел.'!AC72+пільги!AC76+субсидії!AC72+'держ.бюджет'!AC72+'місц.-районн.бюджет'!AC72+обласний!AC72+інші!AC72</f>
        <v>0</v>
      </c>
      <c r="AD72" s="58" t="e">
        <f>AC72/AB72*100</f>
        <v>#DIV/0!</v>
      </c>
      <c r="AE72" s="79">
        <f>'насел.'!AE72+пільги!AE76+субсидії!AE72+'держ.бюджет'!AE72+'місц.-районн.бюджет'!AE72+обласний!AE72+інші!AE72</f>
        <v>0</v>
      </c>
      <c r="AF72" s="79">
        <f>'насел.'!AF72+пільги!AF76+субсидії!AF72+'держ.бюджет'!AF72+'місц.-районн.бюджет'!AF72+обласний!AF72+інші!AF72</f>
        <v>0</v>
      </c>
      <c r="AG72" s="58" t="e">
        <f>AF72/AE72*100</f>
        <v>#DIV/0!</v>
      </c>
      <c r="AH72" s="79">
        <f>'насел.'!AH72+пільги!AH76+субсидії!AH72+'держ.бюджет'!AH72+'місц.-районн.бюджет'!AH72+обласний!AH72+інші!AH72</f>
        <v>0</v>
      </c>
      <c r="AI72" s="79">
        <f>'насел.'!AI72+пільги!AI76+субсидії!AI72+'держ.бюджет'!AI72+'місц.-районн.бюджет'!AI72+обласний!AI72+інші!AI72</f>
        <v>0</v>
      </c>
      <c r="AJ72" s="58" t="e">
        <f>AI72/AH72*100</f>
        <v>#DIV/0!</v>
      </c>
      <c r="AK72" s="79">
        <f>'насел.'!AK72+пільги!AR72+субсидії!AK72+'держ.бюджет'!AK72+'місц.-районн.бюджет'!AK72+обласний!AK72+інші!AK72</f>
        <v>0</v>
      </c>
      <c r="AL72" s="79">
        <f>'насел.'!AL72+пільги!AK76+субсидії!AL72+'держ.бюджет'!AL72+'місц.-районн.бюджет'!AL72+обласний!AL72+інші!AL72</f>
        <v>0</v>
      </c>
      <c r="AM72" s="79" t="e">
        <f>AL72/AK72*100</f>
        <v>#DIV/0!</v>
      </c>
      <c r="AN72" s="79">
        <f>'насел.'!AN72+пільги!AN72+субсидії!AN72+'держ.бюджет'!AN72+'місц.-районн.бюджет'!AN72+обласний!AN72+інші!AN72</f>
        <v>0</v>
      </c>
      <c r="AO72" s="79">
        <f>'насел.'!AO72+пільги!AN76+субсидії!AO72+'держ.бюджет'!AO72+'місц.-районн.бюджет'!AO72+обласний!AO72+інші!AO72</f>
        <v>0</v>
      </c>
      <c r="AP72" s="79">
        <f>'насел.'!AP72+пільги!AO76+субсидії!AP72+'держ.бюджет'!AP72+'місц.-районн.бюджет'!AP72+обласний!AP72+інші!AP72</f>
        <v>0</v>
      </c>
      <c r="AQ72" s="79">
        <f>'насел.'!AQ72+пільги!AP76+субсидії!AQ72+'держ.бюджет'!AQ72+'місц.-районн.бюджет'!AQ72+обласний!AQ72+інші!AQ72</f>
        <v>0</v>
      </c>
      <c r="AR72" s="79">
        <f>'насел.'!AR72+пільги!AQ76+субсидії!AR72+'держ.бюджет'!AR72+'місц.-районн.бюджет'!AR72+обласний!AR72+інші!AR72</f>
        <v>0</v>
      </c>
      <c r="AS72" s="79">
        <f>'насел.'!AS72+пільги!AR76+субсидії!AS72+'держ.бюджет'!AS72+'місц.-районн.бюджет'!AS72+обласний!AS72+інші!AS72</f>
        <v>0</v>
      </c>
      <c r="AT72" s="79">
        <f>'насел.'!AT72+пільги!AT72+субсидії!AT72+'держ.бюджет'!AT72+'місц.-районн.бюджет'!AT72+обласний!AT72+інші!AT72</f>
        <v>4541750.2</v>
      </c>
      <c r="AU72" s="79">
        <f>'насел.'!AU72+пільги!AU72+субсидії!AU72+'держ.бюджет'!AU72+'місц.-районн.бюджет'!AU72+обласний!AU72+інші!AU72</f>
        <v>4347090.3</v>
      </c>
      <c r="AV72" s="58">
        <f>AU72/AT72*100</f>
        <v>95.71398928985569</v>
      </c>
      <c r="AW72" s="79">
        <f t="shared" si="13"/>
        <v>194659.90000000037</v>
      </c>
      <c r="AX72" s="79">
        <f>'насел.'!AX72+пільги!AX72+субсидії!AX72+'держ.бюджет'!AX72+'місц.-районн.бюджет'!AX72+обласний!AX72+інші!AX72</f>
        <v>4107275.4</v>
      </c>
      <c r="AY72" s="150"/>
      <c r="AZ72" s="150"/>
      <c r="BA72" s="150"/>
      <c r="BB72" s="150"/>
    </row>
    <row r="73" spans="1:54" s="9" customFormat="1" ht="34.5" customHeight="1">
      <c r="A73" s="8"/>
      <c r="B73" s="167" t="s">
        <v>132</v>
      </c>
      <c r="C73" s="63">
        <f>'насел.'!C73+пільги!C73+субсидії!C73+'держ.бюджет'!C73+'місц.-районн.бюджет'!C73+обласний!C73+інші!C73</f>
        <v>3883543</v>
      </c>
      <c r="D73" s="63">
        <f>'насел.'!D73+пільги!D73+субсидії!D73+'держ.бюджет'!D73+'місц.-районн.бюджет'!D73+обласний!D73+інші!D73</f>
        <v>1303584</v>
      </c>
      <c r="E73" s="63">
        <f>'насел.'!E73+пільги!E73+субсидії!E73+'держ.бюджет'!E73+'місц.-районн.бюджет'!E73+обласний!E73+інші!E73</f>
        <v>642702</v>
      </c>
      <c r="F73" s="62">
        <f>E73/D73*100</f>
        <v>49.30269165623389</v>
      </c>
      <c r="G73" s="63">
        <f>'насел.'!G73+пільги!G73+субсидії!G73+'держ.бюджет'!G73+'місц.-районн.бюджет'!G73+обласний!G73+інші!G73</f>
        <v>1129393</v>
      </c>
      <c r="H73" s="63">
        <f>'насел.'!H73+пільги!H73+субсидії!H73+'держ.бюджет'!H73+'місц.-районн.бюджет'!H73+обласний!H73+інші!H73</f>
        <v>846391</v>
      </c>
      <c r="I73" s="62">
        <f>H73/G73*100</f>
        <v>74.94211492368025</v>
      </c>
      <c r="J73" s="63">
        <f>'насел.'!J73+пільги!J73+субсидії!J73+'держ.бюджет'!J73+'місц.-районн.бюджет'!J73+обласний!J73+інші!J73</f>
        <v>1169395</v>
      </c>
      <c r="K73" s="63">
        <f>'насел.'!K73+пільги!K73+субсидії!K73+'держ.бюджет'!K73+'місц.-районн.бюджет'!K73+обласний!K73+інші!K73</f>
        <v>1031252</v>
      </c>
      <c r="L73" s="62">
        <f>K73/J73*100</f>
        <v>88.18679744654287</v>
      </c>
      <c r="M73" s="63">
        <f>'насел.'!M73+пільги!M73+субсидії!M73+'держ.бюджет'!M73+'місц.-районн.бюджет'!M73+обласний!M73+інші!M73</f>
        <v>3602372</v>
      </c>
      <c r="N73" s="63">
        <f>'насел.'!N73+пільги!N73+субсидії!N73+'держ.бюджет'!N73+'місц.-районн.бюджет'!N73+обласний!N73+інші!N73</f>
        <v>2520345</v>
      </c>
      <c r="O73" s="62">
        <f>N73/M73*100</f>
        <v>69.96348517032666</v>
      </c>
      <c r="P73" s="63">
        <f>'насел.'!P73+пільги!P73+субсидії!P73+'держ.бюджет'!P73+'місц.-районн.бюджет'!P73+обласний!P73+інші!P73</f>
        <v>631576</v>
      </c>
      <c r="Q73" s="63">
        <f>'насел.'!Q73+пільги!Q73+субсидії!Q73+'держ.бюджет'!Q73+'місц.-районн.бюджет'!Q73+обласний!Q73+інші!Q73</f>
        <v>877356</v>
      </c>
      <c r="R73" s="63">
        <f>Q73/P73*100</f>
        <v>138.91534827162525</v>
      </c>
      <c r="S73" s="63">
        <f>'насел.'!S73+пільги!S73+субсидії!S73+'держ.бюджет'!S73+'місц.-районн.бюджет'!S73+обласний!S73+інші!S73</f>
        <v>103096</v>
      </c>
      <c r="T73" s="63">
        <f>'насел.'!T73+пільги!T73+субсидії!T73+'держ.бюджет'!T73+'місц.-районн.бюджет'!T73+обласний!T73+інші!T73</f>
        <v>517836</v>
      </c>
      <c r="U73" s="62">
        <f>T73/S73*100</f>
        <v>502.2852487002406</v>
      </c>
      <c r="V73" s="63">
        <f>'насел.'!V73+пільги!V73+субсидії!V73+'держ.бюджет'!V73+'місц.-районн.бюджет'!V73+обласний!V73+інші!V73</f>
        <v>64920</v>
      </c>
      <c r="W73" s="63">
        <f>'насел.'!W73+пільги!W73+субсидії!W73+'держ.бюджет'!W73+'місц.-районн.бюджет'!W73+обласний!W73+інші!W73</f>
        <v>287918</v>
      </c>
      <c r="X73" s="62">
        <f>W73/V73*100</f>
        <v>443.49661121380166</v>
      </c>
      <c r="Y73" s="63">
        <f>'насел.'!Y73+пільги!Y73+субсидії!Y73+'держ.бюджет'!Y73+'місц.-районн.бюджет'!Y73+обласний!Y73+інші!Y73</f>
        <v>799592</v>
      </c>
      <c r="Z73" s="63">
        <f>'насел.'!Z73+пільги!Z73+субсидії!Z73+'держ.бюджет'!Z73+'місц.-районн.бюджет'!Z73+обласний!Z73+інші!Z73</f>
        <v>1683110</v>
      </c>
      <c r="AA73" s="62">
        <f>Z73/Y73*100</f>
        <v>210.4961030125364</v>
      </c>
      <c r="AB73" s="63">
        <f>'насел.'!AB73+пільги!AB73+субсидії!AB73+'держ.бюджет'!AB73+'місц.-районн.бюджет'!AB73+обласний!AB73+інші!AB73</f>
        <v>0</v>
      </c>
      <c r="AC73" s="63">
        <f>'насел.'!AC73+пільги!AC73+субсидії!AC73+'держ.бюджет'!AC73+'місц.-районн.бюджет'!AC73+обласний!AC73+інші!AC73</f>
        <v>0</v>
      </c>
      <c r="AD73" s="62" t="e">
        <f>AC73/AB73*100</f>
        <v>#DIV/0!</v>
      </c>
      <c r="AE73" s="63">
        <f>'насел.'!AE73+пільги!AE73+субсидії!AE73+'держ.бюджет'!AE73+'місц.-районн.бюджет'!AE73+обласний!AE73+інші!AE73</f>
        <v>0</v>
      </c>
      <c r="AF73" s="63">
        <f>'насел.'!AF73+пільги!AF73+субсидії!AF73+'держ.бюджет'!AF73+'місц.-районн.бюджет'!AF73+обласний!AF73+інші!AF73</f>
        <v>0</v>
      </c>
      <c r="AG73" s="62" t="e">
        <f>AF73/AE73*100</f>
        <v>#DIV/0!</v>
      </c>
      <c r="AH73" s="63">
        <f>'насел.'!AH73+пільги!AH73+субсидії!AH73+'держ.бюджет'!AH73+'місц.-районн.бюджет'!AH73+обласний!AH73+інші!AH73</f>
        <v>0</v>
      </c>
      <c r="AI73" s="63">
        <f>'насел.'!AI73+пільги!AI73+субсидії!AI73+'держ.бюджет'!AI73+'місц.-районн.бюджет'!AI73+обласний!AI73+інші!AI73</f>
        <v>0</v>
      </c>
      <c r="AJ73" s="62" t="e">
        <f>AI73/AH73*100</f>
        <v>#DIV/0!</v>
      </c>
      <c r="AK73" s="63">
        <f>'насел.'!AK73+пільги!AK73+субсидії!AK73+'держ.бюджет'!AK73+'місц.-районн.бюджет'!AK73+обласний!AK73+інші!AK73</f>
        <v>0</v>
      </c>
      <c r="AL73" s="63">
        <f>'насел.'!AL73+пільги!AL73+субсидії!AL73+'держ.бюджет'!AL73+'місц.-районн.бюджет'!AL73+обласний!AL73+інші!AL73</f>
        <v>0</v>
      </c>
      <c r="AM73" s="63" t="e">
        <f>AL73/AK73*100</f>
        <v>#DIV/0!</v>
      </c>
      <c r="AN73" s="63">
        <f>'насел.'!AN73+пільги!AN73+субсидії!AN73+'держ.бюджет'!AN73+'місц.-районн.бюджет'!AN73+обласний!AN73+інші!AN73</f>
        <v>0</v>
      </c>
      <c r="AO73" s="63">
        <f>'насел.'!AO73+пільги!AO73+субсидії!AO73+'держ.бюджет'!AO73+'місц.-районн.бюджет'!AO73+обласний!AO73+інші!AO73</f>
        <v>0</v>
      </c>
      <c r="AP73" s="63">
        <f>'насел.'!AP73+пільги!AP73+субсидії!AP73+'держ.бюджет'!AP73+'місц.-районн.бюджет'!AP73+обласний!AP73+інші!AP73</f>
        <v>0</v>
      </c>
      <c r="AQ73" s="63">
        <f>'насел.'!AQ73+пільги!AQ73+субсидії!AQ73+'держ.бюджет'!AQ73+'місц.-районн.бюджет'!AQ73+обласний!AQ73+інші!AQ73</f>
        <v>0</v>
      </c>
      <c r="AR73" s="63">
        <f>'насел.'!AR73+пільги!AR73+субсидії!AR73+'держ.бюджет'!AR73+'місц.-районн.бюджет'!AR73+обласний!AR73+інші!AR73</f>
        <v>0</v>
      </c>
      <c r="AS73" s="63">
        <f>'насел.'!AS73+пільги!AS73+субсидії!AS73+'держ.бюджет'!AS73+'місц.-районн.бюджет'!AS73+обласний!AS73+інші!AS73</f>
        <v>0</v>
      </c>
      <c r="AT73" s="63">
        <f>'насел.'!AT73+пільги!AT73+субсидії!AT73+'держ.бюджет'!AT73+'місц.-районн.бюджет'!AT73+обласний!AT73+інші!AT73</f>
        <v>4401964</v>
      </c>
      <c r="AU73" s="63">
        <f>'насел.'!AU73+пільги!AU73+субсидії!AU73+'держ.бюджет'!AU73+'місц.-районн.бюджет'!AU73+обласний!AU73+інші!AU73</f>
        <v>4203455</v>
      </c>
      <c r="AV73" s="62">
        <f>AU73/AT73*100</f>
        <v>95.49044471967512</v>
      </c>
      <c r="AW73" s="63">
        <f>AT73-AU73</f>
        <v>198509</v>
      </c>
      <c r="AX73" s="63">
        <f>'насел.'!AX73+пільги!AX73+субсидії!AX73+'держ.бюджет'!AX73+'місц.-районн.бюджет'!AX73+обласний!AX73+інші!AX73</f>
        <v>4082052</v>
      </c>
      <c r="AY73" s="150"/>
      <c r="AZ73" s="150"/>
      <c r="BA73" s="150"/>
      <c r="BB73" s="150"/>
    </row>
    <row r="74" spans="1:54" s="9" customFormat="1" ht="34.5" customHeight="1">
      <c r="A74" s="8"/>
      <c r="B74" s="167" t="s">
        <v>134</v>
      </c>
      <c r="C74" s="63">
        <f>'насел.'!C74+пільги!C74+субсидії!C74+'держ.бюджет'!C74+'місц.-районн.бюджет'!C74+обласний!C74+інші!C74</f>
        <v>1788.4</v>
      </c>
      <c r="D74" s="63">
        <f>'насел.'!D74+пільги!D74+субсидії!D74+'держ.бюджет'!D74+'місц.-районн.бюджет'!D74+обласний!D74+інші!D74</f>
        <v>6058.200000000001</v>
      </c>
      <c r="E74" s="63">
        <f>'насел.'!E74+пільги!E74+субсидії!E74+'держ.бюджет'!E74+'місц.-районн.бюджет'!E74+обласний!E74+інші!E74</f>
        <v>1615.8000000000002</v>
      </c>
      <c r="F74" s="62">
        <f>E74/D74*100</f>
        <v>26.671288501535113</v>
      </c>
      <c r="G74" s="63">
        <f>'насел.'!G74+пільги!G74+субсидії!G74+'держ.бюджет'!G74+'місц.-районн.бюджет'!G74+обласний!G74+інші!G74</f>
        <v>7227.799999999999</v>
      </c>
      <c r="H74" s="63">
        <f>'насел.'!H74+пільги!H74+субсидії!H74+'держ.бюджет'!H74+'місц.-районн.бюджет'!H74+обласний!H74+інші!H74</f>
        <v>6895.1</v>
      </c>
      <c r="I74" s="62">
        <f>H74/G74*100</f>
        <v>95.39693959434408</v>
      </c>
      <c r="J74" s="63">
        <f>'насел.'!J74+пільги!J74+субсидії!J74+'держ.бюджет'!J74+'місц.-районн.бюджет'!J74+обласний!J74+інші!J74</f>
        <v>5762.599999999999</v>
      </c>
      <c r="K74" s="63">
        <f>'насел.'!K74+пільги!K74+субсидії!K74+'держ.бюджет'!K74+'місц.-районн.бюджет'!K74+обласний!K74+інші!K74</f>
        <v>5566.4</v>
      </c>
      <c r="L74" s="62">
        <f>K74/J74*100</f>
        <v>96.59528684968592</v>
      </c>
      <c r="M74" s="63">
        <f>'насел.'!M74+пільги!M74+субсидії!M74+'держ.бюджет'!M74+'місц.-районн.бюджет'!M74+обласний!M74+інші!M74</f>
        <v>19048.6</v>
      </c>
      <c r="N74" s="63">
        <f>'насел.'!N74+пільги!N74+субсидії!N74+'держ.бюджет'!N74+'місц.-районн.бюджет'!N74+обласний!N74+інші!N74</f>
        <v>14077.3</v>
      </c>
      <c r="O74" s="62">
        <f>N74/M74*100</f>
        <v>73.90201904601913</v>
      </c>
      <c r="P74" s="63">
        <f>'насел.'!P74+пільги!P74+субсидії!P74+'держ.бюджет'!P74+'місц.-районн.бюджет'!P74+обласний!P74+інші!P74</f>
        <v>3888.1000000000004</v>
      </c>
      <c r="Q74" s="63">
        <f>'насел.'!Q74+пільги!Q74+субсидії!Q74+'держ.бюджет'!Q74+'місц.-районн.бюджет'!Q74+обласний!Q74+інші!Q74</f>
        <v>5088.6</v>
      </c>
      <c r="R74" s="63">
        <f>Q74/P74*100</f>
        <v>130.87626347058975</v>
      </c>
      <c r="S74" s="63">
        <f>'насел.'!S74+пільги!S74+субсидії!S74+'держ.бюджет'!S74+'місц.-районн.бюджет'!S74+обласний!S74+інші!S74</f>
        <v>713.8</v>
      </c>
      <c r="T74" s="63">
        <f>'насел.'!T74+пільги!T74+субсидії!T74+'держ.бюджет'!T74+'місц.-районн.бюджет'!T74+обласний!T74+інші!T74</f>
        <v>3504.4</v>
      </c>
      <c r="U74" s="62">
        <f>T74/S74*100</f>
        <v>490.9498458952088</v>
      </c>
      <c r="V74" s="63">
        <f>'насел.'!V74+пільги!V74+субсидії!V74+'держ.бюджет'!V74+'місц.-районн.бюджет'!V74+обласний!V74+інші!V74</f>
        <v>537.6999999999999</v>
      </c>
      <c r="W74" s="63">
        <f>'насел.'!W74+пільги!W74+субсидії!W74+'держ.бюджет'!W74+'місц.-районн.бюджет'!W74+обласний!W74+інші!W74</f>
        <v>752.8</v>
      </c>
      <c r="X74" s="62">
        <f>W74/V74*100</f>
        <v>140.00371954621536</v>
      </c>
      <c r="Y74" s="63">
        <f>'насел.'!Y74+пільги!Y74+субсидії!Y74+'держ.бюджет'!Y74+'місц.-районн.бюджет'!Y74+обласний!Y74+інші!Y74</f>
        <v>5139.599999999999</v>
      </c>
      <c r="Z74" s="63">
        <f>'насел.'!Z74+пільги!Z74+субсидії!Z74+'держ.бюджет'!Z74+'місц.-районн.бюджет'!Z74+обласний!Z74+інші!Z74</f>
        <v>9345.8</v>
      </c>
      <c r="AA74" s="62">
        <f>Z74/Y74*100</f>
        <v>181.83905362285003</v>
      </c>
      <c r="AB74" s="63">
        <f>'насел.'!AB74+пільги!AB74+субсидії!AB74+'держ.бюджет'!AB74+'місц.-районн.бюджет'!AB74+обласний!AB74+інші!AB74</f>
        <v>0</v>
      </c>
      <c r="AC74" s="63">
        <f>'насел.'!AC74+пільги!AC74+субсидії!AC74+'держ.бюджет'!AC74+'місц.-районн.бюджет'!AC74+обласний!AC74+інші!AC74</f>
        <v>0</v>
      </c>
      <c r="AD74" s="62" t="e">
        <f>AC74/AB74*100</f>
        <v>#DIV/0!</v>
      </c>
      <c r="AE74" s="63">
        <f>'насел.'!AE74+пільги!AE74+субсидії!AE74+'держ.бюджет'!AE74+'місц.-районн.бюджет'!AE74+обласний!AE74+інші!AE74</f>
        <v>0</v>
      </c>
      <c r="AF74" s="63">
        <f>'насел.'!AF74+пільги!AF74+субсидії!AF74+'держ.бюджет'!AF74+'місц.-районн.бюджет'!AF74+обласний!AF74+інші!AF74</f>
        <v>0</v>
      </c>
      <c r="AG74" s="62" t="e">
        <f>AF74/AE74*100</f>
        <v>#DIV/0!</v>
      </c>
      <c r="AH74" s="63">
        <f>'насел.'!AH74+пільги!AH74+субсидії!AH74+'держ.бюджет'!AH74+'місц.-районн.бюджет'!AH74+обласний!AH74+інші!AH74</f>
        <v>0</v>
      </c>
      <c r="AI74" s="63">
        <f>'насел.'!AI74+пільги!AI74+субсидії!AI74+'держ.бюджет'!AI74+'місц.-районн.бюджет'!AI74+обласний!AI74+інші!AI74</f>
        <v>0</v>
      </c>
      <c r="AJ74" s="62" t="e">
        <f>AI74/AH74*100</f>
        <v>#DIV/0!</v>
      </c>
      <c r="AK74" s="63">
        <f>'насел.'!AK74+пільги!AK74+субсидії!AK74+'держ.бюджет'!AK74+'місц.-районн.бюджет'!AK74+обласний!AK74+інші!AK74</f>
        <v>0</v>
      </c>
      <c r="AL74" s="63">
        <f>'насел.'!AL74+пільги!AL74+субсидії!AL74+'держ.бюджет'!AL74+'місц.-районн.бюджет'!AL74+обласний!AL74+інші!AL74</f>
        <v>0</v>
      </c>
      <c r="AM74" s="63" t="e">
        <f>AL74/AK74*100</f>
        <v>#DIV/0!</v>
      </c>
      <c r="AN74" s="63">
        <f>'насел.'!AN74+пільги!AN74+субсидії!AN74+'держ.бюджет'!AN74+'місц.-районн.бюджет'!AN74+обласний!AN74+інші!AN74</f>
        <v>0</v>
      </c>
      <c r="AO74" s="63">
        <f>'насел.'!AO74+пільги!AO74+субсидії!AO74+'держ.бюджет'!AO74+'місц.-районн.бюджет'!AO74+обласний!AO74+інші!AO74</f>
        <v>0</v>
      </c>
      <c r="AP74" s="63">
        <f>'насел.'!AP74+пільги!AP74+субсидії!AP74+'держ.бюджет'!AP74+'місц.-районн.бюджет'!AP74+обласний!AP74+інші!AP74</f>
        <v>0</v>
      </c>
      <c r="AQ74" s="63">
        <f>'насел.'!AQ74+пільги!AQ74+субсидії!AQ74+'держ.бюджет'!AQ74+'місц.-районн.бюджет'!AQ74+обласний!AQ74+інші!AQ74</f>
        <v>0</v>
      </c>
      <c r="AR74" s="63">
        <f>'насел.'!AR74+пільги!AR74+субсидії!AR74+'держ.бюджет'!AR74+'місц.-районн.бюджет'!AR74+обласний!AR74+інші!AR74</f>
        <v>0</v>
      </c>
      <c r="AS74" s="63">
        <f>'насел.'!AS74+пільги!AS74+субсидії!AS74+'держ.бюджет'!AS74+'місц.-районн.бюджет'!AS74+обласний!AS74+інші!AS74</f>
        <v>0</v>
      </c>
      <c r="AT74" s="63">
        <f>'насел.'!AT74+пільги!AT74+субсидії!AT74+'держ.бюджет'!AT74+'місц.-районн.бюджет'!AT74+обласний!AT74+інші!AT74</f>
        <v>24188.2</v>
      </c>
      <c r="AU74" s="63">
        <f>'насел.'!AU74+пільги!AU74+субсидії!AU74+'держ.бюджет'!AU74+'місц.-районн.бюджет'!AU74+обласний!AU74+інші!AU74</f>
        <v>23423.100000000002</v>
      </c>
      <c r="AV74" s="62">
        <f>AU74/AT74*100</f>
        <v>96.83688740790964</v>
      </c>
      <c r="AW74" s="63">
        <f>AT74-AU74</f>
        <v>765.0999999999985</v>
      </c>
      <c r="AX74" s="63">
        <f>'насел.'!AX74+пільги!AX74+субсидії!AX74+'держ.бюджет'!AX74+'місц.-районн.бюджет'!AX74+обласний!AX74+інші!AX74</f>
        <v>2553.5</v>
      </c>
      <c r="AY74" s="150"/>
      <c r="AZ74" s="150"/>
      <c r="BA74" s="150"/>
      <c r="BB74" s="150"/>
    </row>
    <row r="75" spans="1:54" s="9" customFormat="1" ht="34.5" customHeight="1">
      <c r="A75" s="8"/>
      <c r="B75" s="167" t="s">
        <v>133</v>
      </c>
      <c r="C75" s="63">
        <f>'насел.'!C75+пільги!C75+субсидії!C75+'держ.бюджет'!C75+'місц.-районн.бюджет'!C75+обласний!C75+інші!C75</f>
        <v>27284.1</v>
      </c>
      <c r="D75" s="63">
        <f>'насел.'!D75+пільги!D75+субсидії!D75+'держ.бюджет'!D75+'місц.-районн.бюджет'!D75+обласний!D75+інші!D75</f>
        <v>24901.1</v>
      </c>
      <c r="E75" s="63">
        <f>'насел.'!E75+пільги!E75+субсидії!E75+'держ.бюджет'!E75+'місц.-районн.бюджет'!E75+обласний!E75+інші!E75</f>
        <v>19521.8</v>
      </c>
      <c r="F75" s="62">
        <f>E75/D75*100</f>
        <v>78.39733987655164</v>
      </c>
      <c r="G75" s="63">
        <f>'насел.'!G75+пільги!G75+субсидії!G75+'держ.бюджет'!G75+'місц.-районн.бюджет'!G75+обласний!G75+інші!G75</f>
        <v>25371.5</v>
      </c>
      <c r="H75" s="63">
        <f>'насел.'!H75+пільги!H75+субсидії!H75+'держ.бюджет'!H75+'місц.-районн.бюджет'!H75+обласний!H75+інші!H75</f>
        <v>20442.7</v>
      </c>
      <c r="I75" s="62">
        <f>H75/G75*100</f>
        <v>80.573478115208</v>
      </c>
      <c r="J75" s="63">
        <f>'насел.'!J75+пільги!J75+субсидії!J75+'держ.бюджет'!J75+'місц.-районн.бюджет'!J75+обласний!J75+інші!J75</f>
        <v>23865.5</v>
      </c>
      <c r="K75" s="63">
        <f>'насел.'!K75+пільги!K75+субсидії!K75+'держ.бюджет'!K75+'місц.-районн.бюджет'!K75+обласний!K75+інші!K75</f>
        <v>23461.1</v>
      </c>
      <c r="L75" s="62">
        <f>K75/J75*100</f>
        <v>98.30550376065868</v>
      </c>
      <c r="M75" s="63">
        <f>'насел.'!M75+пільги!M75+субсидії!M75+'держ.бюджет'!M75+'місц.-районн.бюджет'!M75+обласний!M75+інші!M75</f>
        <v>74138.1</v>
      </c>
      <c r="N75" s="63">
        <f>'насел.'!N75+пільги!N75+субсидії!N75+'держ.бюджет'!N75+'місц.-районн.бюджет'!N75+обласний!N75+інші!N75</f>
        <v>63425.6</v>
      </c>
      <c r="O75" s="62">
        <f>N75/M75*100</f>
        <v>85.55061432650687</v>
      </c>
      <c r="P75" s="63">
        <f>'насел.'!P75+пільги!P75+субсидії!P75+'держ.бюджет'!P75+'місц.-районн.бюджет'!P75+обласний!P75+інші!P75</f>
        <v>15478.8</v>
      </c>
      <c r="Q75" s="63">
        <f>'насел.'!Q75+пільги!Q75+субсидії!Q75+'держ.бюджет'!Q75+'місц.-районн.бюджет'!Q75+обласний!Q75+інші!Q75</f>
        <v>21859.4</v>
      </c>
      <c r="R75" s="63">
        <f>Q75/P75*100</f>
        <v>141.2215417215805</v>
      </c>
      <c r="S75" s="63">
        <f>'насел.'!S75+пільги!S75+субсидії!S75+'держ.бюджет'!S75+'місц.-районн.бюджет'!S75+обласний!S75+інші!S75</f>
        <v>12118.400000000001</v>
      </c>
      <c r="T75" s="63">
        <f>'насел.'!T75+пільги!T75+субсидії!T75+'держ.бюджет'!T75+'місц.-районн.бюджет'!T75+обласний!T75+інші!T75</f>
        <v>18737.1</v>
      </c>
      <c r="U75" s="62">
        <f>T75/S75*100</f>
        <v>154.6169461315025</v>
      </c>
      <c r="V75" s="63">
        <f>'насел.'!V75+пільги!V75+субсидії!V75+'держ.бюджет'!V75+'місц.-районн.бюджет'!V75+обласний!V75+інші!V75</f>
        <v>13862.7</v>
      </c>
      <c r="W75" s="63">
        <f>'насел.'!W75+пільги!W75+субсидії!W75+'держ.бюджет'!W75+'місц.-районн.бюджет'!W75+обласний!W75+інші!W75</f>
        <v>16190.1</v>
      </c>
      <c r="X75" s="62">
        <f>W75/V75*100</f>
        <v>116.78893722002206</v>
      </c>
      <c r="Y75" s="63">
        <f>'насел.'!Y75+пільги!Y75+субсидії!Y75+'держ.бюджет'!Y75+'місц.-районн.бюджет'!Y75+обласний!Y75+інші!Y75</f>
        <v>41459.90000000001</v>
      </c>
      <c r="Z75" s="63">
        <f>'насел.'!Z75+пільги!Z75+субсидії!Z75+'держ.бюджет'!Z75+'місц.-районн.бюджет'!Z75+обласний!Z75+інші!Z75</f>
        <v>56786.6</v>
      </c>
      <c r="AA75" s="62">
        <f>Z75/Y75*100</f>
        <v>136.96752765925626</v>
      </c>
      <c r="AB75" s="63">
        <f>'насел.'!AB75+пільги!AB75+субсидії!AB75+'держ.бюджет'!AB75+'місц.-районн.бюджет'!AB75+обласний!AB75+інші!AB75</f>
        <v>0</v>
      </c>
      <c r="AC75" s="63">
        <f>'насел.'!AC75+пільги!AC75+субсидії!AC75+'держ.бюджет'!AC75+'місц.-районн.бюджет'!AC75+обласний!AC75+інші!AC75</f>
        <v>0</v>
      </c>
      <c r="AD75" s="62" t="e">
        <f>AC75/AB75*100</f>
        <v>#DIV/0!</v>
      </c>
      <c r="AE75" s="63">
        <f>'насел.'!AE75+пільги!AE75+субсидії!AE75+'держ.бюджет'!AE75+'місц.-районн.бюджет'!AE75+обласний!AE75+інші!AE75</f>
        <v>0</v>
      </c>
      <c r="AF75" s="63">
        <f>'насел.'!AF75+пільги!AF75+субсидії!AF75+'держ.бюджет'!AF75+'місц.-районн.бюджет'!AF75+обласний!AF75+інші!AF75</f>
        <v>0</v>
      </c>
      <c r="AG75" s="62" t="e">
        <f>AF75/AE75*100</f>
        <v>#DIV/0!</v>
      </c>
      <c r="AH75" s="63">
        <f>'насел.'!AH75+пільги!AH75+субсидії!AH75+'держ.бюджет'!AH75+'місц.-районн.бюджет'!AH75+обласний!AH75+інші!AH75</f>
        <v>0</v>
      </c>
      <c r="AI75" s="63">
        <f>'насел.'!AI75+пільги!AI75+субсидії!AI75+'держ.бюджет'!AI75+'місц.-районн.бюджет'!AI75+обласний!AI75+інші!AI75</f>
        <v>0</v>
      </c>
      <c r="AJ75" s="62" t="e">
        <f>AI75/AH75*100</f>
        <v>#DIV/0!</v>
      </c>
      <c r="AK75" s="63">
        <f>'насел.'!AK75+пільги!AK75+субсидії!AK75+'держ.бюджет'!AK75+'місц.-районн.бюджет'!AK75+обласний!AK75+інші!AK75</f>
        <v>0</v>
      </c>
      <c r="AL75" s="63">
        <f>'насел.'!AL75+пільги!AL75+субсидії!AL75+'держ.бюджет'!AL75+'місц.-районн.бюджет'!AL75+обласний!AL75+інші!AL75</f>
        <v>0</v>
      </c>
      <c r="AM75" s="63" t="e">
        <f>AL75/AK75*100</f>
        <v>#DIV/0!</v>
      </c>
      <c r="AN75" s="63">
        <f>'насел.'!AN75+пільги!AN75+субсидії!AN75+'держ.бюджет'!AN75+'місц.-районн.бюджет'!AN75+обласний!AN75+інші!AN75</f>
        <v>0</v>
      </c>
      <c r="AO75" s="63">
        <f>'насел.'!AO75+пільги!AO75+субсидії!AO75+'держ.бюджет'!AO75+'місц.-районн.бюджет'!AO75+обласний!AO75+інші!AO75</f>
        <v>0</v>
      </c>
      <c r="AP75" s="63">
        <f>'насел.'!AP75+пільги!AP75+субсидії!AP75+'держ.бюджет'!AP75+'місц.-районн.бюджет'!AP75+обласний!AP75+інші!AP75</f>
        <v>0</v>
      </c>
      <c r="AQ75" s="63">
        <f>'насел.'!AQ75+пільги!AQ75+субсидії!AQ75+'держ.бюджет'!AQ75+'місц.-районн.бюджет'!AQ75+обласний!AQ75+інші!AQ75</f>
        <v>0</v>
      </c>
      <c r="AR75" s="63">
        <f>'насел.'!AR75+пільги!AR75+субсидії!AR75+'держ.бюджет'!AR75+'місц.-районн.бюджет'!AR75+обласний!AR75+інші!AR75</f>
        <v>0</v>
      </c>
      <c r="AS75" s="63">
        <f>'насел.'!AS75+пільги!AS75+субсидії!AS75+'держ.бюджет'!AS75+'місц.-районн.бюджет'!AS75+обласний!AS75+інші!AS75</f>
        <v>0</v>
      </c>
      <c r="AT75" s="63">
        <f>'насел.'!AT75+пільги!AT75+субсидії!AT75+'держ.бюджет'!AT75+'місц.-районн.бюджет'!AT75+обласний!AT75+інші!AT75</f>
        <v>115598</v>
      </c>
      <c r="AU75" s="63">
        <f>'насел.'!AU75+пільги!AU75+субсидії!AU75+'держ.бюджет'!AU75+'місц.-районн.бюджет'!AU75+обласний!AU75+інші!AU75</f>
        <v>120212.2</v>
      </c>
      <c r="AV75" s="62">
        <f>AU75/AT75*100</f>
        <v>103.99159155002681</v>
      </c>
      <c r="AW75" s="63">
        <f>AT75-AU75</f>
        <v>-4614.199999999997</v>
      </c>
      <c r="AX75" s="63">
        <f>'насел.'!AX75+пільги!AX75+субсидії!AX75+'держ.бюджет'!AX75+'місц.-районн.бюджет'!AX75+обласний!AX75+інші!AX75</f>
        <v>22669.899999999998</v>
      </c>
      <c r="AY75" s="150"/>
      <c r="AZ75" s="150"/>
      <c r="BA75" s="150"/>
      <c r="BB75" s="150"/>
    </row>
    <row r="76" spans="1:54" ht="34.5" customHeight="1">
      <c r="A76" s="10"/>
      <c r="B76" s="168" t="s">
        <v>55</v>
      </c>
      <c r="C76" s="79">
        <f>'насел.'!C76+пільги!C76+субсидії!C76+'держ.бюджет'!C76+'місц.-районн.бюджет'!C76+обласний!C76+інші!C76</f>
        <v>4385632.5</v>
      </c>
      <c r="D76" s="79">
        <f>'насел.'!D76+пільги!D76+субсидії!D76+'держ.бюджет'!D76+'місц.-районн.бюджет'!D76+обласний!D76+інші!D76</f>
        <v>1585122.5999999999</v>
      </c>
      <c r="E76" s="79">
        <f>'насел.'!E76+пільги!E76+субсидії!E76+'держ.бюджет'!E76+'місц.-районн.бюджет'!E76+обласний!E76+інші!E76</f>
        <v>793111.3000000002</v>
      </c>
      <c r="F76" s="58">
        <f>E76/D76*100</f>
        <v>50.034697631590156</v>
      </c>
      <c r="G76" s="79">
        <f>'насел.'!G76+пільги!G76+субсидії!G76+'держ.бюджет'!G76+'місц.-районн.бюджет'!G76+обласний!G76+інші!G76</f>
        <v>1416161.8</v>
      </c>
      <c r="H76" s="79">
        <f>'насел.'!H76+пільги!H76+субсидії!H76+'держ.бюджет'!H76+'місц.-районн.бюджет'!H76+обласний!H76+інші!H76</f>
        <v>1064170</v>
      </c>
      <c r="I76" s="58">
        <f>H76/G76*100</f>
        <v>75.14466214241904</v>
      </c>
      <c r="J76" s="79">
        <f>'насел.'!J76+пільги!J76+субсидії!J76+'держ.бюджет'!J76+'місц.-районн.бюджет'!J76+обласний!J76+інші!J76</f>
        <v>1415338.1999999997</v>
      </c>
      <c r="K76" s="79">
        <f>'насел.'!K76+пільги!K76+субсидії!K76+'держ.бюджет'!K76+'місц.-районн.бюджет'!K76+обласний!K76+інші!K76</f>
        <v>1274532.1000000003</v>
      </c>
      <c r="L76" s="58">
        <f>K76/J76*100</f>
        <v>90.05141668613203</v>
      </c>
      <c r="M76" s="79">
        <f>'насел.'!M76+пільги!M76+субсидії!M76+'держ.бюджет'!M76+'місц.-районн.бюджет'!M76+обласний!M76+інші!M76</f>
        <v>4416622.6</v>
      </c>
      <c r="N76" s="79">
        <f>'насел.'!N76+пільги!N76+субсидії!N76+'держ.бюджет'!N76+'місц.-районн.бюджет'!N76+обласний!N76+інші!N76</f>
        <v>3131813.4000000004</v>
      </c>
      <c r="O76" s="58">
        <f>N76/M76*100</f>
        <v>70.90969013290835</v>
      </c>
      <c r="P76" s="79">
        <f>'насел.'!P76+пільги!P76+субсидії!P76+'держ.бюджет'!P76+'місц.-районн.бюджет'!P76+обласний!P76+інші!P76</f>
        <v>703224.5</v>
      </c>
      <c r="Q76" s="79">
        <f>'насел.'!Q76+пільги!Q76+субсидії!Q76+'держ.бюджет'!Q76+'місц.-районн.бюджет'!Q76+обласний!Q76+інші!Q76</f>
        <v>1074963.5</v>
      </c>
      <c r="R76" s="79">
        <f>Q76/P76*100</f>
        <v>152.86206609695765</v>
      </c>
      <c r="S76" s="79">
        <f>'насел.'!S76+пільги!S76+субсидії!S76+'держ.бюджет'!S76+'місц.-районн.бюджет'!S76+обласний!S76+інші!S76</f>
        <v>119831.9</v>
      </c>
      <c r="T76" s="79">
        <f>'насел.'!T76+пільги!T76+субсидії!T76+'держ.бюджет'!T76+'місц.-районн.бюджет'!T76+обласний!T76+інші!T76</f>
        <v>606798.4</v>
      </c>
      <c r="U76" s="58">
        <f>T76/S76*100</f>
        <v>506.37467986404295</v>
      </c>
      <c r="V76" s="79">
        <f>'насел.'!V76+пільги!V76+субсидії!V76+'держ.бюджет'!V76+'місц.-районн.бюджет'!V76+обласний!V76+інші!V76</f>
        <v>83127.19999999998</v>
      </c>
      <c r="W76" s="79">
        <f>'насел.'!W76+пільги!W76+субсидії!W76+'держ.бюджет'!W76+'місц.-районн.бюджет'!W76+обласний!W76+інші!W76</f>
        <v>336380.2</v>
      </c>
      <c r="X76" s="58">
        <f>W76/V76*100</f>
        <v>404.6572000500439</v>
      </c>
      <c r="Y76" s="79">
        <f>'насел.'!Y76+пільги!Y76+субсидії!Y76+'держ.бюджет'!Y76+'місц.-районн.бюджет'!Y76+обласний!Y76+інші!Y76</f>
        <v>906183.6</v>
      </c>
      <c r="Z76" s="79">
        <f>'насел.'!Z76+пільги!Z76+субсидії!Z76+'держ.бюджет'!Z76+'місц.-районн.бюджет'!Z76+обласний!Z76+інші!Z76</f>
        <v>2018142.1</v>
      </c>
      <c r="AA76" s="58">
        <f>Z76/Y76*100</f>
        <v>222.70785964345419</v>
      </c>
      <c r="AB76" s="79">
        <f>'насел.'!AB76+пільги!AB76+субсидії!AB76+'держ.бюджет'!AB76+'місц.-районн.бюджет'!AB76+обласний!AB76+інші!AB76</f>
        <v>0</v>
      </c>
      <c r="AC76" s="79">
        <f>'насел.'!AC76+пільги!AC76+субсидії!AC76+'держ.бюджет'!AC76+'місц.-районн.бюджет'!AC76+обласний!AC76+інші!AC76</f>
        <v>0</v>
      </c>
      <c r="AD76" s="58" t="e">
        <f>AC76/AB76*100</f>
        <v>#DIV/0!</v>
      </c>
      <c r="AE76" s="79">
        <f>'насел.'!AE76+пільги!AE76+субсидії!AE76+'держ.бюджет'!AE76+'місц.-районн.бюджет'!AE76+обласний!AE76+інші!AE76</f>
        <v>0</v>
      </c>
      <c r="AF76" s="79">
        <f>'насел.'!AF76+пільги!AF76+субсидії!AF76+'держ.бюджет'!AF76+'місц.-районн.бюджет'!AF76+обласний!AF76+інші!AF76</f>
        <v>0</v>
      </c>
      <c r="AG76" s="58" t="e">
        <f>AF76/AE76*100</f>
        <v>#DIV/0!</v>
      </c>
      <c r="AH76" s="79">
        <f>'насел.'!AH76+пільги!AH76+субсидії!AH76+'держ.бюджет'!AH76+'місц.-районн.бюджет'!AH76+обласний!AH76+інші!AH76</f>
        <v>0</v>
      </c>
      <c r="AI76" s="79">
        <f>'насел.'!AI76+пільги!AI76+субсидії!AI76+'держ.бюджет'!AI76+'місц.-районн.бюджет'!AI76+обласний!AI76+інші!AI76</f>
        <v>0</v>
      </c>
      <c r="AJ76" s="58" t="e">
        <f>AI76/AH76*100</f>
        <v>#DIV/0!</v>
      </c>
      <c r="AK76" s="79">
        <f>'насел.'!AK76+пільги!AK76+субсидії!AK76+'держ.бюджет'!AK76+'місц.-районн.бюджет'!AK76+обласний!AK76+інші!AK76</f>
        <v>0</v>
      </c>
      <c r="AL76" s="79">
        <f>'насел.'!AL76+пільги!AL76+субсидії!AL76+'держ.бюджет'!AL76+'місц.-районн.бюджет'!AL76+обласний!AL76+інші!AL76</f>
        <v>0</v>
      </c>
      <c r="AM76" s="79" t="e">
        <f>AL76/AK76*100</f>
        <v>#DIV/0!</v>
      </c>
      <c r="AN76" s="79">
        <f>'насел.'!AN76+пільги!AN76+субсидії!AN76+'держ.бюджет'!AN76+'місц.-районн.бюджет'!AN76+обласний!AN76+інші!AN76</f>
        <v>0</v>
      </c>
      <c r="AO76" s="79">
        <f>'насел.'!AO76+пільги!AO76+субсидії!AO76+'держ.бюджет'!AO76+'місц.-районн.бюджет'!AO76+обласний!AO76+інші!AO76</f>
        <v>0</v>
      </c>
      <c r="AP76" s="79">
        <f>'насел.'!AP76+пільги!AP76+субсидії!AP76+'держ.бюджет'!AP76+'місц.-районн.бюджет'!AP76+обласний!AP76+інші!AP76</f>
        <v>0</v>
      </c>
      <c r="AQ76" s="79">
        <f>'насел.'!AQ76+пільги!AQ76+субсидії!AQ76+'держ.бюджет'!AQ76+'місц.-районн.бюджет'!AQ76+обласний!AQ76+інші!AQ76</f>
        <v>0</v>
      </c>
      <c r="AR76" s="79">
        <f>'насел.'!AR76+пільги!AR76+субсидії!AR76+'держ.бюджет'!AR76+'місц.-районн.бюджет'!AR76+обласний!AR76+інші!AR76</f>
        <v>0</v>
      </c>
      <c r="AS76" s="79">
        <f>'насел.'!AS76+пільги!AS76+субсидії!AS76+'держ.бюджет'!AS76+'місц.-районн.бюджет'!AS76+обласний!AS76+інші!AS76</f>
        <v>0</v>
      </c>
      <c r="AT76" s="79">
        <f>'насел.'!AT76+пільги!AT76+субсидії!AT76+'держ.бюджет'!AT76+'місц.-районн.бюджет'!AT76+обласний!AT76+інші!AT76</f>
        <v>5322806.2</v>
      </c>
      <c r="AU76" s="79">
        <f>'насел.'!AU76+пільги!AU76+субсидії!AU76+'держ.бюджет'!AU76+'місц.-районн.бюджет'!AU76+обласний!AU76+інші!AU76</f>
        <v>5149955.5</v>
      </c>
      <c r="AV76" s="58">
        <f>AU76/AT76*100</f>
        <v>96.7526396132927</v>
      </c>
      <c r="AW76" s="79">
        <f>AT76-AU76</f>
        <v>172850.7000000002</v>
      </c>
      <c r="AX76" s="79">
        <f>'насел.'!AX76+пільги!AX76+субсидії!AX76+'держ.бюджет'!AX76+'місц.-районн.бюджет'!AX76+обласний!AX76+інші!AX76</f>
        <v>4558483.2</v>
      </c>
      <c r="AY76" s="33"/>
      <c r="AZ76" s="150"/>
      <c r="BA76" s="150"/>
      <c r="BB76" s="150"/>
    </row>
  </sheetData>
  <sheetProtection/>
  <mergeCells count="21">
    <mergeCell ref="AB5:AD5"/>
    <mergeCell ref="AT5:AV5"/>
    <mergeCell ref="Y5:AA5"/>
    <mergeCell ref="AK5:AM5"/>
    <mergeCell ref="S5:U5"/>
    <mergeCell ref="D5:F5"/>
    <mergeCell ref="M5:O5"/>
    <mergeCell ref="AN5:AO5"/>
    <mergeCell ref="P5:R5"/>
    <mergeCell ref="AH5:AJ5"/>
    <mergeCell ref="J5:L5"/>
    <mergeCell ref="D1:AX1"/>
    <mergeCell ref="AP5:AQ5"/>
    <mergeCell ref="B2:AX3"/>
    <mergeCell ref="AR5:AS5"/>
    <mergeCell ref="AE5:AG5"/>
    <mergeCell ref="B4:C4"/>
    <mergeCell ref="AW5:AW6"/>
    <mergeCell ref="G5:I5"/>
    <mergeCell ref="AX5:AX6"/>
    <mergeCell ref="V5:X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46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60" zoomScaleNormal="50" zoomScalePageLayoutView="0" workbookViewId="0" topLeftCell="A3">
      <pane xSplit="2" ySplit="4" topLeftCell="P61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Z69" sqref="AZ69"/>
    </sheetView>
  </sheetViews>
  <sheetFormatPr defaultColWidth="5.75390625" defaultRowHeight="12.75"/>
  <cols>
    <col min="1" max="1" width="5.00390625" style="1" hidden="1" customWidth="1"/>
    <col min="2" max="2" width="68.25390625" style="2" customWidth="1"/>
    <col min="3" max="3" width="21.125" style="3" customWidth="1"/>
    <col min="4" max="5" width="21.00390625" style="2" hidden="1" customWidth="1"/>
    <col min="6" max="6" width="11.625" style="36" hidden="1" customWidth="1"/>
    <col min="7" max="8" width="21.00390625" style="2" hidden="1" customWidth="1"/>
    <col min="9" max="9" width="12.00390625" style="36" hidden="1" customWidth="1"/>
    <col min="10" max="10" width="18.00390625" style="2" hidden="1" customWidth="1"/>
    <col min="11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5" t="s">
        <v>42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s="31" customFormat="1" ht="60" customHeight="1" hidden="1">
      <c r="A2" s="30"/>
      <c r="B2" s="122" t="s">
        <v>175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</row>
    <row r="3" spans="1:50" s="44" customFormat="1" ht="60" customHeight="1">
      <c r="A3" s="4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</row>
    <row r="4" spans="2:50" ht="35.25" customHeight="1">
      <c r="B4" s="127"/>
      <c r="C4" s="127"/>
      <c r="D4" s="127"/>
      <c r="E4" s="127"/>
      <c r="F4" s="12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6" t="s">
        <v>59</v>
      </c>
      <c r="E5" s="117"/>
      <c r="F5" s="118"/>
      <c r="G5" s="116" t="s">
        <v>60</v>
      </c>
      <c r="H5" s="117"/>
      <c r="I5" s="118"/>
      <c r="J5" s="112" t="s">
        <v>61</v>
      </c>
      <c r="K5" s="113"/>
      <c r="L5" s="114"/>
      <c r="M5" s="112" t="s">
        <v>72</v>
      </c>
      <c r="N5" s="113"/>
      <c r="O5" s="114"/>
      <c r="P5" s="112" t="s">
        <v>62</v>
      </c>
      <c r="Q5" s="113"/>
      <c r="R5" s="114"/>
      <c r="S5" s="119" t="s">
        <v>63</v>
      </c>
      <c r="T5" s="120"/>
      <c r="U5" s="121"/>
      <c r="V5" s="119" t="s">
        <v>64</v>
      </c>
      <c r="W5" s="120"/>
      <c r="X5" s="121"/>
      <c r="Y5" s="112" t="s">
        <v>73</v>
      </c>
      <c r="Z5" s="113"/>
      <c r="AA5" s="114"/>
      <c r="AB5" s="112" t="s">
        <v>65</v>
      </c>
      <c r="AC5" s="113"/>
      <c r="AD5" s="114"/>
      <c r="AE5" s="112" t="s">
        <v>66</v>
      </c>
      <c r="AF5" s="113"/>
      <c r="AG5" s="114"/>
      <c r="AH5" s="112" t="s">
        <v>67</v>
      </c>
      <c r="AI5" s="113"/>
      <c r="AJ5" s="114"/>
      <c r="AK5" s="112" t="s">
        <v>68</v>
      </c>
      <c r="AL5" s="113"/>
      <c r="AM5" s="114"/>
      <c r="AN5" s="112" t="s">
        <v>69</v>
      </c>
      <c r="AO5" s="114"/>
      <c r="AP5" s="112" t="s">
        <v>70</v>
      </c>
      <c r="AQ5" s="114"/>
      <c r="AR5" s="112" t="s">
        <v>71</v>
      </c>
      <c r="AS5" s="114"/>
      <c r="AT5" s="116" t="s">
        <v>130</v>
      </c>
      <c r="AU5" s="117"/>
      <c r="AV5" s="118"/>
      <c r="AW5" s="125" t="s">
        <v>172</v>
      </c>
      <c r="AX5" s="123" t="s">
        <v>173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26"/>
      <c r="AX6" s="124"/>
    </row>
    <row r="7" spans="1:61" s="9" customFormat="1" ht="34.5" customHeight="1">
      <c r="A7" s="8"/>
      <c r="B7" s="107" t="s">
        <v>135</v>
      </c>
      <c r="C7" s="58">
        <f>SUM(C8:C71)-C8-C14-C23-C30-C39-C45-C61</f>
        <v>464338.6999999999</v>
      </c>
      <c r="D7" s="58">
        <f aca="true" t="shared" si="0" ref="D7:AX7">SUM(D8:D71)-D8-D14-D23-D30-D39-D45-D61</f>
        <v>157897</v>
      </c>
      <c r="E7" s="58">
        <f t="shared" si="0"/>
        <v>116201.80000000002</v>
      </c>
      <c r="F7" s="56">
        <f>E7/D7*100</f>
        <v>73.59341849433493</v>
      </c>
      <c r="G7" s="58">
        <f t="shared" si="0"/>
        <v>158663.49999999988</v>
      </c>
      <c r="H7" s="58">
        <f t="shared" si="0"/>
        <v>118749.90000000001</v>
      </c>
      <c r="I7" s="56">
        <f>H7/G7*100</f>
        <v>74.84386768223321</v>
      </c>
      <c r="J7" s="58">
        <f t="shared" si="0"/>
        <v>133115.99999999997</v>
      </c>
      <c r="K7" s="58">
        <f t="shared" si="0"/>
        <v>126607.99999999997</v>
      </c>
      <c r="L7" s="56">
        <f>K7/J7*100</f>
        <v>95.11103098049821</v>
      </c>
      <c r="M7" s="58">
        <f t="shared" si="0"/>
        <v>449676.49999999977</v>
      </c>
      <c r="N7" s="58">
        <f t="shared" si="0"/>
        <v>361559.69999999995</v>
      </c>
      <c r="O7" s="56">
        <f>N7/M7*100</f>
        <v>80.40440183109416</v>
      </c>
      <c r="P7" s="58">
        <f t="shared" si="0"/>
        <v>35255.70000000001</v>
      </c>
      <c r="Q7" s="58">
        <f t="shared" si="0"/>
        <v>104089.70000000004</v>
      </c>
      <c r="R7" s="56">
        <f>Q7/P7*100</f>
        <v>295.242187788074</v>
      </c>
      <c r="S7" s="58">
        <f t="shared" si="0"/>
        <v>2119.2</v>
      </c>
      <c r="T7" s="58">
        <f t="shared" si="0"/>
        <v>44407.79999999999</v>
      </c>
      <c r="U7" s="56">
        <f>T7/S7*100</f>
        <v>2095.498301245753</v>
      </c>
      <c r="V7" s="58">
        <f t="shared" si="0"/>
        <v>2204.7</v>
      </c>
      <c r="W7" s="58">
        <f t="shared" si="0"/>
        <v>21903.5</v>
      </c>
      <c r="X7" s="56">
        <f>W7/V7*100</f>
        <v>993.4911779380416</v>
      </c>
      <c r="Y7" s="58">
        <f t="shared" si="0"/>
        <v>39579.60000000001</v>
      </c>
      <c r="Z7" s="58">
        <f t="shared" si="0"/>
        <v>170401.00000000006</v>
      </c>
      <c r="AA7" s="56">
        <f>Z7/Y7*100</f>
        <v>430.5273423682907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489256.0999999998</v>
      </c>
      <c r="AU7" s="57">
        <f t="shared" si="1"/>
        <v>531960.7</v>
      </c>
      <c r="AV7" s="56">
        <f>AU7/AT7*100</f>
        <v>108.7284757410281</v>
      </c>
      <c r="AW7" s="58">
        <f t="shared" si="0"/>
        <v>-42704.59999999997</v>
      </c>
      <c r="AX7" s="58">
        <f t="shared" si="0"/>
        <v>421634.1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17.5</v>
      </c>
      <c r="D8" s="75">
        <f>SUM(D9:D13)</f>
        <v>0</v>
      </c>
      <c r="E8" s="75">
        <f>SUM(E9:E13)</f>
        <v>0</v>
      </c>
      <c r="F8" s="64" t="e">
        <f aca="true" t="shared" si="2" ref="F8:F51">E8/D8*100</f>
        <v>#DIV/0!</v>
      </c>
      <c r="G8" s="75">
        <f>SUM(G9:G13)</f>
        <v>-17.5</v>
      </c>
      <c r="H8" s="75">
        <f>SUM(H9:H13)</f>
        <v>0</v>
      </c>
      <c r="I8" s="59">
        <f aca="true" t="shared" si="3" ref="I8:I51">H8/G8*100</f>
        <v>0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-17.5</v>
      </c>
      <c r="N8" s="58">
        <f aca="true" t="shared" si="6" ref="N8:N39">E8+H8+K8</f>
        <v>0</v>
      </c>
      <c r="O8" s="58">
        <f aca="true" t="shared" si="7" ref="O8:O76">N8/M8*100</f>
        <v>0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54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28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28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-17.5</v>
      </c>
      <c r="AU8" s="57">
        <f t="shared" si="1"/>
        <v>0</v>
      </c>
      <c r="AV8" s="58">
        <f aca="true" t="shared" si="17" ref="AV8:AV75">AU8/AT8*100</f>
        <v>0</v>
      </c>
      <c r="AW8" s="58">
        <f aca="true" t="shared" si="18" ref="AW8:AW31">AT8-AU8</f>
        <v>-17.5</v>
      </c>
      <c r="AX8" s="79">
        <f aca="true" t="shared" si="19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>Q9/P9*100</f>
        <v>#DIV/0!</v>
      </c>
      <c r="S9" s="91"/>
      <c r="T9" s="91"/>
      <c r="U9" s="56" t="e">
        <f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0" ref="AK9:AK62">AB9+AE9+AH9</f>
        <v>0</v>
      </c>
      <c r="AL9" s="93">
        <f aca="true" t="shared" si="21" ref="AL9:AL62">AC9+AF9+AI9</f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t="shared" si="18"/>
        <v>0</v>
      </c>
      <c r="AX9" s="95">
        <f t="shared" si="19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17.5</v>
      </c>
      <c r="D10" s="61">
        <v>0</v>
      </c>
      <c r="E10" s="61">
        <v>0</v>
      </c>
      <c r="F10" s="64" t="e">
        <f t="shared" si="2"/>
        <v>#DIV/0!</v>
      </c>
      <c r="G10" s="61">
        <v>-17.5</v>
      </c>
      <c r="H10" s="61"/>
      <c r="I10" s="59">
        <f t="shared" si="3"/>
        <v>0</v>
      </c>
      <c r="J10" s="61"/>
      <c r="K10" s="61"/>
      <c r="L10" s="64">
        <v>0</v>
      </c>
      <c r="M10" s="62">
        <f t="shared" si="5"/>
        <v>-17.5</v>
      </c>
      <c r="N10" s="62">
        <f t="shared" si="6"/>
        <v>0</v>
      </c>
      <c r="O10" s="58">
        <f t="shared" si="7"/>
        <v>0</v>
      </c>
      <c r="P10" s="65"/>
      <c r="Q10" s="65"/>
      <c r="R10" s="58" t="e">
        <f>Q10/P10*100</f>
        <v>#DIV/0!</v>
      </c>
      <c r="S10" s="61"/>
      <c r="T10" s="61"/>
      <c r="U10" s="64" t="e">
        <f>T10/S10*100</f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0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2" ref="AT10:AT76">M10+Y10+AK10+AN10+AP10+AR10</f>
        <v>-17.5</v>
      </c>
      <c r="AU10" s="94">
        <f aca="true" t="shared" si="23" ref="AU10:AU76">N10+Z10+AL10+AO10+AQ10+AS10</f>
        <v>0</v>
      </c>
      <c r="AV10" s="58">
        <f>AU10/AT10*100</f>
        <v>0</v>
      </c>
      <c r="AW10" s="62">
        <f t="shared" si="18"/>
        <v>-17.5</v>
      </c>
      <c r="AX10" s="63">
        <f t="shared" si="19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>Q11/P11*100</f>
        <v>#DIV/0!</v>
      </c>
      <c r="S11" s="61"/>
      <c r="T11" s="61"/>
      <c r="U11" s="58" t="e">
        <f>T11/S11*100</f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0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2"/>
        <v>0</v>
      </c>
      <c r="AU11" s="94">
        <f t="shared" si="23"/>
        <v>0</v>
      </c>
      <c r="AV11" s="58" t="e">
        <f t="shared" si="17"/>
        <v>#DIV/0!</v>
      </c>
      <c r="AW11" s="62">
        <f t="shared" si="18"/>
        <v>0</v>
      </c>
      <c r="AX11" s="63">
        <f t="shared" si="19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>Q12/P12*100</f>
        <v>#DIV/0!</v>
      </c>
      <c r="S12" s="61"/>
      <c r="T12" s="61"/>
      <c r="U12" s="58" t="e">
        <f>T12/S12*100</f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0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2"/>
        <v>0</v>
      </c>
      <c r="AU12" s="94">
        <f t="shared" si="23"/>
        <v>0</v>
      </c>
      <c r="AV12" s="58" t="e">
        <f t="shared" si="17"/>
        <v>#DIV/0!</v>
      </c>
      <c r="AW12" s="62">
        <f t="shared" si="18"/>
        <v>0</v>
      </c>
      <c r="AX12" s="63">
        <f t="shared" si="19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 hidden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>Q13/P13*100</f>
        <v>#DIV/0!</v>
      </c>
      <c r="S13" s="61"/>
      <c r="T13" s="61"/>
      <c r="U13" s="58" t="e">
        <f>T13/S13*100</f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0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2"/>
        <v>0</v>
      </c>
      <c r="AU13" s="94">
        <f t="shared" si="23"/>
        <v>0</v>
      </c>
      <c r="AV13" s="58" t="e">
        <f t="shared" si="17"/>
        <v>#DIV/0!</v>
      </c>
      <c r="AW13" s="62">
        <f t="shared" si="18"/>
        <v>0</v>
      </c>
      <c r="AX13" s="63">
        <f t="shared" si="19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99058.5</v>
      </c>
      <c r="D14" s="75">
        <f>SUM(D15:D22)</f>
        <v>29784.5</v>
      </c>
      <c r="E14" s="75">
        <f>SUM(E15:E22)</f>
        <v>24224.5</v>
      </c>
      <c r="F14" s="59">
        <f t="shared" si="2"/>
        <v>81.33257231110142</v>
      </c>
      <c r="G14" s="75">
        <f>SUM(G15:G22)</f>
        <v>31040.300000000003</v>
      </c>
      <c r="H14" s="75">
        <f>SUM(H15:H22)</f>
        <v>23577.6</v>
      </c>
      <c r="I14" s="59">
        <f t="shared" si="3"/>
        <v>75.95802875616536</v>
      </c>
      <c r="J14" s="75">
        <f>SUM(J15:J22)</f>
        <v>26060.1</v>
      </c>
      <c r="K14" s="75">
        <f>SUM(K15:K22)</f>
        <v>25530.6</v>
      </c>
      <c r="L14" s="58">
        <f t="shared" si="4"/>
        <v>97.96815821888634</v>
      </c>
      <c r="M14" s="58">
        <f t="shared" si="5"/>
        <v>86884.9</v>
      </c>
      <c r="N14" s="58">
        <f t="shared" si="6"/>
        <v>73332.7</v>
      </c>
      <c r="O14" s="58">
        <f t="shared" si="7"/>
        <v>84.40212280845118</v>
      </c>
      <c r="P14" s="75">
        <f aca="true" t="shared" si="24" ref="P14:W14">SUM(P15:P22)</f>
        <v>8085.5</v>
      </c>
      <c r="Q14" s="75">
        <f t="shared" si="24"/>
        <v>21175.9</v>
      </c>
      <c r="R14" s="75" t="e">
        <f t="shared" si="24"/>
        <v>#DIV/0!</v>
      </c>
      <c r="S14" s="75">
        <f t="shared" si="24"/>
        <v>416.2</v>
      </c>
      <c r="T14" s="75">
        <f t="shared" si="24"/>
        <v>9172.5</v>
      </c>
      <c r="U14" s="75" t="e">
        <f t="shared" si="24"/>
        <v>#DIV/0!</v>
      </c>
      <c r="V14" s="75">
        <f t="shared" si="24"/>
        <v>416.1</v>
      </c>
      <c r="W14" s="75">
        <f t="shared" si="24"/>
        <v>3857.6</v>
      </c>
      <c r="X14" s="58">
        <f t="shared" si="9"/>
        <v>927.0848353761114</v>
      </c>
      <c r="Y14" s="58">
        <f t="shared" si="10"/>
        <v>8917.800000000001</v>
      </c>
      <c r="Z14" s="58">
        <f t="shared" si="11"/>
        <v>34206</v>
      </c>
      <c r="AA14" s="58">
        <f t="shared" si="12"/>
        <v>383.56993877413703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0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2"/>
        <v>95802.7</v>
      </c>
      <c r="AU14" s="57">
        <f t="shared" si="23"/>
        <v>107538.7</v>
      </c>
      <c r="AV14" s="58">
        <f t="shared" si="17"/>
        <v>112.25017666516706</v>
      </c>
      <c r="AW14" s="58">
        <f t="shared" si="18"/>
        <v>-11736</v>
      </c>
      <c r="AX14" s="79">
        <f t="shared" si="19"/>
        <v>87322.50000000001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47751</v>
      </c>
      <c r="D15" s="61">
        <v>11386.9</v>
      </c>
      <c r="E15" s="61">
        <v>8901</v>
      </c>
      <c r="F15" s="59">
        <f t="shared" si="2"/>
        <v>78.1687728881434</v>
      </c>
      <c r="G15" s="61">
        <v>12351.1</v>
      </c>
      <c r="H15" s="61">
        <v>8537.1</v>
      </c>
      <c r="I15" s="59">
        <f t="shared" si="3"/>
        <v>69.12015933803467</v>
      </c>
      <c r="J15" s="61">
        <v>9460.5</v>
      </c>
      <c r="K15" s="61">
        <v>9793.1</v>
      </c>
      <c r="L15" s="58">
        <f t="shared" si="4"/>
        <v>103.51567041911105</v>
      </c>
      <c r="M15" s="62">
        <f t="shared" si="5"/>
        <v>33198.5</v>
      </c>
      <c r="N15" s="62">
        <f t="shared" si="6"/>
        <v>27231.199999999997</v>
      </c>
      <c r="O15" s="58">
        <f t="shared" si="7"/>
        <v>82.0253927135262</v>
      </c>
      <c r="P15" s="61">
        <v>2481.5</v>
      </c>
      <c r="Q15" s="61">
        <v>7505.8</v>
      </c>
      <c r="R15" s="58">
        <f aca="true" t="shared" si="27" ref="R15:R22">Q15/P15*100</f>
        <v>302.47028007253675</v>
      </c>
      <c r="S15" s="61"/>
      <c r="T15" s="61">
        <v>3093</v>
      </c>
      <c r="U15" s="58" t="e">
        <f aca="true" t="shared" si="28" ref="U15:U22">T15/S15*100</f>
        <v>#DIV/0!</v>
      </c>
      <c r="V15" s="61"/>
      <c r="W15" s="61">
        <v>1484.9</v>
      </c>
      <c r="X15" s="58" t="e">
        <f t="shared" si="9"/>
        <v>#DIV/0!</v>
      </c>
      <c r="Y15" s="62">
        <f t="shared" si="10"/>
        <v>2481.5</v>
      </c>
      <c r="Z15" s="62">
        <f t="shared" si="11"/>
        <v>12083.699999999999</v>
      </c>
      <c r="AA15" s="58">
        <f t="shared" si="12"/>
        <v>486.9514406608905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0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2"/>
        <v>35680</v>
      </c>
      <c r="AU15" s="94">
        <f t="shared" si="23"/>
        <v>39314.899999999994</v>
      </c>
      <c r="AV15" s="58">
        <f t="shared" si="17"/>
        <v>110.1875</v>
      </c>
      <c r="AW15" s="62">
        <f t="shared" si="18"/>
        <v>-3634.899999999994</v>
      </c>
      <c r="AX15" s="63">
        <f t="shared" si="19"/>
        <v>44116.100000000006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122.5+30.2</f>
        <v>152.7</v>
      </c>
      <c r="D16" s="61">
        <v>22.6</v>
      </c>
      <c r="E16" s="61">
        <v>18.9</v>
      </c>
      <c r="F16" s="59">
        <f t="shared" si="2"/>
        <v>83.62831858407078</v>
      </c>
      <c r="G16" s="61">
        <v>24.4</v>
      </c>
      <c r="H16" s="61">
        <v>19.2</v>
      </c>
      <c r="I16" s="59">
        <f t="shared" si="3"/>
        <v>78.68852459016394</v>
      </c>
      <c r="J16" s="61">
        <v>18.9</v>
      </c>
      <c r="K16" s="61">
        <v>17</v>
      </c>
      <c r="L16" s="58">
        <f t="shared" si="4"/>
        <v>89.94708994708995</v>
      </c>
      <c r="M16" s="62">
        <f t="shared" si="5"/>
        <v>65.9</v>
      </c>
      <c r="N16" s="62">
        <f t="shared" si="6"/>
        <v>55.099999999999994</v>
      </c>
      <c r="O16" s="58">
        <f t="shared" si="7"/>
        <v>83.61153262518967</v>
      </c>
      <c r="P16" s="61">
        <v>3.4</v>
      </c>
      <c r="Q16" s="61">
        <v>14.2</v>
      </c>
      <c r="R16" s="58">
        <f t="shared" si="27"/>
        <v>417.64705882352945</v>
      </c>
      <c r="S16" s="61"/>
      <c r="T16" s="61">
        <v>3.9</v>
      </c>
      <c r="U16" s="58" t="e">
        <f t="shared" si="28"/>
        <v>#DIV/0!</v>
      </c>
      <c r="V16" s="61"/>
      <c r="W16" s="61">
        <v>1.5</v>
      </c>
      <c r="X16" s="58" t="e">
        <f t="shared" si="9"/>
        <v>#DIV/0!</v>
      </c>
      <c r="Y16" s="62">
        <f t="shared" si="10"/>
        <v>3.4</v>
      </c>
      <c r="Z16" s="62">
        <f t="shared" si="11"/>
        <v>19.599999999999998</v>
      </c>
      <c r="AA16" s="58">
        <f t="shared" si="12"/>
        <v>576.4705882352941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0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2"/>
        <v>69.30000000000001</v>
      </c>
      <c r="AU16" s="94">
        <f t="shared" si="23"/>
        <v>74.69999999999999</v>
      </c>
      <c r="AV16" s="58">
        <f t="shared" si="17"/>
        <v>107.79220779220775</v>
      </c>
      <c r="AW16" s="62">
        <f t="shared" si="18"/>
        <v>-5.399999999999977</v>
      </c>
      <c r="AX16" s="63">
        <f t="shared" si="19"/>
        <v>147.3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5626.5</v>
      </c>
      <c r="D17" s="61">
        <v>3033.2</v>
      </c>
      <c r="E17" s="61">
        <v>2785.8</v>
      </c>
      <c r="F17" s="59">
        <f t="shared" si="2"/>
        <v>91.84359752077016</v>
      </c>
      <c r="G17" s="61">
        <v>3233.2</v>
      </c>
      <c r="H17" s="61">
        <v>2667</v>
      </c>
      <c r="I17" s="59">
        <f t="shared" si="3"/>
        <v>82.48793764691328</v>
      </c>
      <c r="J17" s="61">
        <v>2602.7</v>
      </c>
      <c r="K17" s="61">
        <v>2738.9</v>
      </c>
      <c r="L17" s="58">
        <f t="shared" si="4"/>
        <v>105.2330272409421</v>
      </c>
      <c r="M17" s="62">
        <f t="shared" si="5"/>
        <v>8869.099999999999</v>
      </c>
      <c r="N17" s="62">
        <f t="shared" si="6"/>
        <v>8191.700000000001</v>
      </c>
      <c r="O17" s="58">
        <f t="shared" si="7"/>
        <v>92.36224645116192</v>
      </c>
      <c r="P17" s="61">
        <v>520.1</v>
      </c>
      <c r="Q17" s="61">
        <v>2278</v>
      </c>
      <c r="R17" s="58">
        <f t="shared" si="27"/>
        <v>437.99269371274755</v>
      </c>
      <c r="S17" s="61"/>
      <c r="T17" s="61">
        <v>726.7</v>
      </c>
      <c r="U17" s="58" t="e">
        <f t="shared" si="28"/>
        <v>#DIV/0!</v>
      </c>
      <c r="V17" s="61"/>
      <c r="W17" s="61">
        <v>284</v>
      </c>
      <c r="X17" s="58" t="e">
        <f t="shared" si="9"/>
        <v>#DIV/0!</v>
      </c>
      <c r="Y17" s="62">
        <f t="shared" si="10"/>
        <v>520.1</v>
      </c>
      <c r="Z17" s="62">
        <f t="shared" si="11"/>
        <v>3288.7</v>
      </c>
      <c r="AA17" s="58">
        <f t="shared" si="12"/>
        <v>632.3207075562391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0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2"/>
        <v>9389.199999999999</v>
      </c>
      <c r="AU17" s="94">
        <f t="shared" si="23"/>
        <v>11480.400000000001</v>
      </c>
      <c r="AV17" s="58">
        <f t="shared" si="17"/>
        <v>122.27239807438337</v>
      </c>
      <c r="AW17" s="62">
        <f t="shared" si="18"/>
        <v>-2091.2000000000025</v>
      </c>
      <c r="AX17" s="63">
        <f t="shared" si="19"/>
        <v>3535.2999999999975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27"/>
        <v>#DIV/0!</v>
      </c>
      <c r="S18" s="61"/>
      <c r="T18" s="61"/>
      <c r="U18" s="58" t="e">
        <f t="shared" si="28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0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2"/>
        <v>0</v>
      </c>
      <c r="AU18" s="94">
        <f t="shared" si="23"/>
        <v>0</v>
      </c>
      <c r="AV18" s="58" t="e">
        <f t="shared" si="17"/>
        <v>#DIV/0!</v>
      </c>
      <c r="AW18" s="62">
        <f t="shared" si="18"/>
        <v>0</v>
      </c>
      <c r="AX18" s="63">
        <f t="shared" si="19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45528.3</v>
      </c>
      <c r="D19" s="61">
        <v>15341.8</v>
      </c>
      <c r="E19" s="61">
        <v>12518.8</v>
      </c>
      <c r="F19" s="59">
        <f t="shared" si="2"/>
        <v>81.59929082636978</v>
      </c>
      <c r="G19" s="61">
        <v>15431.6</v>
      </c>
      <c r="H19" s="61">
        <v>12354.3</v>
      </c>
      <c r="I19" s="59">
        <f t="shared" si="3"/>
        <v>80.05845148915213</v>
      </c>
      <c r="J19" s="61">
        <v>13978</v>
      </c>
      <c r="K19" s="61">
        <v>12981.6</v>
      </c>
      <c r="L19" s="67">
        <f t="shared" si="4"/>
        <v>92.87165545857778</v>
      </c>
      <c r="M19" s="62">
        <f t="shared" si="5"/>
        <v>44751.4</v>
      </c>
      <c r="N19" s="62">
        <f t="shared" si="6"/>
        <v>37854.7</v>
      </c>
      <c r="O19" s="58">
        <f t="shared" si="7"/>
        <v>84.58886202442828</v>
      </c>
      <c r="P19" s="61">
        <v>5080.5</v>
      </c>
      <c r="Q19" s="61">
        <v>11377.9</v>
      </c>
      <c r="R19" s="58">
        <f t="shared" si="27"/>
        <v>223.95236689302234</v>
      </c>
      <c r="S19" s="61">
        <v>416.2</v>
      </c>
      <c r="T19" s="61">
        <v>5348.9</v>
      </c>
      <c r="U19" s="58">
        <f t="shared" si="28"/>
        <v>1285.1753964440172</v>
      </c>
      <c r="V19" s="61">
        <v>416.1</v>
      </c>
      <c r="W19" s="61">
        <v>2087.2</v>
      </c>
      <c r="X19" s="66">
        <f t="shared" si="9"/>
        <v>501.6101898582071</v>
      </c>
      <c r="Y19" s="62">
        <f t="shared" si="10"/>
        <v>5912.8</v>
      </c>
      <c r="Z19" s="62">
        <f t="shared" si="11"/>
        <v>18814</v>
      </c>
      <c r="AA19" s="58">
        <f t="shared" si="12"/>
        <v>318.1910431606007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0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2"/>
        <v>50664.200000000004</v>
      </c>
      <c r="AU19" s="94">
        <f t="shared" si="23"/>
        <v>56668.7</v>
      </c>
      <c r="AV19" s="58">
        <f t="shared" si="17"/>
        <v>111.85156382613361</v>
      </c>
      <c r="AW19" s="62">
        <f t="shared" si="18"/>
        <v>-6004.499999999993</v>
      </c>
      <c r="AX19" s="63">
        <f t="shared" si="19"/>
        <v>39523.8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27"/>
        <v>#DIV/0!</v>
      </c>
      <c r="S20" s="91"/>
      <c r="T20" s="91"/>
      <c r="U20" s="56" t="e">
        <f t="shared" si="28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0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2"/>
        <v>0</v>
      </c>
      <c r="AU20" s="94">
        <f t="shared" si="23"/>
        <v>0</v>
      </c>
      <c r="AV20" s="56" t="e">
        <f t="shared" si="17"/>
        <v>#DIV/0!</v>
      </c>
      <c r="AW20" s="93">
        <f t="shared" si="18"/>
        <v>0</v>
      </c>
      <c r="AX20" s="95">
        <f t="shared" si="19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27"/>
        <v>#DIV/0!</v>
      </c>
      <c r="S21" s="61"/>
      <c r="T21" s="61"/>
      <c r="U21" s="58" t="e">
        <f t="shared" si="28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0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2"/>
        <v>0</v>
      </c>
      <c r="AU21" s="94">
        <f t="shared" si="23"/>
        <v>0</v>
      </c>
      <c r="AV21" s="58" t="e">
        <f t="shared" si="17"/>
        <v>#DIV/0!</v>
      </c>
      <c r="AW21" s="62">
        <f t="shared" si="18"/>
        <v>0</v>
      </c>
      <c r="AX21" s="63">
        <f t="shared" si="19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27"/>
        <v>#DIV/0!</v>
      </c>
      <c r="S22" s="61"/>
      <c r="T22" s="61"/>
      <c r="U22" s="58" t="e">
        <f t="shared" si="28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0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2"/>
        <v>0</v>
      </c>
      <c r="AU22" s="94">
        <f t="shared" si="23"/>
        <v>0</v>
      </c>
      <c r="AV22" s="58" t="e">
        <f t="shared" si="17"/>
        <v>#DIV/0!</v>
      </c>
      <c r="AW22" s="62">
        <f t="shared" si="18"/>
        <v>0</v>
      </c>
      <c r="AX22" s="63">
        <f t="shared" si="19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19240.7</v>
      </c>
      <c r="D23" s="75">
        <f>SUM(D24:D29)</f>
        <v>10377.5</v>
      </c>
      <c r="E23" s="75">
        <f>SUM(E24:E29)</f>
        <v>7225.4</v>
      </c>
      <c r="F23" s="59">
        <f t="shared" si="2"/>
        <v>69.6256323777403</v>
      </c>
      <c r="G23" s="75">
        <f>SUM(G24:G29)</f>
        <v>9751.3</v>
      </c>
      <c r="H23" s="75">
        <f>SUM(H24:H29)</f>
        <v>7181.7</v>
      </c>
      <c r="I23" s="59">
        <f t="shared" si="3"/>
        <v>73.6486417195656</v>
      </c>
      <c r="J23" s="75">
        <f>SUM(J24:J29)</f>
        <v>8412.2</v>
      </c>
      <c r="K23" s="75">
        <f>SUM(K24:K29)</f>
        <v>7950.7</v>
      </c>
      <c r="L23" s="71">
        <f t="shared" si="4"/>
        <v>94.51392025867193</v>
      </c>
      <c r="M23" s="58">
        <f t="shared" si="5"/>
        <v>28541</v>
      </c>
      <c r="N23" s="58">
        <f t="shared" si="6"/>
        <v>22357.8</v>
      </c>
      <c r="O23" s="58">
        <f t="shared" si="7"/>
        <v>78.33572754984057</v>
      </c>
      <c r="P23" s="75">
        <f aca="true" t="shared" si="29" ref="P23:W23">SUM(P24:P29)</f>
        <v>1225.3</v>
      </c>
      <c r="Q23" s="75">
        <f t="shared" si="29"/>
        <v>6880</v>
      </c>
      <c r="R23" s="75" t="e">
        <f t="shared" si="29"/>
        <v>#DIV/0!</v>
      </c>
      <c r="S23" s="75">
        <f t="shared" si="29"/>
        <v>-231.9</v>
      </c>
      <c r="T23" s="75">
        <f t="shared" si="29"/>
        <v>3080.2</v>
      </c>
      <c r="U23" s="75" t="e">
        <f t="shared" si="29"/>
        <v>#DIV/0!</v>
      </c>
      <c r="V23" s="75">
        <f t="shared" si="29"/>
        <v>-26</v>
      </c>
      <c r="W23" s="75">
        <f t="shared" si="29"/>
        <v>1641.1</v>
      </c>
      <c r="X23" s="72">
        <f t="shared" si="9"/>
        <v>-6311.923076923077</v>
      </c>
      <c r="Y23" s="58">
        <f t="shared" si="10"/>
        <v>967.4</v>
      </c>
      <c r="Z23" s="58">
        <f t="shared" si="11"/>
        <v>11601.300000000001</v>
      </c>
      <c r="AA23" s="58">
        <f t="shared" si="12"/>
        <v>1199.2247260698782</v>
      </c>
      <c r="AB23" s="75">
        <f aca="true" t="shared" si="30" ref="AB23:AI23">SUM(AB24:AB29)</f>
        <v>0</v>
      </c>
      <c r="AC23" s="75">
        <f t="shared" si="30"/>
        <v>0</v>
      </c>
      <c r="AD23" s="75">
        <f t="shared" si="30"/>
        <v>0</v>
      </c>
      <c r="AE23" s="75">
        <f t="shared" si="30"/>
        <v>0</v>
      </c>
      <c r="AF23" s="75">
        <f t="shared" si="30"/>
        <v>0</v>
      </c>
      <c r="AG23" s="75">
        <f t="shared" si="30"/>
        <v>0</v>
      </c>
      <c r="AH23" s="75">
        <f t="shared" si="30"/>
        <v>0</v>
      </c>
      <c r="AI23" s="75">
        <f t="shared" si="30"/>
        <v>0</v>
      </c>
      <c r="AJ23" s="58" t="e">
        <f t="shared" si="14"/>
        <v>#DIV/0!</v>
      </c>
      <c r="AK23" s="58">
        <f t="shared" si="20"/>
        <v>0</v>
      </c>
      <c r="AL23" s="58">
        <f t="shared" si="21"/>
        <v>0</v>
      </c>
      <c r="AM23" s="58" t="e">
        <f t="shared" si="15"/>
        <v>#DIV/0!</v>
      </c>
      <c r="AN23" s="75">
        <f aca="true" t="shared" si="31" ref="AN23:AS23">SUM(AN24:AN29)</f>
        <v>0</v>
      </c>
      <c r="AO23" s="75">
        <f t="shared" si="31"/>
        <v>0</v>
      </c>
      <c r="AP23" s="75">
        <f t="shared" si="31"/>
        <v>0</v>
      </c>
      <c r="AQ23" s="75">
        <f t="shared" si="31"/>
        <v>0</v>
      </c>
      <c r="AR23" s="75">
        <f t="shared" si="31"/>
        <v>0</v>
      </c>
      <c r="AS23" s="75">
        <f t="shared" si="31"/>
        <v>0</v>
      </c>
      <c r="AT23" s="57">
        <f t="shared" si="22"/>
        <v>29508.4</v>
      </c>
      <c r="AU23" s="57">
        <f t="shared" si="23"/>
        <v>33959.1</v>
      </c>
      <c r="AV23" s="58">
        <f t="shared" si="17"/>
        <v>115.08282387387997</v>
      </c>
      <c r="AW23" s="58">
        <f t="shared" si="18"/>
        <v>-4450.699999999997</v>
      </c>
      <c r="AX23" s="79">
        <f t="shared" si="19"/>
        <v>14790.000000000007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>Q24/P24*100</f>
        <v>#DIV/0!</v>
      </c>
      <c r="S24" s="61"/>
      <c r="T24" s="61"/>
      <c r="U24" s="58" t="e">
        <f>T24/S24*100</f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0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2"/>
        <v>0</v>
      </c>
      <c r="AU24" s="94">
        <f t="shared" si="23"/>
        <v>0</v>
      </c>
      <c r="AV24" s="58" t="e">
        <f t="shared" si="17"/>
        <v>#DIV/0!</v>
      </c>
      <c r="AW24" s="62">
        <f t="shared" si="18"/>
        <v>0</v>
      </c>
      <c r="AX24" s="63">
        <f t="shared" si="19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>Q25/P25*100</f>
        <v>#DIV/0!</v>
      </c>
      <c r="S25" s="61"/>
      <c r="T25" s="61"/>
      <c r="U25" s="58" t="e">
        <f>T25/S25*100</f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0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2"/>
        <v>0</v>
      </c>
      <c r="AU25" s="94">
        <f t="shared" si="23"/>
        <v>0</v>
      </c>
      <c r="AV25" s="58" t="e">
        <f t="shared" si="17"/>
        <v>#DIV/0!</v>
      </c>
      <c r="AW25" s="62">
        <f t="shared" si="18"/>
        <v>0</v>
      </c>
      <c r="AX25" s="63">
        <f t="shared" si="19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19240.7</v>
      </c>
      <c r="D26" s="61">
        <v>10377.5</v>
      </c>
      <c r="E26" s="61">
        <v>7225.4</v>
      </c>
      <c r="F26" s="59">
        <f t="shared" si="2"/>
        <v>69.6256323777403</v>
      </c>
      <c r="G26" s="61">
        <v>9751.3</v>
      </c>
      <c r="H26" s="61">
        <v>7181.7</v>
      </c>
      <c r="I26" s="59">
        <f t="shared" si="3"/>
        <v>73.6486417195656</v>
      </c>
      <c r="J26" s="61">
        <v>8412.2</v>
      </c>
      <c r="K26" s="61">
        <v>7950.7</v>
      </c>
      <c r="L26" s="58">
        <f>K26/J26*100</f>
        <v>94.51392025867193</v>
      </c>
      <c r="M26" s="62">
        <f t="shared" si="5"/>
        <v>28541</v>
      </c>
      <c r="N26" s="62">
        <f t="shared" si="6"/>
        <v>22357.8</v>
      </c>
      <c r="O26" s="58">
        <f t="shared" si="7"/>
        <v>78.33572754984057</v>
      </c>
      <c r="P26" s="61">
        <v>1225.3</v>
      </c>
      <c r="Q26" s="61">
        <v>6880</v>
      </c>
      <c r="R26" s="58">
        <f>Q26/P26*100</f>
        <v>561.495144046356</v>
      </c>
      <c r="S26" s="61">
        <v>-231.9</v>
      </c>
      <c r="T26" s="61">
        <v>3080.2</v>
      </c>
      <c r="U26" s="58">
        <f>T26/S26*100</f>
        <v>-1328.244933160845</v>
      </c>
      <c r="V26" s="61">
        <v>-26</v>
      </c>
      <c r="W26" s="61">
        <v>1641.1</v>
      </c>
      <c r="X26" s="58">
        <f>W26/V26*100</f>
        <v>-6311.923076923077</v>
      </c>
      <c r="Y26" s="62">
        <f t="shared" si="10"/>
        <v>967.4</v>
      </c>
      <c r="Z26" s="62">
        <f t="shared" si="11"/>
        <v>11601.300000000001</v>
      </c>
      <c r="AA26" s="58">
        <f t="shared" si="12"/>
        <v>1199.2247260698782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0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2"/>
        <v>29508.4</v>
      </c>
      <c r="AU26" s="94">
        <f t="shared" si="23"/>
        <v>33959.1</v>
      </c>
      <c r="AV26" s="58">
        <f t="shared" si="17"/>
        <v>115.08282387387997</v>
      </c>
      <c r="AW26" s="62">
        <f t="shared" si="18"/>
        <v>-4450.699999999997</v>
      </c>
      <c r="AX26" s="63">
        <f t="shared" si="19"/>
        <v>14790.000000000007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>Q27/P27*100</f>
        <v>#DIV/0!</v>
      </c>
      <c r="S27" s="61"/>
      <c r="T27" s="61"/>
      <c r="U27" s="58" t="e">
        <f>T27/S27*100</f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0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2"/>
        <v>0</v>
      </c>
      <c r="AU27" s="94">
        <f t="shared" si="23"/>
        <v>0</v>
      </c>
      <c r="AV27" s="58" t="e">
        <f t="shared" si="17"/>
        <v>#DIV/0!</v>
      </c>
      <c r="AW27" s="62">
        <f t="shared" si="18"/>
        <v>0</v>
      </c>
      <c r="AX27" s="63">
        <f t="shared" si="19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>Q28/P28*100</f>
        <v>#DIV/0!</v>
      </c>
      <c r="S28" s="61"/>
      <c r="T28" s="73"/>
      <c r="U28" s="58" t="e">
        <f>T28/S28*100</f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0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2"/>
        <v>0</v>
      </c>
      <c r="AU28" s="94">
        <f t="shared" si="23"/>
        <v>0</v>
      </c>
      <c r="AV28" s="58" t="e">
        <f t="shared" si="17"/>
        <v>#DIV/0!</v>
      </c>
      <c r="AW28" s="62">
        <f t="shared" si="18"/>
        <v>0</v>
      </c>
      <c r="AX28" s="63">
        <f t="shared" si="19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aca="true" t="shared" si="32" ref="F29:F49">E29/D29*100</f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aca="true" t="shared" si="33" ref="O29:O49">N29/M29*100</f>
        <v>#DIV/0!</v>
      </c>
      <c r="P29" s="61"/>
      <c r="Q29" s="61"/>
      <c r="R29" s="58" t="e">
        <f aca="true" t="shared" si="34" ref="R29:R49">Q29/P29*100</f>
        <v>#DIV/0!</v>
      </c>
      <c r="S29" s="61"/>
      <c r="T29" s="61"/>
      <c r="U29" s="58" t="e">
        <f aca="true" t="shared" si="35" ref="U29:U49">T29/S29*100</f>
        <v>#DIV/0!</v>
      </c>
      <c r="V29" s="61"/>
      <c r="W29" s="61"/>
      <c r="X29" s="58" t="e">
        <f aca="true" t="shared" si="36" ref="X29:X45">W29/V29*100</f>
        <v>#DIV/0!</v>
      </c>
      <c r="Y29" s="62">
        <f t="shared" si="10"/>
        <v>0</v>
      </c>
      <c r="Z29" s="62">
        <f t="shared" si="11"/>
        <v>0</v>
      </c>
      <c r="AA29" s="58" t="e">
        <f aca="true" t="shared" si="37" ref="AA29:AA49">Z29/Y29*100</f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aca="true" t="shared" si="38" ref="AJ29:AJ49">AI29/AH29*100</f>
        <v>#DIV/0!</v>
      </c>
      <c r="AK29" s="62">
        <f>AB29+AE29+AH29</f>
        <v>0</v>
      </c>
      <c r="AL29" s="62">
        <f>AC29+AF29+AI29</f>
        <v>0</v>
      </c>
      <c r="AM29" s="58" t="e">
        <f aca="true" t="shared" si="39" ref="AM29:AM49">AL29/AK29*100</f>
        <v>#DIV/0!</v>
      </c>
      <c r="AN29" s="61"/>
      <c r="AO29" s="61"/>
      <c r="AP29" s="61"/>
      <c r="AQ29" s="61"/>
      <c r="AR29" s="61"/>
      <c r="AS29" s="61"/>
      <c r="AT29" s="94">
        <f t="shared" si="22"/>
        <v>0</v>
      </c>
      <c r="AU29" s="94">
        <f t="shared" si="23"/>
        <v>0</v>
      </c>
      <c r="AV29" s="58" t="e">
        <f>AU29/AT29*100</f>
        <v>#DIV/0!</v>
      </c>
      <c r="AW29" s="62">
        <f t="shared" si="18"/>
        <v>0</v>
      </c>
      <c r="AX29" s="63">
        <f t="shared" si="19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52978</v>
      </c>
      <c r="D30" s="108">
        <f>SUM(D31:D38)</f>
        <v>13142.7</v>
      </c>
      <c r="E30" s="108">
        <f>SUM(E31:E38)</f>
        <v>9289.7</v>
      </c>
      <c r="F30" s="92">
        <f t="shared" si="32"/>
        <v>70.6833451269526</v>
      </c>
      <c r="G30" s="108">
        <f>SUM(G31:G38)</f>
        <v>14227.9</v>
      </c>
      <c r="H30" s="108">
        <f>SUM(H31:H38)</f>
        <v>8898.800000000001</v>
      </c>
      <c r="I30" s="92">
        <f t="shared" si="3"/>
        <v>62.54471847567105</v>
      </c>
      <c r="J30" s="108">
        <f>SUM(J31:J38)</f>
        <v>13442.3</v>
      </c>
      <c r="K30" s="108">
        <f>SUM(K31:K38)</f>
        <v>9351.3</v>
      </c>
      <c r="L30" s="56">
        <f>K30/J30*100</f>
        <v>69.56622006650647</v>
      </c>
      <c r="M30" s="56">
        <f t="shared" si="5"/>
        <v>40812.899999999994</v>
      </c>
      <c r="N30" s="56">
        <f t="shared" si="6"/>
        <v>27539.8</v>
      </c>
      <c r="O30" s="56">
        <f t="shared" si="33"/>
        <v>67.47817479277386</v>
      </c>
      <c r="P30" s="108">
        <f aca="true" t="shared" si="40" ref="P30:W30">SUM(P31:P38)</f>
        <v>2013.8999999999999</v>
      </c>
      <c r="Q30" s="108">
        <f t="shared" si="40"/>
        <v>8565.099999999999</v>
      </c>
      <c r="R30" s="108" t="e">
        <f t="shared" si="40"/>
        <v>#DIV/0!</v>
      </c>
      <c r="S30" s="108">
        <f t="shared" si="40"/>
        <v>0</v>
      </c>
      <c r="T30" s="108">
        <f t="shared" si="40"/>
        <v>2672.5</v>
      </c>
      <c r="U30" s="108" t="e">
        <f t="shared" si="40"/>
        <v>#DIV/0!</v>
      </c>
      <c r="V30" s="108">
        <f t="shared" si="40"/>
        <v>0</v>
      </c>
      <c r="W30" s="108">
        <f t="shared" si="40"/>
        <v>1146.6000000000001</v>
      </c>
      <c r="X30" s="56" t="e">
        <f t="shared" si="36"/>
        <v>#DIV/0!</v>
      </c>
      <c r="Y30" s="56">
        <f t="shared" si="10"/>
        <v>2013.8999999999999</v>
      </c>
      <c r="Z30" s="56">
        <f t="shared" si="11"/>
        <v>12384.199999999999</v>
      </c>
      <c r="AA30" s="56">
        <f t="shared" si="37"/>
        <v>614.9361934554844</v>
      </c>
      <c r="AB30" s="108">
        <f aca="true" t="shared" si="41" ref="AB30:AI30">SUM(AB31:AB38)</f>
        <v>0</v>
      </c>
      <c r="AC30" s="108">
        <f t="shared" si="41"/>
        <v>0</v>
      </c>
      <c r="AD30" s="108">
        <f t="shared" si="41"/>
        <v>0</v>
      </c>
      <c r="AE30" s="108">
        <f t="shared" si="41"/>
        <v>0</v>
      </c>
      <c r="AF30" s="108">
        <f t="shared" si="41"/>
        <v>0</v>
      </c>
      <c r="AG30" s="108">
        <f t="shared" si="41"/>
        <v>0</v>
      </c>
      <c r="AH30" s="108">
        <f t="shared" si="41"/>
        <v>0</v>
      </c>
      <c r="AI30" s="108">
        <f t="shared" si="41"/>
        <v>0</v>
      </c>
      <c r="AJ30" s="56" t="e">
        <f t="shared" si="38"/>
        <v>#DIV/0!</v>
      </c>
      <c r="AK30" s="56">
        <f aca="true" t="shared" si="42" ref="AK30:AK49">AB30+AE30+AH30</f>
        <v>0</v>
      </c>
      <c r="AL30" s="56">
        <f aca="true" t="shared" si="43" ref="AL30:AL49">AC30+AF30+AI30</f>
        <v>0</v>
      </c>
      <c r="AM30" s="56" t="e">
        <f t="shared" si="39"/>
        <v>#DIV/0!</v>
      </c>
      <c r="AN30" s="108">
        <f aca="true" t="shared" si="44" ref="AN30:AS30">SUM(AN31:AN38)</f>
        <v>0</v>
      </c>
      <c r="AO30" s="108">
        <f t="shared" si="44"/>
        <v>0</v>
      </c>
      <c r="AP30" s="108">
        <f t="shared" si="44"/>
        <v>0</v>
      </c>
      <c r="AQ30" s="108">
        <f t="shared" si="44"/>
        <v>0</v>
      </c>
      <c r="AR30" s="108">
        <f t="shared" si="44"/>
        <v>0</v>
      </c>
      <c r="AS30" s="108">
        <f t="shared" si="44"/>
        <v>0</v>
      </c>
      <c r="AT30" s="57">
        <f t="shared" si="22"/>
        <v>42826.799999999996</v>
      </c>
      <c r="AU30" s="57">
        <f t="shared" si="23"/>
        <v>39924</v>
      </c>
      <c r="AV30" s="56">
        <f>AU30/AT30*100</f>
        <v>93.2220011768332</v>
      </c>
      <c r="AW30" s="56">
        <f t="shared" si="18"/>
        <v>2902.7999999999956</v>
      </c>
      <c r="AX30" s="55">
        <f t="shared" si="19"/>
        <v>55880.79999999999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3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33"/>
        <v>#DIV/0!</v>
      </c>
      <c r="P31" s="65"/>
      <c r="Q31" s="65"/>
      <c r="R31" s="58" t="e">
        <f t="shared" si="34"/>
        <v>#DIV/0!</v>
      </c>
      <c r="S31" s="61"/>
      <c r="T31" s="61"/>
      <c r="U31" s="64" t="e">
        <f t="shared" si="35"/>
        <v>#DIV/0!</v>
      </c>
      <c r="V31" s="61"/>
      <c r="W31" s="61"/>
      <c r="X31" s="64" t="e">
        <f t="shared" si="36"/>
        <v>#DIV/0!</v>
      </c>
      <c r="Y31" s="62">
        <f t="shared" si="10"/>
        <v>0</v>
      </c>
      <c r="Z31" s="62">
        <f t="shared" si="11"/>
        <v>0</v>
      </c>
      <c r="AA31" s="58" t="e">
        <f t="shared" si="37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38"/>
        <v>#DIV/0!</v>
      </c>
      <c r="AK31" s="62">
        <f t="shared" si="42"/>
        <v>0</v>
      </c>
      <c r="AL31" s="62">
        <f t="shared" si="43"/>
        <v>0</v>
      </c>
      <c r="AM31" s="58" t="e">
        <f t="shared" si="39"/>
        <v>#DIV/0!</v>
      </c>
      <c r="AN31" s="61"/>
      <c r="AO31" s="61"/>
      <c r="AP31" s="61"/>
      <c r="AQ31" s="61"/>
      <c r="AR31" s="61"/>
      <c r="AS31" s="61"/>
      <c r="AT31" s="94">
        <f t="shared" si="22"/>
        <v>0</v>
      </c>
      <c r="AU31" s="94">
        <f t="shared" si="23"/>
        <v>0</v>
      </c>
      <c r="AV31" s="58" t="e">
        <f>AU31/AT31*100</f>
        <v>#DIV/0!</v>
      </c>
      <c r="AW31" s="62">
        <f t="shared" si="18"/>
        <v>0</v>
      </c>
      <c r="AX31" s="63">
        <f t="shared" si="19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3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4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33"/>
        <v>#DIV/0!</v>
      </c>
      <c r="P32" s="61"/>
      <c r="Q32" s="61"/>
      <c r="R32" s="58" t="e">
        <f t="shared" si="34"/>
        <v>#DIV/0!</v>
      </c>
      <c r="S32" s="61"/>
      <c r="T32" s="61"/>
      <c r="U32" s="58" t="e">
        <f t="shared" si="35"/>
        <v>#DIV/0!</v>
      </c>
      <c r="V32" s="61"/>
      <c r="W32" s="61"/>
      <c r="X32" s="58" t="e">
        <f t="shared" si="36"/>
        <v>#DIV/0!</v>
      </c>
      <c r="Y32" s="62">
        <f t="shared" si="10"/>
        <v>0</v>
      </c>
      <c r="Z32" s="62">
        <f t="shared" si="11"/>
        <v>0</v>
      </c>
      <c r="AA32" s="58" t="e">
        <f t="shared" si="37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38"/>
        <v>#DIV/0!</v>
      </c>
      <c r="AK32" s="62">
        <f t="shared" si="42"/>
        <v>0</v>
      </c>
      <c r="AL32" s="62">
        <f t="shared" si="43"/>
        <v>0</v>
      </c>
      <c r="AM32" s="58" t="e">
        <f t="shared" si="39"/>
        <v>#DIV/0!</v>
      </c>
      <c r="AN32" s="61"/>
      <c r="AO32" s="61"/>
      <c r="AP32" s="61"/>
      <c r="AQ32" s="61"/>
      <c r="AR32" s="61"/>
      <c r="AS32" s="61"/>
      <c r="AT32" s="94">
        <f t="shared" si="22"/>
        <v>0</v>
      </c>
      <c r="AU32" s="94">
        <f t="shared" si="23"/>
        <v>0</v>
      </c>
      <c r="AV32" s="58" t="e">
        <f aca="true" t="shared" si="46" ref="AV32:AV49">AU32/AT32*100</f>
        <v>#DIV/0!</v>
      </c>
      <c r="AW32" s="62">
        <f aca="true" t="shared" si="47" ref="AW32:AW49">AT32-AU32</f>
        <v>0</v>
      </c>
      <c r="AX32" s="63">
        <f t="shared" si="19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3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45"/>
        <v>#DIV/0!</v>
      </c>
      <c r="M33" s="62">
        <f t="shared" si="5"/>
        <v>0</v>
      </c>
      <c r="N33" s="62">
        <f t="shared" si="6"/>
        <v>0</v>
      </c>
      <c r="O33" s="58" t="e">
        <f t="shared" si="33"/>
        <v>#DIV/0!</v>
      </c>
      <c r="P33" s="61"/>
      <c r="Q33" s="61"/>
      <c r="R33" s="58" t="e">
        <f t="shared" si="34"/>
        <v>#DIV/0!</v>
      </c>
      <c r="S33" s="61"/>
      <c r="T33" s="61"/>
      <c r="U33" s="58" t="e">
        <f t="shared" si="35"/>
        <v>#DIV/0!</v>
      </c>
      <c r="V33" s="61"/>
      <c r="W33" s="61"/>
      <c r="X33" s="66" t="e">
        <f t="shared" si="36"/>
        <v>#DIV/0!</v>
      </c>
      <c r="Y33" s="62">
        <f t="shared" si="10"/>
        <v>0</v>
      </c>
      <c r="Z33" s="62">
        <f t="shared" si="11"/>
        <v>0</v>
      </c>
      <c r="AA33" s="58" t="e">
        <f t="shared" si="37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38"/>
        <v>#DIV/0!</v>
      </c>
      <c r="AK33" s="62">
        <f t="shared" si="42"/>
        <v>0</v>
      </c>
      <c r="AL33" s="62">
        <f t="shared" si="43"/>
        <v>0</v>
      </c>
      <c r="AM33" s="58" t="e">
        <f t="shared" si="39"/>
        <v>#DIV/0!</v>
      </c>
      <c r="AN33" s="61"/>
      <c r="AO33" s="61"/>
      <c r="AP33" s="61"/>
      <c r="AQ33" s="61"/>
      <c r="AR33" s="61"/>
      <c r="AS33" s="61"/>
      <c r="AT33" s="94">
        <f t="shared" si="22"/>
        <v>0</v>
      </c>
      <c r="AU33" s="94">
        <f t="shared" si="23"/>
        <v>0</v>
      </c>
      <c r="AV33" s="58" t="e">
        <f t="shared" si="46"/>
        <v>#DIV/0!</v>
      </c>
      <c r="AW33" s="62">
        <f t="shared" si="47"/>
        <v>0</v>
      </c>
      <c r="AX33" s="63">
        <f t="shared" si="19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3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45"/>
        <v>#DIV/0!</v>
      </c>
      <c r="M34" s="62">
        <f t="shared" si="5"/>
        <v>0</v>
      </c>
      <c r="N34" s="62">
        <f t="shared" si="6"/>
        <v>0</v>
      </c>
      <c r="O34" s="58" t="e">
        <f t="shared" si="33"/>
        <v>#DIV/0!</v>
      </c>
      <c r="P34" s="61"/>
      <c r="Q34" s="61"/>
      <c r="R34" s="58" t="e">
        <f t="shared" si="34"/>
        <v>#DIV/0!</v>
      </c>
      <c r="S34" s="61"/>
      <c r="T34" s="61"/>
      <c r="U34" s="58" t="e">
        <f t="shared" si="35"/>
        <v>#DIV/0!</v>
      </c>
      <c r="V34" s="61"/>
      <c r="W34" s="61"/>
      <c r="X34" s="58" t="e">
        <f t="shared" si="36"/>
        <v>#DIV/0!</v>
      </c>
      <c r="Y34" s="62">
        <f t="shared" si="10"/>
        <v>0</v>
      </c>
      <c r="Z34" s="62">
        <f t="shared" si="11"/>
        <v>0</v>
      </c>
      <c r="AA34" s="58" t="e">
        <f t="shared" si="37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38"/>
        <v>#DIV/0!</v>
      </c>
      <c r="AK34" s="62">
        <f t="shared" si="42"/>
        <v>0</v>
      </c>
      <c r="AL34" s="62">
        <f t="shared" si="43"/>
        <v>0</v>
      </c>
      <c r="AM34" s="58" t="e">
        <f t="shared" si="39"/>
        <v>#DIV/0!</v>
      </c>
      <c r="AN34" s="61"/>
      <c r="AO34" s="61"/>
      <c r="AP34" s="61"/>
      <c r="AQ34" s="61"/>
      <c r="AR34" s="61"/>
      <c r="AS34" s="61"/>
      <c r="AT34" s="94">
        <f t="shared" si="22"/>
        <v>0</v>
      </c>
      <c r="AU34" s="94">
        <f t="shared" si="23"/>
        <v>0</v>
      </c>
      <c r="AV34" s="58" t="e">
        <f t="shared" si="46"/>
        <v>#DIV/0!</v>
      </c>
      <c r="AW34" s="62">
        <f t="shared" si="47"/>
        <v>0</v>
      </c>
      <c r="AX34" s="63">
        <f t="shared" si="19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36155.6+13790.6</f>
        <v>49946.2</v>
      </c>
      <c r="D35" s="61">
        <f>610.1+11617.5</f>
        <v>12227.6</v>
      </c>
      <c r="E35" s="61">
        <f>1006.1+7741.1</f>
        <v>8747.2</v>
      </c>
      <c r="F35" s="59">
        <f t="shared" si="32"/>
        <v>71.53652392947104</v>
      </c>
      <c r="G35" s="61">
        <f>1520.8+11732</f>
        <v>13252.8</v>
      </c>
      <c r="H35" s="61">
        <f>749.2+7622.6</f>
        <v>8371.800000000001</v>
      </c>
      <c r="I35" s="59">
        <f t="shared" si="3"/>
        <v>63.17004708438972</v>
      </c>
      <c r="J35" s="61">
        <f>11466.9+1166.8</f>
        <v>12633.699999999999</v>
      </c>
      <c r="K35" s="61">
        <f>7579+1182.8</f>
        <v>8761.8</v>
      </c>
      <c r="L35" s="58">
        <f t="shared" si="45"/>
        <v>69.35260454182068</v>
      </c>
      <c r="M35" s="62">
        <f t="shared" si="5"/>
        <v>38114.1</v>
      </c>
      <c r="N35" s="62">
        <f t="shared" si="6"/>
        <v>25880.8</v>
      </c>
      <c r="O35" s="58">
        <f t="shared" si="33"/>
        <v>67.90347928981663</v>
      </c>
      <c r="P35" s="61">
        <f>-3.4+2003.5</f>
        <v>2000.1</v>
      </c>
      <c r="Q35" s="61">
        <f>941.9+7191.7</f>
        <v>8133.599999999999</v>
      </c>
      <c r="R35" s="58">
        <f t="shared" si="34"/>
        <v>406.65966701664917</v>
      </c>
      <c r="S35" s="61"/>
      <c r="T35" s="61">
        <f>115.7+2413.5</f>
        <v>2529.2</v>
      </c>
      <c r="U35" s="58" t="e">
        <f t="shared" si="35"/>
        <v>#DIV/0!</v>
      </c>
      <c r="V35" s="61"/>
      <c r="W35" s="61">
        <f>150.4+916</f>
        <v>1066.4</v>
      </c>
      <c r="X35" s="58" t="e">
        <f t="shared" si="36"/>
        <v>#DIV/0!</v>
      </c>
      <c r="Y35" s="62">
        <f t="shared" si="10"/>
        <v>2000.1</v>
      </c>
      <c r="Z35" s="62">
        <f t="shared" si="11"/>
        <v>11729.199999999999</v>
      </c>
      <c r="AA35" s="58">
        <f t="shared" si="37"/>
        <v>586.4306784660766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38"/>
        <v>#DIV/0!</v>
      </c>
      <c r="AK35" s="62">
        <f t="shared" si="42"/>
        <v>0</v>
      </c>
      <c r="AL35" s="62">
        <f t="shared" si="43"/>
        <v>0</v>
      </c>
      <c r="AM35" s="58" t="e">
        <f t="shared" si="39"/>
        <v>#DIV/0!</v>
      </c>
      <c r="AN35" s="61"/>
      <c r="AO35" s="61"/>
      <c r="AP35" s="61"/>
      <c r="AQ35" s="61"/>
      <c r="AR35" s="61"/>
      <c r="AS35" s="61"/>
      <c r="AT35" s="94">
        <f t="shared" si="22"/>
        <v>40114.2</v>
      </c>
      <c r="AU35" s="94">
        <f t="shared" si="23"/>
        <v>37610</v>
      </c>
      <c r="AV35" s="58">
        <f t="shared" si="46"/>
        <v>93.75732284328244</v>
      </c>
      <c r="AW35" s="62">
        <f t="shared" si="47"/>
        <v>2504.199999999997</v>
      </c>
      <c r="AX35" s="63">
        <f t="shared" si="19"/>
        <v>52450.399999999994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3031.8</v>
      </c>
      <c r="D36" s="61">
        <v>915.1</v>
      </c>
      <c r="E36" s="61">
        <v>542.5</v>
      </c>
      <c r="F36" s="59">
        <f t="shared" si="32"/>
        <v>59.28313845481368</v>
      </c>
      <c r="G36" s="61">
        <v>975.1</v>
      </c>
      <c r="H36" s="61">
        <v>527</v>
      </c>
      <c r="I36" s="59">
        <f t="shared" si="3"/>
        <v>54.045738898574506</v>
      </c>
      <c r="J36" s="61">
        <v>808.6</v>
      </c>
      <c r="K36" s="61">
        <v>589.5</v>
      </c>
      <c r="L36" s="58">
        <f t="shared" si="45"/>
        <v>72.90378431857532</v>
      </c>
      <c r="M36" s="62">
        <f t="shared" si="5"/>
        <v>2698.8</v>
      </c>
      <c r="N36" s="62">
        <f t="shared" si="6"/>
        <v>1659</v>
      </c>
      <c r="O36" s="58">
        <f t="shared" si="33"/>
        <v>61.47176522899066</v>
      </c>
      <c r="P36" s="61">
        <v>13.8</v>
      </c>
      <c r="Q36" s="61">
        <v>431.5</v>
      </c>
      <c r="R36" s="58">
        <f t="shared" si="34"/>
        <v>3126.8115942028985</v>
      </c>
      <c r="S36" s="61"/>
      <c r="T36" s="61">
        <v>143.3</v>
      </c>
      <c r="U36" s="58" t="e">
        <f t="shared" si="35"/>
        <v>#DIV/0!</v>
      </c>
      <c r="V36" s="61"/>
      <c r="W36" s="61">
        <v>80.2</v>
      </c>
      <c r="X36" s="58" t="e">
        <f t="shared" si="36"/>
        <v>#DIV/0!</v>
      </c>
      <c r="Y36" s="62">
        <f t="shared" si="10"/>
        <v>13.8</v>
      </c>
      <c r="Z36" s="62">
        <f t="shared" si="11"/>
        <v>655</v>
      </c>
      <c r="AA36" s="58">
        <f t="shared" si="37"/>
        <v>4746.376811594202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38"/>
        <v>#DIV/0!</v>
      </c>
      <c r="AK36" s="62">
        <f t="shared" si="42"/>
        <v>0</v>
      </c>
      <c r="AL36" s="62">
        <f t="shared" si="43"/>
        <v>0</v>
      </c>
      <c r="AM36" s="58" t="e">
        <f t="shared" si="39"/>
        <v>#DIV/0!</v>
      </c>
      <c r="AN36" s="61"/>
      <c r="AO36" s="61"/>
      <c r="AP36" s="61"/>
      <c r="AQ36" s="61"/>
      <c r="AR36" s="61"/>
      <c r="AS36" s="61"/>
      <c r="AT36" s="94">
        <f t="shared" si="22"/>
        <v>2712.6000000000004</v>
      </c>
      <c r="AU36" s="94">
        <f t="shared" si="23"/>
        <v>2314</v>
      </c>
      <c r="AV36" s="58">
        <f t="shared" si="46"/>
        <v>85.3056108530561</v>
      </c>
      <c r="AW36" s="62">
        <f t="shared" si="47"/>
        <v>398.60000000000036</v>
      </c>
      <c r="AX36" s="63">
        <f t="shared" si="19"/>
        <v>3430.4000000000005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3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45"/>
        <v>#DIV/0!</v>
      </c>
      <c r="M37" s="62">
        <f t="shared" si="5"/>
        <v>0</v>
      </c>
      <c r="N37" s="62">
        <f t="shared" si="6"/>
        <v>0</v>
      </c>
      <c r="O37" s="58" t="e">
        <f t="shared" si="33"/>
        <v>#DIV/0!</v>
      </c>
      <c r="P37" s="61"/>
      <c r="Q37" s="61"/>
      <c r="R37" s="58" t="e">
        <f t="shared" si="34"/>
        <v>#DIV/0!</v>
      </c>
      <c r="S37" s="61"/>
      <c r="T37" s="61"/>
      <c r="U37" s="58" t="e">
        <f t="shared" si="35"/>
        <v>#DIV/0!</v>
      </c>
      <c r="V37" s="61"/>
      <c r="W37" s="61"/>
      <c r="X37" s="58" t="e">
        <f t="shared" si="36"/>
        <v>#DIV/0!</v>
      </c>
      <c r="Y37" s="62">
        <f t="shared" si="10"/>
        <v>0</v>
      </c>
      <c r="Z37" s="62">
        <f t="shared" si="11"/>
        <v>0</v>
      </c>
      <c r="AA37" s="58" t="e">
        <f t="shared" si="37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38"/>
        <v>#DIV/0!</v>
      </c>
      <c r="AK37" s="62">
        <f t="shared" si="42"/>
        <v>0</v>
      </c>
      <c r="AL37" s="62">
        <f t="shared" si="43"/>
        <v>0</v>
      </c>
      <c r="AM37" s="58" t="e">
        <f t="shared" si="39"/>
        <v>#DIV/0!</v>
      </c>
      <c r="AN37" s="61"/>
      <c r="AO37" s="61"/>
      <c r="AP37" s="61"/>
      <c r="AQ37" s="61"/>
      <c r="AR37" s="61"/>
      <c r="AS37" s="61"/>
      <c r="AT37" s="94">
        <f t="shared" si="22"/>
        <v>0</v>
      </c>
      <c r="AU37" s="94">
        <f t="shared" si="23"/>
        <v>0</v>
      </c>
      <c r="AV37" s="58" t="e">
        <f t="shared" si="46"/>
        <v>#DIV/0!</v>
      </c>
      <c r="AW37" s="62">
        <f t="shared" si="47"/>
        <v>0</v>
      </c>
      <c r="AX37" s="63">
        <f t="shared" si="19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 hidden="1">
      <c r="A38" s="10" t="s">
        <v>11</v>
      </c>
      <c r="B38" s="101" t="s">
        <v>99</v>
      </c>
      <c r="C38" s="60"/>
      <c r="D38" s="61"/>
      <c r="E38" s="61"/>
      <c r="F38" s="59" t="e">
        <f t="shared" si="3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45"/>
        <v>#DIV/0!</v>
      </c>
      <c r="M38" s="62">
        <f t="shared" si="5"/>
        <v>0</v>
      </c>
      <c r="N38" s="62">
        <f t="shared" si="6"/>
        <v>0</v>
      </c>
      <c r="O38" s="58" t="e">
        <f t="shared" si="33"/>
        <v>#DIV/0!</v>
      </c>
      <c r="P38" s="61"/>
      <c r="Q38" s="61"/>
      <c r="R38" s="58" t="e">
        <f t="shared" si="34"/>
        <v>#DIV/0!</v>
      </c>
      <c r="S38" s="61"/>
      <c r="T38" s="61"/>
      <c r="U38" s="58" t="e">
        <f t="shared" si="35"/>
        <v>#DIV/0!</v>
      </c>
      <c r="V38" s="61"/>
      <c r="W38" s="61"/>
      <c r="X38" s="58" t="e">
        <f t="shared" si="36"/>
        <v>#DIV/0!</v>
      </c>
      <c r="Y38" s="62">
        <f t="shared" si="10"/>
        <v>0</v>
      </c>
      <c r="Z38" s="62">
        <f t="shared" si="11"/>
        <v>0</v>
      </c>
      <c r="AA38" s="58" t="e">
        <f t="shared" si="37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38"/>
        <v>#DIV/0!</v>
      </c>
      <c r="AK38" s="62">
        <f t="shared" si="42"/>
        <v>0</v>
      </c>
      <c r="AL38" s="62">
        <f t="shared" si="43"/>
        <v>0</v>
      </c>
      <c r="AM38" s="58" t="e">
        <f t="shared" si="39"/>
        <v>#DIV/0!</v>
      </c>
      <c r="AN38" s="61"/>
      <c r="AO38" s="61"/>
      <c r="AP38" s="61"/>
      <c r="AQ38" s="61"/>
      <c r="AR38" s="61"/>
      <c r="AS38" s="61"/>
      <c r="AT38" s="94">
        <f t="shared" si="22"/>
        <v>0</v>
      </c>
      <c r="AU38" s="94">
        <f t="shared" si="23"/>
        <v>0</v>
      </c>
      <c r="AV38" s="58" t="e">
        <f t="shared" si="46"/>
        <v>#DIV/0!</v>
      </c>
      <c r="AW38" s="62">
        <f t="shared" si="47"/>
        <v>0</v>
      </c>
      <c r="AX38" s="63">
        <f t="shared" si="19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204669.40000000002</v>
      </c>
      <c r="D39" s="75">
        <f>SUM(D40:D44)</f>
        <v>66560.20000000001</v>
      </c>
      <c r="E39" s="75">
        <f>SUM(E40:E44)</f>
        <v>45967.9</v>
      </c>
      <c r="F39" s="59">
        <f t="shared" si="32"/>
        <v>69.06214224115912</v>
      </c>
      <c r="G39" s="75">
        <f>SUM(G40:G44)</f>
        <v>65759</v>
      </c>
      <c r="H39" s="75">
        <f>SUM(H40:H44)</f>
        <v>48735.5</v>
      </c>
      <c r="I39" s="59">
        <f t="shared" si="3"/>
        <v>74.1122888121778</v>
      </c>
      <c r="J39" s="75">
        <f>SUM(J40:J44)</f>
        <v>54003.6</v>
      </c>
      <c r="K39" s="75">
        <f>SUM(K40:K44)</f>
        <v>51079.8</v>
      </c>
      <c r="L39" s="58">
        <f t="shared" si="45"/>
        <v>94.58591649445593</v>
      </c>
      <c r="M39" s="58">
        <f t="shared" si="5"/>
        <v>186322.80000000002</v>
      </c>
      <c r="N39" s="58">
        <f t="shared" si="6"/>
        <v>145783.2</v>
      </c>
      <c r="O39" s="58">
        <f t="shared" si="33"/>
        <v>78.24227630756944</v>
      </c>
      <c r="P39" s="75">
        <f aca="true" t="shared" si="48" ref="P39:W39">SUM(P40:P44)</f>
        <v>14358.599999999999</v>
      </c>
      <c r="Q39" s="75">
        <f t="shared" si="48"/>
        <v>41231.5</v>
      </c>
      <c r="R39" s="75" t="e">
        <f t="shared" si="48"/>
        <v>#DIV/0!</v>
      </c>
      <c r="S39" s="75">
        <f t="shared" si="48"/>
        <v>0</v>
      </c>
      <c r="T39" s="75">
        <f t="shared" si="48"/>
        <v>17958.9</v>
      </c>
      <c r="U39" s="75" t="e">
        <f t="shared" si="48"/>
        <v>#DIV/0!</v>
      </c>
      <c r="V39" s="75">
        <f t="shared" si="48"/>
        <v>0</v>
      </c>
      <c r="W39" s="75">
        <f t="shared" si="48"/>
        <v>8434.8</v>
      </c>
      <c r="X39" s="58" t="e">
        <f t="shared" si="36"/>
        <v>#DIV/0!</v>
      </c>
      <c r="Y39" s="58">
        <f t="shared" si="10"/>
        <v>14358.599999999999</v>
      </c>
      <c r="Z39" s="58">
        <f t="shared" si="11"/>
        <v>67625.2</v>
      </c>
      <c r="AA39" s="58">
        <f t="shared" si="37"/>
        <v>470.9734932375023</v>
      </c>
      <c r="AB39" s="75">
        <f aca="true" t="shared" si="49" ref="AB39:AI39">SUM(AB40:AB44)</f>
        <v>0</v>
      </c>
      <c r="AC39" s="75">
        <f t="shared" si="49"/>
        <v>0</v>
      </c>
      <c r="AD39" s="75">
        <f t="shared" si="49"/>
        <v>0</v>
      </c>
      <c r="AE39" s="75">
        <f t="shared" si="49"/>
        <v>0</v>
      </c>
      <c r="AF39" s="75">
        <f t="shared" si="49"/>
        <v>0</v>
      </c>
      <c r="AG39" s="75">
        <f t="shared" si="49"/>
        <v>0</v>
      </c>
      <c r="AH39" s="75">
        <f t="shared" si="49"/>
        <v>0</v>
      </c>
      <c r="AI39" s="75">
        <f t="shared" si="49"/>
        <v>0</v>
      </c>
      <c r="AJ39" s="58" t="e">
        <f t="shared" si="38"/>
        <v>#DIV/0!</v>
      </c>
      <c r="AK39" s="58">
        <f t="shared" si="42"/>
        <v>0</v>
      </c>
      <c r="AL39" s="58">
        <f t="shared" si="43"/>
        <v>0</v>
      </c>
      <c r="AM39" s="58" t="e">
        <f t="shared" si="39"/>
        <v>#DIV/0!</v>
      </c>
      <c r="AN39" s="75">
        <f aca="true" t="shared" si="50" ref="AN39:AS39">SUM(AN40:AN44)</f>
        <v>0</v>
      </c>
      <c r="AO39" s="75">
        <f t="shared" si="50"/>
        <v>0</v>
      </c>
      <c r="AP39" s="75">
        <f t="shared" si="50"/>
        <v>0</v>
      </c>
      <c r="AQ39" s="75">
        <f t="shared" si="50"/>
        <v>0</v>
      </c>
      <c r="AR39" s="75">
        <f t="shared" si="50"/>
        <v>0</v>
      </c>
      <c r="AS39" s="75">
        <f t="shared" si="50"/>
        <v>0</v>
      </c>
      <c r="AT39" s="57">
        <f t="shared" si="22"/>
        <v>200681.40000000002</v>
      </c>
      <c r="AU39" s="57">
        <f t="shared" si="23"/>
        <v>213408.40000000002</v>
      </c>
      <c r="AV39" s="58">
        <f t="shared" si="46"/>
        <v>106.34189316996992</v>
      </c>
      <c r="AW39" s="58">
        <f t="shared" si="47"/>
        <v>-12727</v>
      </c>
      <c r="AX39" s="79">
        <f t="shared" si="19"/>
        <v>191942.40000000002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3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45"/>
        <v>#DIV/0!</v>
      </c>
      <c r="M40" s="62">
        <f aca="true" t="shared" si="51" ref="M40:M75">D40+G40+J40</f>
        <v>0</v>
      </c>
      <c r="N40" s="62">
        <f aca="true" t="shared" si="52" ref="N40:N75">E40+H40+K40</f>
        <v>0</v>
      </c>
      <c r="O40" s="58" t="e">
        <f t="shared" si="33"/>
        <v>#DIV/0!</v>
      </c>
      <c r="P40" s="61"/>
      <c r="Q40" s="61"/>
      <c r="R40" s="58" t="e">
        <f t="shared" si="34"/>
        <v>#DIV/0!</v>
      </c>
      <c r="S40" s="61"/>
      <c r="T40" s="61"/>
      <c r="U40" s="58" t="e">
        <f t="shared" si="35"/>
        <v>#DIV/0!</v>
      </c>
      <c r="V40" s="61"/>
      <c r="W40" s="61"/>
      <c r="X40" s="66" t="e">
        <f t="shared" si="36"/>
        <v>#DIV/0!</v>
      </c>
      <c r="Y40" s="62">
        <f aca="true" t="shared" si="53" ref="Y40:Y75">P40+S40+V40</f>
        <v>0</v>
      </c>
      <c r="Z40" s="62">
        <f aca="true" t="shared" si="54" ref="Z40:Z75">Q40+T40+W40</f>
        <v>0</v>
      </c>
      <c r="AA40" s="58" t="e">
        <f t="shared" si="37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38"/>
        <v>#DIV/0!</v>
      </c>
      <c r="AK40" s="62">
        <f t="shared" si="42"/>
        <v>0</v>
      </c>
      <c r="AL40" s="62">
        <f t="shared" si="43"/>
        <v>0</v>
      </c>
      <c r="AM40" s="58" t="e">
        <f t="shared" si="39"/>
        <v>#DIV/0!</v>
      </c>
      <c r="AN40" s="61"/>
      <c r="AO40" s="61"/>
      <c r="AP40" s="61"/>
      <c r="AQ40" s="61"/>
      <c r="AR40" s="61"/>
      <c r="AS40" s="61"/>
      <c r="AT40" s="94">
        <f t="shared" si="22"/>
        <v>0</v>
      </c>
      <c r="AU40" s="94">
        <f t="shared" si="23"/>
        <v>0</v>
      </c>
      <c r="AV40" s="58" t="e">
        <f t="shared" si="46"/>
        <v>#DIV/0!</v>
      </c>
      <c r="AW40" s="62">
        <f t="shared" si="47"/>
        <v>0</v>
      </c>
      <c r="AX40" s="63">
        <f aca="true" t="shared" si="5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3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45"/>
        <v>#DIV/0!</v>
      </c>
      <c r="M41" s="93">
        <f t="shared" si="51"/>
        <v>0</v>
      </c>
      <c r="N41" s="93">
        <f t="shared" si="52"/>
        <v>0</v>
      </c>
      <c r="O41" s="56" t="e">
        <f t="shared" si="33"/>
        <v>#DIV/0!</v>
      </c>
      <c r="P41" s="91"/>
      <c r="Q41" s="91"/>
      <c r="R41" s="56" t="e">
        <f t="shared" si="34"/>
        <v>#DIV/0!</v>
      </c>
      <c r="S41" s="91"/>
      <c r="T41" s="91"/>
      <c r="U41" s="56" t="e">
        <f t="shared" si="35"/>
        <v>#DIV/0!</v>
      </c>
      <c r="V41" s="91"/>
      <c r="W41" s="91"/>
      <c r="X41" s="56" t="e">
        <f t="shared" si="36"/>
        <v>#DIV/0!</v>
      </c>
      <c r="Y41" s="93">
        <f t="shared" si="53"/>
        <v>0</v>
      </c>
      <c r="Z41" s="93">
        <f t="shared" si="54"/>
        <v>0</v>
      </c>
      <c r="AA41" s="56" t="e">
        <f t="shared" si="37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38"/>
        <v>#DIV/0!</v>
      </c>
      <c r="AK41" s="93">
        <f t="shared" si="42"/>
        <v>0</v>
      </c>
      <c r="AL41" s="93">
        <f t="shared" si="43"/>
        <v>0</v>
      </c>
      <c r="AM41" s="56" t="e">
        <f t="shared" si="39"/>
        <v>#DIV/0!</v>
      </c>
      <c r="AN41" s="91"/>
      <c r="AO41" s="91"/>
      <c r="AP41" s="91"/>
      <c r="AQ41" s="91"/>
      <c r="AR41" s="91"/>
      <c r="AS41" s="91"/>
      <c r="AT41" s="94">
        <f t="shared" si="22"/>
        <v>0</v>
      </c>
      <c r="AU41" s="94">
        <f t="shared" si="23"/>
        <v>0</v>
      </c>
      <c r="AV41" s="56" t="e">
        <f t="shared" si="46"/>
        <v>#DIV/0!</v>
      </c>
      <c r="AW41" s="93">
        <f t="shared" si="47"/>
        <v>0</v>
      </c>
      <c r="AX41" s="95">
        <f t="shared" si="5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f>132813.6+14885.7</f>
        <v>147699.30000000002</v>
      </c>
      <c r="D42" s="61">
        <f>42154.8+4504.8</f>
        <v>46659.600000000006</v>
      </c>
      <c r="E42" s="61">
        <f>30241.4+2711</f>
        <v>32952.4</v>
      </c>
      <c r="F42" s="59">
        <f t="shared" si="32"/>
        <v>70.6229800512649</v>
      </c>
      <c r="G42" s="61">
        <f>41216.2+4174.5</f>
        <v>45390.7</v>
      </c>
      <c r="H42" s="61">
        <f>31216.8+3365.2</f>
        <v>34582</v>
      </c>
      <c r="I42" s="59">
        <f t="shared" si="3"/>
        <v>76.18741284007517</v>
      </c>
      <c r="J42" s="61">
        <f>32886.7+3275.3</f>
        <v>36162</v>
      </c>
      <c r="K42" s="61">
        <f>32635.2+3132.8</f>
        <v>35768</v>
      </c>
      <c r="L42" s="58">
        <f t="shared" si="45"/>
        <v>98.91045849234003</v>
      </c>
      <c r="M42" s="62">
        <f t="shared" si="51"/>
        <v>128212.3</v>
      </c>
      <c r="N42" s="62">
        <f t="shared" si="52"/>
        <v>103302.4</v>
      </c>
      <c r="O42" s="58">
        <f t="shared" si="33"/>
        <v>80.57136483785096</v>
      </c>
      <c r="P42" s="61">
        <f>8719.8+727.5</f>
        <v>9447.3</v>
      </c>
      <c r="Q42" s="61">
        <f>26019.8+2343.3</f>
        <v>28363.1</v>
      </c>
      <c r="R42" s="58">
        <f t="shared" si="34"/>
        <v>300.224402739407</v>
      </c>
      <c r="S42" s="61"/>
      <c r="T42" s="61">
        <f>11286.2+913.9</f>
        <v>12200.1</v>
      </c>
      <c r="U42" s="58" t="e">
        <f t="shared" si="35"/>
        <v>#DIV/0!</v>
      </c>
      <c r="V42" s="61"/>
      <c r="W42" s="61">
        <f>445.5+4912.7</f>
        <v>5358.2</v>
      </c>
      <c r="X42" s="58" t="e">
        <f t="shared" si="36"/>
        <v>#DIV/0!</v>
      </c>
      <c r="Y42" s="62">
        <f t="shared" si="53"/>
        <v>9447.3</v>
      </c>
      <c r="Z42" s="62">
        <f t="shared" si="54"/>
        <v>45921.399999999994</v>
      </c>
      <c r="AA42" s="58">
        <f t="shared" si="37"/>
        <v>486.07962063234993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38"/>
        <v>#DIV/0!</v>
      </c>
      <c r="AK42" s="62">
        <f t="shared" si="42"/>
        <v>0</v>
      </c>
      <c r="AL42" s="62">
        <f t="shared" si="43"/>
        <v>0</v>
      </c>
      <c r="AM42" s="58" t="e">
        <f t="shared" si="39"/>
        <v>#DIV/0!</v>
      </c>
      <c r="AN42" s="61"/>
      <c r="AO42" s="61"/>
      <c r="AP42" s="61"/>
      <c r="AQ42" s="61"/>
      <c r="AR42" s="61"/>
      <c r="AS42" s="61"/>
      <c r="AT42" s="94">
        <f t="shared" si="22"/>
        <v>137659.6</v>
      </c>
      <c r="AU42" s="94">
        <f t="shared" si="23"/>
        <v>149223.8</v>
      </c>
      <c r="AV42" s="58">
        <f t="shared" si="46"/>
        <v>108.40057649448349</v>
      </c>
      <c r="AW42" s="62">
        <f t="shared" si="47"/>
        <v>-11564.199999999983</v>
      </c>
      <c r="AX42" s="63">
        <f t="shared" si="55"/>
        <v>136135.10000000003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3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45"/>
        <v>#DIV/0!</v>
      </c>
      <c r="M43" s="62">
        <f t="shared" si="51"/>
        <v>0</v>
      </c>
      <c r="N43" s="62">
        <f t="shared" si="52"/>
        <v>0</v>
      </c>
      <c r="O43" s="58" t="e">
        <f t="shared" si="33"/>
        <v>#DIV/0!</v>
      </c>
      <c r="P43" s="61"/>
      <c r="Q43" s="61"/>
      <c r="R43" s="58" t="e">
        <f t="shared" si="34"/>
        <v>#DIV/0!</v>
      </c>
      <c r="S43" s="61"/>
      <c r="T43" s="61"/>
      <c r="U43" s="58" t="e">
        <f t="shared" si="35"/>
        <v>#DIV/0!</v>
      </c>
      <c r="V43" s="61"/>
      <c r="W43" s="61"/>
      <c r="X43" s="72" t="e">
        <f t="shared" si="36"/>
        <v>#DIV/0!</v>
      </c>
      <c r="Y43" s="62">
        <f t="shared" si="53"/>
        <v>0</v>
      </c>
      <c r="Z43" s="62">
        <f t="shared" si="54"/>
        <v>0</v>
      </c>
      <c r="AA43" s="58" t="e">
        <f t="shared" si="37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38"/>
        <v>#DIV/0!</v>
      </c>
      <c r="AK43" s="62">
        <f t="shared" si="42"/>
        <v>0</v>
      </c>
      <c r="AL43" s="62">
        <f t="shared" si="43"/>
        <v>0</v>
      </c>
      <c r="AM43" s="58" t="e">
        <f t="shared" si="39"/>
        <v>#DIV/0!</v>
      </c>
      <c r="AN43" s="61"/>
      <c r="AO43" s="61"/>
      <c r="AP43" s="61"/>
      <c r="AQ43" s="61"/>
      <c r="AR43" s="61"/>
      <c r="AS43" s="61"/>
      <c r="AT43" s="94">
        <f t="shared" si="22"/>
        <v>0</v>
      </c>
      <c r="AU43" s="94">
        <f t="shared" si="23"/>
        <v>0</v>
      </c>
      <c r="AV43" s="58" t="e">
        <f t="shared" si="46"/>
        <v>#DIV/0!</v>
      </c>
      <c r="AW43" s="62">
        <f t="shared" si="47"/>
        <v>0</v>
      </c>
      <c r="AX43" s="63">
        <f t="shared" si="5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56970.1</v>
      </c>
      <c r="D44" s="61">
        <v>19900.6</v>
      </c>
      <c r="E44" s="61">
        <v>13015.5</v>
      </c>
      <c r="F44" s="59">
        <f t="shared" si="32"/>
        <v>65.40255067686402</v>
      </c>
      <c r="G44" s="61">
        <v>20368.3</v>
      </c>
      <c r="H44" s="61">
        <v>14153.5</v>
      </c>
      <c r="I44" s="59">
        <f t="shared" si="3"/>
        <v>69.48788067732703</v>
      </c>
      <c r="J44" s="61">
        <v>17841.6</v>
      </c>
      <c r="K44" s="61">
        <v>15311.8</v>
      </c>
      <c r="L44" s="71">
        <f t="shared" si="45"/>
        <v>85.82077840552417</v>
      </c>
      <c r="M44" s="62">
        <f t="shared" si="51"/>
        <v>58110.49999999999</v>
      </c>
      <c r="N44" s="62">
        <f t="shared" si="52"/>
        <v>42480.8</v>
      </c>
      <c r="O44" s="58">
        <f t="shared" si="33"/>
        <v>73.1034838798496</v>
      </c>
      <c r="P44" s="61">
        <v>4911.3</v>
      </c>
      <c r="Q44" s="61">
        <v>12868.4</v>
      </c>
      <c r="R44" s="58">
        <f t="shared" si="34"/>
        <v>262.0161667990145</v>
      </c>
      <c r="S44" s="61"/>
      <c r="T44" s="61">
        <v>5758.8</v>
      </c>
      <c r="U44" s="58" t="e">
        <f t="shared" si="35"/>
        <v>#DIV/0!</v>
      </c>
      <c r="V44" s="61"/>
      <c r="W44" s="61">
        <v>3076.6</v>
      </c>
      <c r="X44" s="72" t="e">
        <f t="shared" si="36"/>
        <v>#DIV/0!</v>
      </c>
      <c r="Y44" s="62">
        <f t="shared" si="53"/>
        <v>4911.3</v>
      </c>
      <c r="Z44" s="62">
        <f t="shared" si="54"/>
        <v>21703.8</v>
      </c>
      <c r="AA44" s="58">
        <f t="shared" si="37"/>
        <v>441.9155824323498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38"/>
        <v>#DIV/0!</v>
      </c>
      <c r="AK44" s="62">
        <f t="shared" si="42"/>
        <v>0</v>
      </c>
      <c r="AL44" s="62">
        <f t="shared" si="43"/>
        <v>0</v>
      </c>
      <c r="AM44" s="58" t="e">
        <f t="shared" si="39"/>
        <v>#DIV/0!</v>
      </c>
      <c r="AN44" s="61"/>
      <c r="AO44" s="61"/>
      <c r="AP44" s="61"/>
      <c r="AQ44" s="61"/>
      <c r="AR44" s="61"/>
      <c r="AS44" s="61"/>
      <c r="AT44" s="94">
        <f t="shared" si="22"/>
        <v>63021.799999999996</v>
      </c>
      <c r="AU44" s="94">
        <f t="shared" si="23"/>
        <v>64184.600000000006</v>
      </c>
      <c r="AV44" s="58">
        <f t="shared" si="46"/>
        <v>101.84507583090297</v>
      </c>
      <c r="AW44" s="62">
        <f t="shared" si="47"/>
        <v>-1162.8000000000102</v>
      </c>
      <c r="AX44" s="63">
        <f t="shared" si="55"/>
        <v>55807.29999999999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13098.300000000001</v>
      </c>
      <c r="D45" s="75">
        <f>SUM(D46:D60)</f>
        <v>5262.9</v>
      </c>
      <c r="E45" s="75">
        <f>SUM(E46:E60)</f>
        <v>3424.7</v>
      </c>
      <c r="F45" s="59">
        <f t="shared" si="32"/>
        <v>65.07248855193905</v>
      </c>
      <c r="G45" s="75">
        <f>SUM(G46:G60)</f>
        <v>4783.4</v>
      </c>
      <c r="H45" s="75">
        <f>SUM(H46:H60)</f>
        <v>3637.6</v>
      </c>
      <c r="I45" s="64">
        <f t="shared" si="3"/>
        <v>76.0463268804616</v>
      </c>
      <c r="J45" s="75">
        <f>SUM(J46:J60)</f>
        <v>3890.6</v>
      </c>
      <c r="K45" s="75">
        <f>SUM(K46:K60)</f>
        <v>3889.2</v>
      </c>
      <c r="L45" s="58">
        <f t="shared" si="45"/>
        <v>99.96401583303346</v>
      </c>
      <c r="M45" s="58">
        <f t="shared" si="51"/>
        <v>13936.9</v>
      </c>
      <c r="N45" s="58">
        <f t="shared" si="52"/>
        <v>10951.5</v>
      </c>
      <c r="O45" s="58">
        <f t="shared" si="33"/>
        <v>78.57916753366962</v>
      </c>
      <c r="P45" s="75">
        <f aca="true" t="shared" si="56" ref="P45:W45">SUM(P46:P50)</f>
        <v>0</v>
      </c>
      <c r="Q45" s="75">
        <f t="shared" si="56"/>
        <v>1.7</v>
      </c>
      <c r="R45" s="75" t="e">
        <f t="shared" si="56"/>
        <v>#DIV/0!</v>
      </c>
      <c r="S45" s="75">
        <f t="shared" si="56"/>
        <v>0</v>
      </c>
      <c r="T45" s="75">
        <f t="shared" si="56"/>
        <v>2.4</v>
      </c>
      <c r="U45" s="75" t="e">
        <f t="shared" si="56"/>
        <v>#DIV/0!</v>
      </c>
      <c r="V45" s="75">
        <f t="shared" si="56"/>
        <v>0</v>
      </c>
      <c r="W45" s="75">
        <f t="shared" si="56"/>
        <v>1.7</v>
      </c>
      <c r="X45" s="72" t="e">
        <f t="shared" si="36"/>
        <v>#DIV/0!</v>
      </c>
      <c r="Y45" s="58">
        <f t="shared" si="53"/>
        <v>0</v>
      </c>
      <c r="Z45" s="58">
        <f t="shared" si="54"/>
        <v>5.8</v>
      </c>
      <c r="AA45" s="58" t="e">
        <f t="shared" si="37"/>
        <v>#DIV/0!</v>
      </c>
      <c r="AB45" s="75">
        <f aca="true" t="shared" si="57" ref="AB45:AI45">SUM(AB46:AB50)</f>
        <v>0</v>
      </c>
      <c r="AC45" s="75">
        <f t="shared" si="57"/>
        <v>0</v>
      </c>
      <c r="AD45" s="75">
        <f t="shared" si="57"/>
        <v>0</v>
      </c>
      <c r="AE45" s="75">
        <f t="shared" si="57"/>
        <v>0</v>
      </c>
      <c r="AF45" s="75">
        <f t="shared" si="57"/>
        <v>0</v>
      </c>
      <c r="AG45" s="75">
        <f t="shared" si="57"/>
        <v>0</v>
      </c>
      <c r="AH45" s="75">
        <f t="shared" si="57"/>
        <v>0</v>
      </c>
      <c r="AI45" s="75">
        <f t="shared" si="57"/>
        <v>0</v>
      </c>
      <c r="AJ45" s="58" t="e">
        <f t="shared" si="38"/>
        <v>#DIV/0!</v>
      </c>
      <c r="AK45" s="58">
        <f t="shared" si="42"/>
        <v>0</v>
      </c>
      <c r="AL45" s="58">
        <f t="shared" si="43"/>
        <v>0</v>
      </c>
      <c r="AM45" s="58" t="e">
        <f t="shared" si="39"/>
        <v>#DIV/0!</v>
      </c>
      <c r="AN45" s="75">
        <f aca="true" t="shared" si="58" ref="AN45:AS45">SUM(AN46:AN50)</f>
        <v>0</v>
      </c>
      <c r="AO45" s="75">
        <f t="shared" si="58"/>
        <v>0</v>
      </c>
      <c r="AP45" s="75">
        <f t="shared" si="58"/>
        <v>0</v>
      </c>
      <c r="AQ45" s="75">
        <f t="shared" si="58"/>
        <v>0</v>
      </c>
      <c r="AR45" s="75">
        <f t="shared" si="58"/>
        <v>0</v>
      </c>
      <c r="AS45" s="75">
        <f t="shared" si="58"/>
        <v>0</v>
      </c>
      <c r="AT45" s="57">
        <f t="shared" si="22"/>
        <v>13936.9</v>
      </c>
      <c r="AU45" s="57">
        <f t="shared" si="23"/>
        <v>10957.3</v>
      </c>
      <c r="AV45" s="58">
        <f t="shared" si="46"/>
        <v>78.62078367499228</v>
      </c>
      <c r="AW45" s="58">
        <f t="shared" si="47"/>
        <v>2979.6000000000004</v>
      </c>
      <c r="AX45" s="79">
        <f t="shared" si="55"/>
        <v>16077.900000000001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3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45"/>
        <v>#DIV/0!</v>
      </c>
      <c r="M46" s="62">
        <f t="shared" si="51"/>
        <v>0</v>
      </c>
      <c r="N46" s="62">
        <f t="shared" si="52"/>
        <v>0</v>
      </c>
      <c r="O46" s="58" t="e">
        <f t="shared" si="33"/>
        <v>#DIV/0!</v>
      </c>
      <c r="P46" s="61"/>
      <c r="Q46" s="61"/>
      <c r="R46" s="58" t="e">
        <f t="shared" si="34"/>
        <v>#DIV/0!</v>
      </c>
      <c r="S46" s="61"/>
      <c r="T46" s="61"/>
      <c r="U46" s="58" t="e">
        <f t="shared" si="35"/>
        <v>#DIV/0!</v>
      </c>
      <c r="V46" s="61"/>
      <c r="W46" s="61"/>
      <c r="X46" s="58" t="e">
        <f>W46/V46*100</f>
        <v>#DIV/0!</v>
      </c>
      <c r="Y46" s="62">
        <f t="shared" si="53"/>
        <v>0</v>
      </c>
      <c r="Z46" s="62">
        <f t="shared" si="54"/>
        <v>0</v>
      </c>
      <c r="AA46" s="58" t="e">
        <f t="shared" si="37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38"/>
        <v>#DIV/0!</v>
      </c>
      <c r="AK46" s="62">
        <f t="shared" si="42"/>
        <v>0</v>
      </c>
      <c r="AL46" s="62">
        <f t="shared" si="43"/>
        <v>0</v>
      </c>
      <c r="AM46" s="58" t="e">
        <f t="shared" si="39"/>
        <v>#DIV/0!</v>
      </c>
      <c r="AN46" s="61"/>
      <c r="AO46" s="61"/>
      <c r="AP46" s="61"/>
      <c r="AQ46" s="61"/>
      <c r="AR46" s="61"/>
      <c r="AS46" s="61"/>
      <c r="AT46" s="94">
        <f t="shared" si="22"/>
        <v>0</v>
      </c>
      <c r="AU46" s="94">
        <f t="shared" si="23"/>
        <v>0</v>
      </c>
      <c r="AV46" s="58" t="e">
        <f t="shared" si="46"/>
        <v>#DIV/0!</v>
      </c>
      <c r="AW46" s="62">
        <f t="shared" si="47"/>
        <v>0</v>
      </c>
      <c r="AX46" s="63">
        <f t="shared" si="5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3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51"/>
        <v>0</v>
      </c>
      <c r="N47" s="62">
        <f t="shared" si="52"/>
        <v>0</v>
      </c>
      <c r="O47" s="58" t="e">
        <f t="shared" si="33"/>
        <v>#DIV/0!</v>
      </c>
      <c r="P47" s="61"/>
      <c r="Q47" s="61"/>
      <c r="R47" s="58" t="e">
        <f t="shared" si="34"/>
        <v>#DIV/0!</v>
      </c>
      <c r="S47" s="61"/>
      <c r="T47" s="61"/>
      <c r="U47" s="58" t="e">
        <f t="shared" si="35"/>
        <v>#DIV/0!</v>
      </c>
      <c r="V47" s="61"/>
      <c r="W47" s="61"/>
      <c r="X47" s="58" t="e">
        <f>W47/V47*100</f>
        <v>#DIV/0!</v>
      </c>
      <c r="Y47" s="62">
        <f t="shared" si="53"/>
        <v>0</v>
      </c>
      <c r="Z47" s="62">
        <f t="shared" si="54"/>
        <v>0</v>
      </c>
      <c r="AA47" s="58" t="e">
        <f t="shared" si="37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38"/>
        <v>#DIV/0!</v>
      </c>
      <c r="AK47" s="62">
        <f t="shared" si="42"/>
        <v>0</v>
      </c>
      <c r="AL47" s="62">
        <f t="shared" si="43"/>
        <v>0</v>
      </c>
      <c r="AM47" s="58" t="e">
        <f t="shared" si="39"/>
        <v>#DIV/0!</v>
      </c>
      <c r="AN47" s="61"/>
      <c r="AO47" s="61"/>
      <c r="AP47" s="61"/>
      <c r="AQ47" s="61"/>
      <c r="AR47" s="61"/>
      <c r="AS47" s="61"/>
      <c r="AT47" s="94">
        <f t="shared" si="22"/>
        <v>0</v>
      </c>
      <c r="AU47" s="94">
        <f t="shared" si="23"/>
        <v>0</v>
      </c>
      <c r="AV47" s="58" t="e">
        <f t="shared" si="46"/>
        <v>#DIV/0!</v>
      </c>
      <c r="AW47" s="62">
        <f t="shared" si="47"/>
        <v>0</v>
      </c>
      <c r="AX47" s="63">
        <f t="shared" si="5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3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51"/>
        <v>0</v>
      </c>
      <c r="N48" s="62">
        <f t="shared" si="52"/>
        <v>0</v>
      </c>
      <c r="O48" s="58" t="e">
        <f t="shared" si="33"/>
        <v>#DIV/0!</v>
      </c>
      <c r="P48" s="61"/>
      <c r="Q48" s="61"/>
      <c r="R48" s="58" t="e">
        <f t="shared" si="34"/>
        <v>#DIV/0!</v>
      </c>
      <c r="S48" s="61"/>
      <c r="T48" s="61"/>
      <c r="U48" s="58" t="e">
        <f t="shared" si="35"/>
        <v>#DIV/0!</v>
      </c>
      <c r="V48" s="61"/>
      <c r="W48" s="61"/>
      <c r="X48" s="58" t="e">
        <f>W48/V48*100</f>
        <v>#DIV/0!</v>
      </c>
      <c r="Y48" s="62">
        <f t="shared" si="53"/>
        <v>0</v>
      </c>
      <c r="Z48" s="62">
        <f t="shared" si="54"/>
        <v>0</v>
      </c>
      <c r="AA48" s="58" t="e">
        <f t="shared" si="37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38"/>
        <v>#DIV/0!</v>
      </c>
      <c r="AK48" s="62">
        <f t="shared" si="42"/>
        <v>0</v>
      </c>
      <c r="AL48" s="62">
        <f t="shared" si="43"/>
        <v>0</v>
      </c>
      <c r="AM48" s="58" t="e">
        <f t="shared" si="39"/>
        <v>#DIV/0!</v>
      </c>
      <c r="AN48" s="61"/>
      <c r="AO48" s="61"/>
      <c r="AP48" s="61"/>
      <c r="AQ48" s="61"/>
      <c r="AR48" s="61"/>
      <c r="AS48" s="61"/>
      <c r="AT48" s="94">
        <f t="shared" si="22"/>
        <v>0</v>
      </c>
      <c r="AU48" s="94">
        <f t="shared" si="23"/>
        <v>0</v>
      </c>
      <c r="AV48" s="58" t="e">
        <f t="shared" si="46"/>
        <v>#DIV/0!</v>
      </c>
      <c r="AW48" s="62">
        <f t="shared" si="47"/>
        <v>0</v>
      </c>
      <c r="AX48" s="63">
        <f t="shared" si="5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1463.7</v>
      </c>
      <c r="D49" s="61"/>
      <c r="E49" s="61">
        <v>4.6</v>
      </c>
      <c r="F49" s="64" t="e">
        <f t="shared" si="32"/>
        <v>#DIV/0!</v>
      </c>
      <c r="G49" s="61"/>
      <c r="H49" s="61">
        <v>15.9</v>
      </c>
      <c r="I49" s="64" t="e">
        <f t="shared" si="3"/>
        <v>#DIV/0!</v>
      </c>
      <c r="J49" s="61"/>
      <c r="K49" s="73">
        <v>14.5</v>
      </c>
      <c r="L49" s="111" t="e">
        <f>K49/J49*100</f>
        <v>#DIV/0!</v>
      </c>
      <c r="M49" s="62">
        <f t="shared" si="51"/>
        <v>0</v>
      </c>
      <c r="N49" s="62">
        <f t="shared" si="52"/>
        <v>35</v>
      </c>
      <c r="O49" s="58" t="e">
        <f t="shared" si="33"/>
        <v>#DIV/0!</v>
      </c>
      <c r="P49" s="61"/>
      <c r="Q49" s="73">
        <v>1.7</v>
      </c>
      <c r="R49" s="58" t="e">
        <f t="shared" si="34"/>
        <v>#DIV/0!</v>
      </c>
      <c r="S49" s="61"/>
      <c r="T49" s="73">
        <v>2.4</v>
      </c>
      <c r="U49" s="58" t="e">
        <f t="shared" si="35"/>
        <v>#DIV/0!</v>
      </c>
      <c r="V49" s="61"/>
      <c r="W49" s="73">
        <v>1.7</v>
      </c>
      <c r="X49" s="74" t="e">
        <f>W49/V49*100</f>
        <v>#DIV/0!</v>
      </c>
      <c r="Y49" s="62">
        <f t="shared" si="53"/>
        <v>0</v>
      </c>
      <c r="Z49" s="62">
        <f t="shared" si="54"/>
        <v>5.8</v>
      </c>
      <c r="AA49" s="58" t="e">
        <f t="shared" si="37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38"/>
        <v>#DIV/0!</v>
      </c>
      <c r="AK49" s="62">
        <f t="shared" si="42"/>
        <v>0</v>
      </c>
      <c r="AL49" s="62">
        <f t="shared" si="43"/>
        <v>0</v>
      </c>
      <c r="AM49" s="58" t="e">
        <f t="shared" si="39"/>
        <v>#DIV/0!</v>
      </c>
      <c r="AN49" s="61"/>
      <c r="AO49" s="73"/>
      <c r="AP49" s="61"/>
      <c r="AQ49" s="73"/>
      <c r="AR49" s="61"/>
      <c r="AS49" s="73"/>
      <c r="AT49" s="94">
        <f t="shared" si="22"/>
        <v>0</v>
      </c>
      <c r="AU49" s="94">
        <f t="shared" si="23"/>
        <v>40.8</v>
      </c>
      <c r="AV49" s="64" t="e">
        <f t="shared" si="46"/>
        <v>#DIV/0!</v>
      </c>
      <c r="AW49" s="62">
        <f t="shared" si="47"/>
        <v>-40.8</v>
      </c>
      <c r="AX49" s="63">
        <f t="shared" si="55"/>
        <v>1422.9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9" ref="L50:L76">K50/J50*100</f>
        <v>#DIV/0!</v>
      </c>
      <c r="M50" s="62">
        <f t="shared" si="51"/>
        <v>0</v>
      </c>
      <c r="N50" s="62">
        <f t="shared" si="52"/>
        <v>0</v>
      </c>
      <c r="O50" s="58" t="e">
        <f t="shared" si="7"/>
        <v>#DIV/0!</v>
      </c>
      <c r="P50" s="61"/>
      <c r="Q50" s="61"/>
      <c r="R50" s="58" t="e">
        <f aca="true" t="shared" si="60" ref="R50:R60">Q50/P50*100</f>
        <v>#DIV/0!</v>
      </c>
      <c r="S50" s="61"/>
      <c r="T50" s="61"/>
      <c r="U50" s="58" t="e">
        <f>T50/S50*100</f>
        <v>#DIV/0!</v>
      </c>
      <c r="V50" s="61"/>
      <c r="W50" s="61"/>
      <c r="X50" s="66" t="e">
        <f aca="true" t="shared" si="61" ref="X50:X72">W50/V50*100</f>
        <v>#DIV/0!</v>
      </c>
      <c r="Y50" s="62">
        <f t="shared" si="53"/>
        <v>0</v>
      </c>
      <c r="Z50" s="62">
        <f t="shared" si="5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>AI50/AH50*100</f>
        <v>#DIV/0!</v>
      </c>
      <c r="AK50" s="62">
        <f t="shared" si="20"/>
        <v>0</v>
      </c>
      <c r="AL50" s="62">
        <f t="shared" si="21"/>
        <v>0</v>
      </c>
      <c r="AM50" s="58" t="e">
        <f aca="true" t="shared" si="62" ref="AM50:AM76">AL50/AK50*100</f>
        <v>#DIV/0!</v>
      </c>
      <c r="AN50" s="61"/>
      <c r="AO50" s="61"/>
      <c r="AP50" s="61"/>
      <c r="AQ50" s="61"/>
      <c r="AR50" s="61"/>
      <c r="AS50" s="61"/>
      <c r="AT50" s="94">
        <f t="shared" si="22"/>
        <v>0</v>
      </c>
      <c r="AU50" s="94">
        <f t="shared" si="23"/>
        <v>0</v>
      </c>
      <c r="AV50" s="58" t="e">
        <f t="shared" si="17"/>
        <v>#DIV/0!</v>
      </c>
      <c r="AW50" s="62">
        <f aca="true" t="shared" si="63" ref="AW50:AW62">AT50-AU50</f>
        <v>0</v>
      </c>
      <c r="AX50" s="63">
        <f t="shared" si="5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9"/>
        <v>#DIV/0!</v>
      </c>
      <c r="M51" s="62">
        <f t="shared" si="51"/>
        <v>0</v>
      </c>
      <c r="N51" s="62">
        <f t="shared" si="52"/>
        <v>0</v>
      </c>
      <c r="O51" s="58" t="e">
        <f t="shared" si="7"/>
        <v>#DIV/0!</v>
      </c>
      <c r="P51" s="61"/>
      <c r="Q51" s="61"/>
      <c r="R51" s="58" t="e">
        <f t="shared" si="60"/>
        <v>#DIV/0!</v>
      </c>
      <c r="S51" s="61"/>
      <c r="T51" s="61"/>
      <c r="U51" s="58" t="e">
        <f>T51/S51*100</f>
        <v>#DIV/0!</v>
      </c>
      <c r="V51" s="61"/>
      <c r="W51" s="61"/>
      <c r="X51" s="66" t="e">
        <f t="shared" si="61"/>
        <v>#DIV/0!</v>
      </c>
      <c r="Y51" s="62">
        <f t="shared" si="53"/>
        <v>0</v>
      </c>
      <c r="Z51" s="62">
        <f t="shared" si="5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>AI51/AH51*100</f>
        <v>#DIV/0!</v>
      </c>
      <c r="AK51" s="62">
        <f t="shared" si="20"/>
        <v>0</v>
      </c>
      <c r="AL51" s="62">
        <f t="shared" si="21"/>
        <v>0</v>
      </c>
      <c r="AM51" s="58" t="e">
        <f t="shared" si="62"/>
        <v>#DIV/0!</v>
      </c>
      <c r="AN51" s="61"/>
      <c r="AO51" s="61"/>
      <c r="AP51" s="61"/>
      <c r="AQ51" s="61"/>
      <c r="AR51" s="61"/>
      <c r="AS51" s="61"/>
      <c r="AT51" s="94">
        <f t="shared" si="22"/>
        <v>0</v>
      </c>
      <c r="AU51" s="94">
        <f t="shared" si="23"/>
        <v>0</v>
      </c>
      <c r="AV51" s="58" t="e">
        <f t="shared" si="17"/>
        <v>#DIV/0!</v>
      </c>
      <c r="AW51" s="62">
        <f t="shared" si="63"/>
        <v>0</v>
      </c>
      <c r="AX51" s="63">
        <f t="shared" si="5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51"/>
        <v>0</v>
      </c>
      <c r="N52" s="62">
        <f t="shared" si="52"/>
        <v>0</v>
      </c>
      <c r="O52" s="58" t="e">
        <f t="shared" si="7"/>
        <v>#DIV/0!</v>
      </c>
      <c r="P52" s="75"/>
      <c r="Q52" s="75"/>
      <c r="R52" s="76" t="e">
        <f t="shared" si="60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53"/>
        <v>0</v>
      </c>
      <c r="Z52" s="62">
        <f t="shared" si="5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>AB52+AE52+AH52</f>
        <v>0</v>
      </c>
      <c r="AL52" s="62">
        <f>AC52+AF52+AI52</f>
        <v>0</v>
      </c>
      <c r="AM52" s="58" t="e">
        <f t="shared" si="62"/>
        <v>#DIV/0!</v>
      </c>
      <c r="AN52" s="75"/>
      <c r="AO52" s="75"/>
      <c r="AP52" s="75"/>
      <c r="AQ52" s="75"/>
      <c r="AR52" s="75"/>
      <c r="AS52" s="75"/>
      <c r="AT52" s="94">
        <f t="shared" si="22"/>
        <v>0</v>
      </c>
      <c r="AU52" s="94">
        <f t="shared" si="23"/>
        <v>0</v>
      </c>
      <c r="AV52" s="58" t="e">
        <f t="shared" si="17"/>
        <v>#DIV/0!</v>
      </c>
      <c r="AW52" s="62">
        <f t="shared" si="63"/>
        <v>0</v>
      </c>
      <c r="AX52" s="63">
        <f t="shared" si="5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64" ref="F53:F63">E53/D53*100</f>
        <v>#DIV/0!</v>
      </c>
      <c r="G53" s="73"/>
      <c r="H53" s="61"/>
      <c r="I53" s="59" t="e">
        <f aca="true" t="shared" si="65" ref="I53:I63">H53/G53*100</f>
        <v>#DIV/0!</v>
      </c>
      <c r="J53" s="61"/>
      <c r="K53" s="61"/>
      <c r="L53" s="58" t="e">
        <f t="shared" si="59"/>
        <v>#DIV/0!</v>
      </c>
      <c r="M53" s="62">
        <f t="shared" si="51"/>
        <v>0</v>
      </c>
      <c r="N53" s="62">
        <f t="shared" si="52"/>
        <v>0</v>
      </c>
      <c r="O53" s="58" t="e">
        <f t="shared" si="7"/>
        <v>#DIV/0!</v>
      </c>
      <c r="P53" s="61"/>
      <c r="Q53" s="61"/>
      <c r="R53" s="58" t="e">
        <f t="shared" si="60"/>
        <v>#DIV/0!</v>
      </c>
      <c r="S53" s="61"/>
      <c r="T53" s="61"/>
      <c r="U53" s="58" t="e">
        <f aca="true" t="shared" si="66" ref="U53:U60">T53/S53*100</f>
        <v>#DIV/0!</v>
      </c>
      <c r="V53" s="61"/>
      <c r="W53" s="61"/>
      <c r="X53" s="58" t="e">
        <f t="shared" si="61"/>
        <v>#DIV/0!</v>
      </c>
      <c r="Y53" s="62">
        <f t="shared" si="53"/>
        <v>0</v>
      </c>
      <c r="Z53" s="62">
        <f t="shared" si="5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0"/>
        <v>0</v>
      </c>
      <c r="AL53" s="62">
        <f t="shared" si="21"/>
        <v>0</v>
      </c>
      <c r="AM53" s="58" t="e">
        <f t="shared" si="62"/>
        <v>#DIV/0!</v>
      </c>
      <c r="AN53" s="61"/>
      <c r="AO53" s="61"/>
      <c r="AP53" s="61"/>
      <c r="AQ53" s="61"/>
      <c r="AR53" s="61"/>
      <c r="AS53" s="61"/>
      <c r="AT53" s="94">
        <f t="shared" si="22"/>
        <v>0</v>
      </c>
      <c r="AU53" s="94">
        <f t="shared" si="23"/>
        <v>0</v>
      </c>
      <c r="AV53" s="58" t="e">
        <f t="shared" si="17"/>
        <v>#DIV/0!</v>
      </c>
      <c r="AW53" s="62">
        <f t="shared" si="63"/>
        <v>0</v>
      </c>
      <c r="AX53" s="63">
        <f t="shared" si="5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64"/>
        <v>#DIV/0!</v>
      </c>
      <c r="G54" s="73"/>
      <c r="H54" s="61"/>
      <c r="I54" s="59" t="e">
        <f t="shared" si="65"/>
        <v>#DIV/0!</v>
      </c>
      <c r="J54" s="61"/>
      <c r="K54" s="61"/>
      <c r="L54" s="58" t="e">
        <f t="shared" si="59"/>
        <v>#DIV/0!</v>
      </c>
      <c r="M54" s="62">
        <f t="shared" si="51"/>
        <v>0</v>
      </c>
      <c r="N54" s="62">
        <f t="shared" si="52"/>
        <v>0</v>
      </c>
      <c r="O54" s="58" t="e">
        <f t="shared" si="7"/>
        <v>#DIV/0!</v>
      </c>
      <c r="P54" s="61"/>
      <c r="Q54" s="61"/>
      <c r="R54" s="58" t="e">
        <f t="shared" si="60"/>
        <v>#DIV/0!</v>
      </c>
      <c r="S54" s="61"/>
      <c r="T54" s="61"/>
      <c r="U54" s="58" t="e">
        <f t="shared" si="66"/>
        <v>#DIV/0!</v>
      </c>
      <c r="V54" s="61"/>
      <c r="W54" s="61"/>
      <c r="X54" s="58" t="e">
        <f t="shared" si="61"/>
        <v>#DIV/0!</v>
      </c>
      <c r="Y54" s="62">
        <f t="shared" si="53"/>
        <v>0</v>
      </c>
      <c r="Z54" s="62">
        <f t="shared" si="5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0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2"/>
        <v>0</v>
      </c>
      <c r="AU54" s="94">
        <f t="shared" si="23"/>
        <v>0</v>
      </c>
      <c r="AV54" s="58" t="e">
        <f t="shared" si="17"/>
        <v>#DIV/0!</v>
      </c>
      <c r="AW54" s="62">
        <f t="shared" si="63"/>
        <v>0</v>
      </c>
      <c r="AX54" s="63">
        <f t="shared" si="5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64"/>
        <v>#DIV/0!</v>
      </c>
      <c r="G55" s="78"/>
      <c r="H55" s="78"/>
      <c r="I55" s="59" t="e">
        <f t="shared" si="65"/>
        <v>#DIV/0!</v>
      </c>
      <c r="J55" s="61"/>
      <c r="K55" s="61"/>
      <c r="L55" s="58" t="e">
        <f t="shared" si="59"/>
        <v>#DIV/0!</v>
      </c>
      <c r="M55" s="62">
        <f t="shared" si="51"/>
        <v>0</v>
      </c>
      <c r="N55" s="62">
        <f t="shared" si="52"/>
        <v>0</v>
      </c>
      <c r="O55" s="58" t="e">
        <f t="shared" si="7"/>
        <v>#DIV/0!</v>
      </c>
      <c r="P55" s="61"/>
      <c r="Q55" s="61"/>
      <c r="R55" s="58" t="e">
        <f t="shared" si="60"/>
        <v>#DIV/0!</v>
      </c>
      <c r="S55" s="61"/>
      <c r="T55" s="61"/>
      <c r="U55" s="58" t="e">
        <f t="shared" si="66"/>
        <v>#DIV/0!</v>
      </c>
      <c r="V55" s="61"/>
      <c r="W55" s="61"/>
      <c r="X55" s="58" t="e">
        <f t="shared" si="61"/>
        <v>#DIV/0!</v>
      </c>
      <c r="Y55" s="62">
        <f t="shared" si="53"/>
        <v>0</v>
      </c>
      <c r="Z55" s="62">
        <f t="shared" si="54"/>
        <v>0</v>
      </c>
      <c r="AA55" s="58" t="e">
        <f aca="true" t="shared" si="67" ref="AA55:AA76">Z55/Y55*100</f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0"/>
        <v>0</v>
      </c>
      <c r="AL55" s="62">
        <f t="shared" si="21"/>
        <v>0</v>
      </c>
      <c r="AM55" s="58" t="e">
        <f t="shared" si="62"/>
        <v>#DIV/0!</v>
      </c>
      <c r="AN55" s="61"/>
      <c r="AO55" s="61"/>
      <c r="AP55" s="61"/>
      <c r="AQ55" s="61"/>
      <c r="AR55" s="61"/>
      <c r="AS55" s="61"/>
      <c r="AT55" s="94">
        <f t="shared" si="22"/>
        <v>0</v>
      </c>
      <c r="AU55" s="94">
        <f t="shared" si="23"/>
        <v>0</v>
      </c>
      <c r="AV55" s="58" t="e">
        <f t="shared" si="17"/>
        <v>#DIV/0!</v>
      </c>
      <c r="AW55" s="62">
        <f t="shared" si="63"/>
        <v>0</v>
      </c>
      <c r="AX55" s="63">
        <f t="shared" si="5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64"/>
        <v>#DIV/0!</v>
      </c>
      <c r="G56" s="70"/>
      <c r="H56" s="70"/>
      <c r="I56" s="59" t="e">
        <f t="shared" si="65"/>
        <v>#DIV/0!</v>
      </c>
      <c r="J56" s="61"/>
      <c r="K56" s="61"/>
      <c r="L56" s="58" t="e">
        <f t="shared" si="59"/>
        <v>#DIV/0!</v>
      </c>
      <c r="M56" s="62">
        <f t="shared" si="51"/>
        <v>0</v>
      </c>
      <c r="N56" s="62">
        <f t="shared" si="52"/>
        <v>0</v>
      </c>
      <c r="O56" s="58" t="e">
        <f t="shared" si="7"/>
        <v>#DIV/0!</v>
      </c>
      <c r="P56" s="61"/>
      <c r="Q56" s="61"/>
      <c r="R56" s="58" t="e">
        <f t="shared" si="60"/>
        <v>#DIV/0!</v>
      </c>
      <c r="S56" s="61"/>
      <c r="T56" s="61"/>
      <c r="U56" s="58" t="e">
        <f t="shared" si="66"/>
        <v>#DIV/0!</v>
      </c>
      <c r="V56" s="61"/>
      <c r="W56" s="61"/>
      <c r="X56" s="58" t="e">
        <f t="shared" si="61"/>
        <v>#DIV/0!</v>
      </c>
      <c r="Y56" s="62">
        <f t="shared" si="53"/>
        <v>0</v>
      </c>
      <c r="Z56" s="62">
        <f t="shared" si="54"/>
        <v>0</v>
      </c>
      <c r="AA56" s="58" t="e">
        <f t="shared" si="67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0"/>
        <v>0</v>
      </c>
      <c r="AL56" s="62">
        <f t="shared" si="21"/>
        <v>0</v>
      </c>
      <c r="AM56" s="58" t="e">
        <f t="shared" si="62"/>
        <v>#DIV/0!</v>
      </c>
      <c r="AN56" s="61"/>
      <c r="AO56" s="61"/>
      <c r="AP56" s="61"/>
      <c r="AQ56" s="61"/>
      <c r="AR56" s="61"/>
      <c r="AS56" s="61"/>
      <c r="AT56" s="94">
        <f t="shared" si="22"/>
        <v>0</v>
      </c>
      <c r="AU56" s="94">
        <f t="shared" si="23"/>
        <v>0</v>
      </c>
      <c r="AV56" s="58" t="e">
        <f t="shared" si="17"/>
        <v>#DIV/0!</v>
      </c>
      <c r="AW56" s="62">
        <f t="shared" si="63"/>
        <v>0</v>
      </c>
      <c r="AX56" s="63">
        <f t="shared" si="5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11634.6</v>
      </c>
      <c r="D57" s="61">
        <v>5262.9</v>
      </c>
      <c r="E57" s="61">
        <v>3420.1</v>
      </c>
      <c r="F57" s="59">
        <f t="shared" si="64"/>
        <v>64.98508426912919</v>
      </c>
      <c r="G57" s="61">
        <v>4783.4</v>
      </c>
      <c r="H57" s="61">
        <v>3621.7</v>
      </c>
      <c r="I57" s="59">
        <f t="shared" si="65"/>
        <v>75.71392733202325</v>
      </c>
      <c r="J57" s="61">
        <v>3890.6</v>
      </c>
      <c r="K57" s="61">
        <v>3874.7</v>
      </c>
      <c r="L57" s="58">
        <f t="shared" si="59"/>
        <v>99.59132267516578</v>
      </c>
      <c r="M57" s="62">
        <f t="shared" si="51"/>
        <v>13936.9</v>
      </c>
      <c r="N57" s="62">
        <f t="shared" si="52"/>
        <v>10916.5</v>
      </c>
      <c r="O57" s="58">
        <f t="shared" si="7"/>
        <v>78.3280356463776</v>
      </c>
      <c r="P57" s="61">
        <v>25.6</v>
      </c>
      <c r="Q57" s="61">
        <v>3114.3</v>
      </c>
      <c r="R57" s="58">
        <f t="shared" si="60"/>
        <v>12165.234375</v>
      </c>
      <c r="S57" s="61"/>
      <c r="T57" s="61">
        <v>835.5</v>
      </c>
      <c r="U57" s="58" t="e">
        <f t="shared" si="66"/>
        <v>#DIV/0!</v>
      </c>
      <c r="V57" s="61"/>
      <c r="W57" s="61">
        <v>1018.7</v>
      </c>
      <c r="X57" s="58" t="e">
        <f t="shared" si="61"/>
        <v>#DIV/0!</v>
      </c>
      <c r="Y57" s="62">
        <f t="shared" si="53"/>
        <v>25.6</v>
      </c>
      <c r="Z57" s="62">
        <f t="shared" si="54"/>
        <v>4968.5</v>
      </c>
      <c r="AA57" s="58">
        <f t="shared" si="67"/>
        <v>19408.203125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0"/>
        <v>0</v>
      </c>
      <c r="AL57" s="62">
        <f t="shared" si="21"/>
        <v>0</v>
      </c>
      <c r="AM57" s="58" t="e">
        <f t="shared" si="62"/>
        <v>#DIV/0!</v>
      </c>
      <c r="AN57" s="61"/>
      <c r="AO57" s="61"/>
      <c r="AP57" s="61"/>
      <c r="AQ57" s="61"/>
      <c r="AR57" s="61"/>
      <c r="AS57" s="61"/>
      <c r="AT57" s="94">
        <f t="shared" si="22"/>
        <v>13962.5</v>
      </c>
      <c r="AU57" s="94">
        <f t="shared" si="23"/>
        <v>15885</v>
      </c>
      <c r="AV57" s="58">
        <f t="shared" si="17"/>
        <v>113.76902417188899</v>
      </c>
      <c r="AW57" s="62">
        <f t="shared" si="63"/>
        <v>-1922.5</v>
      </c>
      <c r="AX57" s="63">
        <f t="shared" si="55"/>
        <v>9712.099999999999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64"/>
        <v>#DIV/0!</v>
      </c>
      <c r="G58" s="61"/>
      <c r="H58" s="61"/>
      <c r="I58" s="59" t="e">
        <f t="shared" si="65"/>
        <v>#DIV/0!</v>
      </c>
      <c r="J58" s="61"/>
      <c r="K58" s="61"/>
      <c r="L58" s="58" t="e">
        <f t="shared" si="59"/>
        <v>#DIV/0!</v>
      </c>
      <c r="M58" s="62">
        <f t="shared" si="51"/>
        <v>0</v>
      </c>
      <c r="N58" s="62">
        <f t="shared" si="52"/>
        <v>0</v>
      </c>
      <c r="O58" s="58" t="e">
        <f t="shared" si="7"/>
        <v>#DIV/0!</v>
      </c>
      <c r="P58" s="61"/>
      <c r="Q58" s="61"/>
      <c r="R58" s="58" t="e">
        <f t="shared" si="60"/>
        <v>#DIV/0!</v>
      </c>
      <c r="S58" s="61"/>
      <c r="T58" s="61"/>
      <c r="U58" s="58" t="e">
        <f t="shared" si="66"/>
        <v>#DIV/0!</v>
      </c>
      <c r="V58" s="61"/>
      <c r="W58" s="61"/>
      <c r="X58" s="58" t="e">
        <f t="shared" si="61"/>
        <v>#DIV/0!</v>
      </c>
      <c r="Y58" s="62">
        <f t="shared" si="53"/>
        <v>0</v>
      </c>
      <c r="Z58" s="62">
        <f t="shared" si="54"/>
        <v>0</v>
      </c>
      <c r="AA58" s="58" t="e">
        <f t="shared" si="67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0"/>
        <v>0</v>
      </c>
      <c r="AL58" s="62">
        <f t="shared" si="21"/>
        <v>0</v>
      </c>
      <c r="AM58" s="58" t="e">
        <f t="shared" si="62"/>
        <v>#DIV/0!</v>
      </c>
      <c r="AN58" s="61"/>
      <c r="AO58" s="61"/>
      <c r="AP58" s="61"/>
      <c r="AQ58" s="61"/>
      <c r="AR58" s="61"/>
      <c r="AS58" s="61"/>
      <c r="AT58" s="94">
        <f t="shared" si="22"/>
        <v>0</v>
      </c>
      <c r="AU58" s="94">
        <f t="shared" si="23"/>
        <v>0</v>
      </c>
      <c r="AV58" s="58" t="e">
        <f t="shared" si="17"/>
        <v>#DIV/0!</v>
      </c>
      <c r="AW58" s="62">
        <f t="shared" si="63"/>
        <v>0</v>
      </c>
      <c r="AX58" s="63">
        <f t="shared" si="5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 hidden="1">
      <c r="A60" s="10" t="s">
        <v>30</v>
      </c>
      <c r="B60" s="51" t="s">
        <v>137</v>
      </c>
      <c r="C60" s="60"/>
      <c r="D60" s="61"/>
      <c r="E60" s="61"/>
      <c r="F60" s="59" t="e">
        <f t="shared" si="64"/>
        <v>#DIV/0!</v>
      </c>
      <c r="G60" s="61"/>
      <c r="H60" s="61"/>
      <c r="I60" s="59" t="e">
        <f t="shared" si="65"/>
        <v>#DIV/0!</v>
      </c>
      <c r="J60" s="61"/>
      <c r="K60" s="61"/>
      <c r="L60" s="58" t="e">
        <f t="shared" si="59"/>
        <v>#DIV/0!</v>
      </c>
      <c r="M60" s="62">
        <f t="shared" si="51"/>
        <v>0</v>
      </c>
      <c r="N60" s="62">
        <f t="shared" si="52"/>
        <v>0</v>
      </c>
      <c r="O60" s="58" t="e">
        <f t="shared" si="7"/>
        <v>#DIV/0!</v>
      </c>
      <c r="P60" s="61"/>
      <c r="Q60" s="61"/>
      <c r="R60" s="58" t="e">
        <f t="shared" si="60"/>
        <v>#DIV/0!</v>
      </c>
      <c r="S60" s="61"/>
      <c r="T60" s="61"/>
      <c r="U60" s="58" t="e">
        <f t="shared" si="66"/>
        <v>#DIV/0!</v>
      </c>
      <c r="V60" s="61"/>
      <c r="W60" s="61"/>
      <c r="X60" s="58" t="e">
        <f t="shared" si="61"/>
        <v>#DIV/0!</v>
      </c>
      <c r="Y60" s="62">
        <f t="shared" si="53"/>
        <v>0</v>
      </c>
      <c r="Z60" s="62">
        <f t="shared" si="54"/>
        <v>0</v>
      </c>
      <c r="AA60" s="58" t="e">
        <f t="shared" si="67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0"/>
        <v>0</v>
      </c>
      <c r="AL60" s="62">
        <f t="shared" si="21"/>
        <v>0</v>
      </c>
      <c r="AM60" s="58" t="e">
        <f t="shared" si="62"/>
        <v>#DIV/0!</v>
      </c>
      <c r="AN60" s="61"/>
      <c r="AO60" s="61"/>
      <c r="AP60" s="61"/>
      <c r="AQ60" s="61"/>
      <c r="AR60" s="61"/>
      <c r="AS60" s="61"/>
      <c r="AT60" s="94">
        <f t="shared" si="22"/>
        <v>0</v>
      </c>
      <c r="AU60" s="94">
        <f t="shared" si="23"/>
        <v>0</v>
      </c>
      <c r="AV60" s="58" t="e">
        <f t="shared" si="17"/>
        <v>#DIV/0!</v>
      </c>
      <c r="AW60" s="62">
        <f t="shared" si="63"/>
        <v>0</v>
      </c>
      <c r="AX60" s="63">
        <f t="shared" si="5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75276.3</v>
      </c>
      <c r="D61" s="109">
        <f>SUM(D62:D71)</f>
        <v>32769.2</v>
      </c>
      <c r="E61" s="109">
        <f>SUM(E62:E71)</f>
        <v>26069.6</v>
      </c>
      <c r="F61" s="59">
        <f t="shared" si="64"/>
        <v>79.55519207060289</v>
      </c>
      <c r="G61" s="109">
        <f>SUM(G62:G71)</f>
        <v>33119.1</v>
      </c>
      <c r="H61" s="109">
        <f>SUM(H62:H71)</f>
        <v>26718.699999999997</v>
      </c>
      <c r="I61" s="59">
        <f t="shared" si="65"/>
        <v>80.67459562608886</v>
      </c>
      <c r="J61" s="109">
        <f>SUM(J62:J71)</f>
        <v>27307.200000000004</v>
      </c>
      <c r="K61" s="109">
        <f>SUM(K62:K71)</f>
        <v>28806.4</v>
      </c>
      <c r="L61" s="58">
        <f t="shared" si="59"/>
        <v>105.49012714595416</v>
      </c>
      <c r="M61" s="58">
        <f t="shared" si="51"/>
        <v>93195.5</v>
      </c>
      <c r="N61" s="58">
        <f t="shared" si="52"/>
        <v>81594.7</v>
      </c>
      <c r="O61" s="58">
        <f t="shared" si="7"/>
        <v>87.5521886786379</v>
      </c>
      <c r="P61" s="109">
        <f aca="true" t="shared" si="68" ref="P61:W61">SUM(P62:P71)</f>
        <v>9546.800000000001</v>
      </c>
      <c r="Q61" s="109">
        <f t="shared" si="68"/>
        <v>23121.199999999997</v>
      </c>
      <c r="R61" s="109" t="e">
        <f t="shared" si="68"/>
        <v>#DIV/0!</v>
      </c>
      <c r="S61" s="109">
        <f t="shared" si="68"/>
        <v>1934.9</v>
      </c>
      <c r="T61" s="109">
        <f t="shared" si="68"/>
        <v>10685.8</v>
      </c>
      <c r="U61" s="109" t="e">
        <f t="shared" si="68"/>
        <v>#DIV/0!</v>
      </c>
      <c r="V61" s="109">
        <f t="shared" si="68"/>
        <v>1814.6</v>
      </c>
      <c r="W61" s="109">
        <f t="shared" si="68"/>
        <v>5803</v>
      </c>
      <c r="X61" s="58">
        <f t="shared" si="61"/>
        <v>319.7949961424006</v>
      </c>
      <c r="Y61" s="58">
        <f t="shared" si="53"/>
        <v>13296.300000000001</v>
      </c>
      <c r="Z61" s="58">
        <f t="shared" si="54"/>
        <v>39610</v>
      </c>
      <c r="AA61" s="58">
        <f t="shared" si="67"/>
        <v>297.90242398261165</v>
      </c>
      <c r="AB61" s="109">
        <f aca="true" t="shared" si="69" ref="AB61:AI61">SUM(AB62:AB71)</f>
        <v>0</v>
      </c>
      <c r="AC61" s="109">
        <f t="shared" si="69"/>
        <v>0</v>
      </c>
      <c r="AD61" s="109">
        <f t="shared" si="69"/>
        <v>0</v>
      </c>
      <c r="AE61" s="109">
        <f t="shared" si="69"/>
        <v>0</v>
      </c>
      <c r="AF61" s="109">
        <f t="shared" si="69"/>
        <v>0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58"/>
      <c r="AK61" s="58">
        <f t="shared" si="20"/>
        <v>0</v>
      </c>
      <c r="AL61" s="58">
        <f t="shared" si="21"/>
        <v>0</v>
      </c>
      <c r="AM61" s="58" t="e">
        <f t="shared" si="62"/>
        <v>#DIV/0!</v>
      </c>
      <c r="AN61" s="109">
        <f aca="true" t="shared" si="70" ref="AN61:AS61">SUM(AN62:AN71)</f>
        <v>0</v>
      </c>
      <c r="AO61" s="109">
        <f t="shared" si="70"/>
        <v>0</v>
      </c>
      <c r="AP61" s="109">
        <f t="shared" si="70"/>
        <v>0</v>
      </c>
      <c r="AQ61" s="109">
        <f t="shared" si="70"/>
        <v>0</v>
      </c>
      <c r="AR61" s="109">
        <f t="shared" si="70"/>
        <v>0</v>
      </c>
      <c r="AS61" s="109">
        <f t="shared" si="70"/>
        <v>0</v>
      </c>
      <c r="AT61" s="57">
        <f t="shared" si="22"/>
        <v>106491.8</v>
      </c>
      <c r="AU61" s="57">
        <f t="shared" si="23"/>
        <v>121204.7</v>
      </c>
      <c r="AV61" s="58">
        <f t="shared" si="17"/>
        <v>113.81599334408845</v>
      </c>
      <c r="AW61" s="58">
        <f t="shared" si="63"/>
        <v>-14712.899999999994</v>
      </c>
      <c r="AX61" s="79">
        <f t="shared" si="55"/>
        <v>60563.40000000001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6582.2</v>
      </c>
      <c r="D62" s="61">
        <v>3906.3</v>
      </c>
      <c r="E62" s="61">
        <v>3448.7</v>
      </c>
      <c r="F62" s="59">
        <f t="shared" si="64"/>
        <v>88.2855899444487</v>
      </c>
      <c r="G62" s="61">
        <v>4058.1</v>
      </c>
      <c r="H62" s="61">
        <v>3280.6</v>
      </c>
      <c r="I62" s="59">
        <f t="shared" si="65"/>
        <v>80.84078756068111</v>
      </c>
      <c r="J62" s="61">
        <v>3309.5</v>
      </c>
      <c r="K62" s="61">
        <v>3532.9</v>
      </c>
      <c r="L62" s="58">
        <f t="shared" si="59"/>
        <v>106.75026439039131</v>
      </c>
      <c r="M62" s="62">
        <f t="shared" si="51"/>
        <v>11273.9</v>
      </c>
      <c r="N62" s="62">
        <f t="shared" si="52"/>
        <v>10262.199999999999</v>
      </c>
      <c r="O62" s="58">
        <f t="shared" si="7"/>
        <v>91.02617550270979</v>
      </c>
      <c r="P62" s="61">
        <v>711.4</v>
      </c>
      <c r="Q62" s="61">
        <v>2831.7</v>
      </c>
      <c r="R62" s="58">
        <f>Q62/P62*100</f>
        <v>398.0461062693281</v>
      </c>
      <c r="S62" s="61"/>
      <c r="T62" s="61">
        <v>1145.9</v>
      </c>
      <c r="U62" s="58" t="e">
        <f>T62/S62*100</f>
        <v>#DIV/0!</v>
      </c>
      <c r="V62" s="61"/>
      <c r="W62" s="61">
        <v>543.6</v>
      </c>
      <c r="X62" s="58" t="e">
        <f t="shared" si="61"/>
        <v>#DIV/0!</v>
      </c>
      <c r="Y62" s="62">
        <f t="shared" si="53"/>
        <v>711.4</v>
      </c>
      <c r="Z62" s="62">
        <f t="shared" si="54"/>
        <v>4521.2</v>
      </c>
      <c r="AA62" s="58">
        <f t="shared" si="67"/>
        <v>635.5355636772562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0"/>
        <v>0</v>
      </c>
      <c r="AL62" s="62">
        <f t="shared" si="21"/>
        <v>0</v>
      </c>
      <c r="AM62" s="58" t="e">
        <f t="shared" si="62"/>
        <v>#DIV/0!</v>
      </c>
      <c r="AN62" s="61"/>
      <c r="AO62" s="61"/>
      <c r="AP62" s="61"/>
      <c r="AQ62" s="61"/>
      <c r="AR62" s="61"/>
      <c r="AS62" s="61"/>
      <c r="AT62" s="94">
        <f t="shared" si="22"/>
        <v>11985.3</v>
      </c>
      <c r="AU62" s="94">
        <f t="shared" si="23"/>
        <v>14783.399999999998</v>
      </c>
      <c r="AV62" s="58">
        <f t="shared" si="17"/>
        <v>123.34609897123975</v>
      </c>
      <c r="AW62" s="62">
        <f t="shared" si="63"/>
        <v>-2798.0999999999985</v>
      </c>
      <c r="AX62" s="63">
        <f t="shared" si="55"/>
        <v>3784.100000000002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4745.7</v>
      </c>
      <c r="D63" s="70">
        <v>1342.4</v>
      </c>
      <c r="E63" s="70">
        <v>1071.5</v>
      </c>
      <c r="F63" s="59">
        <f t="shared" si="64"/>
        <v>79.81972586412395</v>
      </c>
      <c r="G63" s="70">
        <v>1472.1</v>
      </c>
      <c r="H63" s="70">
        <v>1112.1</v>
      </c>
      <c r="I63" s="59">
        <f t="shared" si="65"/>
        <v>75.5451395964948</v>
      </c>
      <c r="J63" s="61">
        <v>1098.1</v>
      </c>
      <c r="K63" s="61">
        <v>1273.2</v>
      </c>
      <c r="L63" s="58">
        <f aca="true" t="shared" si="71" ref="L63:L71">K63/J63*100</f>
        <v>115.94572443311175</v>
      </c>
      <c r="M63" s="62">
        <f t="shared" si="51"/>
        <v>3912.6</v>
      </c>
      <c r="N63" s="62">
        <f t="shared" si="52"/>
        <v>3456.8</v>
      </c>
      <c r="O63" s="58">
        <f aca="true" t="shared" si="72" ref="O63:O71">N63/M63*100</f>
        <v>88.35045749629403</v>
      </c>
      <c r="P63" s="61">
        <v>302.8</v>
      </c>
      <c r="Q63" s="61">
        <v>913.1</v>
      </c>
      <c r="R63" s="58">
        <f aca="true" t="shared" si="73" ref="R63:R71">Q63/P63*100</f>
        <v>301.55217965653895</v>
      </c>
      <c r="S63" s="61">
        <v>-1.3</v>
      </c>
      <c r="T63" s="61">
        <v>378.1</v>
      </c>
      <c r="U63" s="58">
        <f aca="true" t="shared" si="74" ref="U63:U71">T63/S63*100</f>
        <v>-29084.615384615387</v>
      </c>
      <c r="V63" s="61"/>
      <c r="W63" s="61">
        <v>189.2</v>
      </c>
      <c r="X63" s="58" t="e">
        <f aca="true" t="shared" si="75" ref="X63:X71">W63/V63*100</f>
        <v>#DIV/0!</v>
      </c>
      <c r="Y63" s="62">
        <f t="shared" si="53"/>
        <v>301.5</v>
      </c>
      <c r="Z63" s="62">
        <f t="shared" si="54"/>
        <v>1480.4</v>
      </c>
      <c r="AA63" s="58">
        <f aca="true" t="shared" si="76" ref="AA63:AA71">Z63/Y63*100</f>
        <v>491.0116086235489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77" ref="AK63:AK71">AB63+AE63+AH63</f>
        <v>0</v>
      </c>
      <c r="AL63" s="62">
        <f aca="true" t="shared" si="78" ref="AL63:AL71">AC63+AF63+AI63</f>
        <v>0</v>
      </c>
      <c r="AM63" s="58" t="e">
        <f aca="true" t="shared" si="79" ref="AM63:AM71">AL63/AK63*100</f>
        <v>#DIV/0!</v>
      </c>
      <c r="AN63" s="61"/>
      <c r="AO63" s="61"/>
      <c r="AP63" s="61"/>
      <c r="AQ63" s="61"/>
      <c r="AR63" s="61"/>
      <c r="AS63" s="61"/>
      <c r="AT63" s="94">
        <f t="shared" si="22"/>
        <v>4214.1</v>
      </c>
      <c r="AU63" s="94">
        <f t="shared" si="23"/>
        <v>4937.200000000001</v>
      </c>
      <c r="AV63" s="58">
        <f aca="true" t="shared" si="80" ref="AV63:AV71">AU63/AT63*100</f>
        <v>117.15906124676681</v>
      </c>
      <c r="AW63" s="62">
        <f aca="true" t="shared" si="81" ref="AW63:AW71">AT63-AU63</f>
        <v>-723.1000000000004</v>
      </c>
      <c r="AX63" s="63">
        <f t="shared" si="55"/>
        <v>4022.5999999999985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3748.7</v>
      </c>
      <c r="D64" s="61">
        <v>1083.1</v>
      </c>
      <c r="E64" s="61">
        <v>800.1</v>
      </c>
      <c r="F64" s="59">
        <f aca="true" t="shared" si="82" ref="F64:F71">E64/D64*100</f>
        <v>73.87129535592281</v>
      </c>
      <c r="G64" s="61">
        <v>1128.3</v>
      </c>
      <c r="H64" s="61">
        <v>850.8</v>
      </c>
      <c r="I64" s="59">
        <f aca="true" t="shared" si="83" ref="I64:I72">H64/G64*100</f>
        <v>75.4054772666844</v>
      </c>
      <c r="J64" s="61">
        <v>925.3</v>
      </c>
      <c r="K64" s="61">
        <v>880.3</v>
      </c>
      <c r="L64" s="58">
        <f t="shared" si="71"/>
        <v>95.1367124175943</v>
      </c>
      <c r="M64" s="62">
        <f t="shared" si="51"/>
        <v>3136.7</v>
      </c>
      <c r="N64" s="62">
        <f t="shared" si="52"/>
        <v>2531.2</v>
      </c>
      <c r="O64" s="58">
        <f t="shared" si="72"/>
        <v>80.696273153314</v>
      </c>
      <c r="P64" s="61">
        <v>282.4</v>
      </c>
      <c r="Q64" s="61">
        <v>671.2</v>
      </c>
      <c r="R64" s="58">
        <f t="shared" si="73"/>
        <v>237.67705382436267</v>
      </c>
      <c r="S64" s="61"/>
      <c r="T64" s="61">
        <v>352</v>
      </c>
      <c r="U64" s="58" t="e">
        <f t="shared" si="74"/>
        <v>#DIV/0!</v>
      </c>
      <c r="V64" s="61"/>
      <c r="W64" s="61">
        <v>145.5</v>
      </c>
      <c r="X64" s="58" t="e">
        <f t="shared" si="75"/>
        <v>#DIV/0!</v>
      </c>
      <c r="Y64" s="62">
        <f t="shared" si="53"/>
        <v>282.4</v>
      </c>
      <c r="Z64" s="62">
        <f t="shared" si="54"/>
        <v>1168.7</v>
      </c>
      <c r="AA64" s="58">
        <f t="shared" si="76"/>
        <v>413.8456090651559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77"/>
        <v>0</v>
      </c>
      <c r="AL64" s="62">
        <f t="shared" si="78"/>
        <v>0</v>
      </c>
      <c r="AM64" s="58" t="e">
        <f t="shared" si="79"/>
        <v>#DIV/0!</v>
      </c>
      <c r="AN64" s="61"/>
      <c r="AO64" s="61"/>
      <c r="AP64" s="61"/>
      <c r="AQ64" s="61"/>
      <c r="AR64" s="61"/>
      <c r="AS64" s="61"/>
      <c r="AT64" s="94">
        <f t="shared" si="22"/>
        <v>3419.1</v>
      </c>
      <c r="AU64" s="94">
        <f t="shared" si="23"/>
        <v>3699.8999999999996</v>
      </c>
      <c r="AV64" s="58">
        <f t="shared" si="80"/>
        <v>108.2126875493551</v>
      </c>
      <c r="AW64" s="62">
        <f t="shared" si="81"/>
        <v>-280.7999999999997</v>
      </c>
      <c r="AX64" s="63">
        <f t="shared" si="55"/>
        <v>3467.8999999999996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82"/>
        <v>#DIV/0!</v>
      </c>
      <c r="G65" s="61"/>
      <c r="H65" s="61"/>
      <c r="I65" s="59" t="e">
        <f t="shared" si="83"/>
        <v>#DIV/0!</v>
      </c>
      <c r="J65" s="61"/>
      <c r="K65" s="61"/>
      <c r="L65" s="58" t="e">
        <f t="shared" si="71"/>
        <v>#DIV/0!</v>
      </c>
      <c r="M65" s="62">
        <f t="shared" si="51"/>
        <v>0</v>
      </c>
      <c r="N65" s="62">
        <f t="shared" si="52"/>
        <v>0</v>
      </c>
      <c r="O65" s="58" t="e">
        <f t="shared" si="72"/>
        <v>#DIV/0!</v>
      </c>
      <c r="P65" s="61"/>
      <c r="Q65" s="61"/>
      <c r="R65" s="58" t="e">
        <f t="shared" si="73"/>
        <v>#DIV/0!</v>
      </c>
      <c r="S65" s="61"/>
      <c r="T65" s="61"/>
      <c r="U65" s="58" t="e">
        <f t="shared" si="74"/>
        <v>#DIV/0!</v>
      </c>
      <c r="V65" s="61"/>
      <c r="W65" s="61"/>
      <c r="X65" s="58" t="e">
        <f t="shared" si="75"/>
        <v>#DIV/0!</v>
      </c>
      <c r="Y65" s="62">
        <f t="shared" si="53"/>
        <v>0</v>
      </c>
      <c r="Z65" s="62">
        <f t="shared" si="54"/>
        <v>0</v>
      </c>
      <c r="AA65" s="58" t="e">
        <f t="shared" si="76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77"/>
        <v>0</v>
      </c>
      <c r="AL65" s="62">
        <f t="shared" si="78"/>
        <v>0</v>
      </c>
      <c r="AM65" s="58" t="e">
        <f t="shared" si="79"/>
        <v>#DIV/0!</v>
      </c>
      <c r="AN65" s="61"/>
      <c r="AO65" s="61"/>
      <c r="AP65" s="61"/>
      <c r="AQ65" s="61"/>
      <c r="AR65" s="61"/>
      <c r="AS65" s="61"/>
      <c r="AT65" s="94">
        <f t="shared" si="22"/>
        <v>0</v>
      </c>
      <c r="AU65" s="94">
        <f t="shared" si="23"/>
        <v>0</v>
      </c>
      <c r="AV65" s="58" t="e">
        <f t="shared" si="80"/>
        <v>#DIV/0!</v>
      </c>
      <c r="AW65" s="62">
        <f t="shared" si="81"/>
        <v>0</v>
      </c>
      <c r="AX65" s="63">
        <f t="shared" si="5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82"/>
        <v>#DIV/0!</v>
      </c>
      <c r="G66" s="61"/>
      <c r="H66" s="61"/>
      <c r="I66" s="59" t="e">
        <f t="shared" si="83"/>
        <v>#DIV/0!</v>
      </c>
      <c r="J66" s="61"/>
      <c r="K66" s="61"/>
      <c r="L66" s="58" t="e">
        <f t="shared" si="71"/>
        <v>#DIV/0!</v>
      </c>
      <c r="M66" s="62">
        <f t="shared" si="51"/>
        <v>0</v>
      </c>
      <c r="N66" s="62">
        <f t="shared" si="52"/>
        <v>0</v>
      </c>
      <c r="O66" s="58" t="e">
        <f t="shared" si="72"/>
        <v>#DIV/0!</v>
      </c>
      <c r="P66" s="61"/>
      <c r="Q66" s="61"/>
      <c r="R66" s="58" t="e">
        <f t="shared" si="73"/>
        <v>#DIV/0!</v>
      </c>
      <c r="S66" s="61"/>
      <c r="T66" s="61"/>
      <c r="U66" s="58" t="e">
        <f t="shared" si="74"/>
        <v>#DIV/0!</v>
      </c>
      <c r="V66" s="61"/>
      <c r="W66" s="61"/>
      <c r="X66" s="58" t="e">
        <f t="shared" si="75"/>
        <v>#DIV/0!</v>
      </c>
      <c r="Y66" s="62">
        <f t="shared" si="53"/>
        <v>0</v>
      </c>
      <c r="Z66" s="62">
        <f t="shared" si="54"/>
        <v>0</v>
      </c>
      <c r="AA66" s="58" t="e">
        <f t="shared" si="76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77"/>
        <v>0</v>
      </c>
      <c r="AL66" s="62">
        <f t="shared" si="78"/>
        <v>0</v>
      </c>
      <c r="AM66" s="58" t="e">
        <f t="shared" si="79"/>
        <v>#DIV/0!</v>
      </c>
      <c r="AN66" s="61"/>
      <c r="AO66" s="61"/>
      <c r="AP66" s="61"/>
      <c r="AQ66" s="61"/>
      <c r="AR66" s="61"/>
      <c r="AS66" s="61"/>
      <c r="AT66" s="94">
        <f t="shared" si="22"/>
        <v>0</v>
      </c>
      <c r="AU66" s="94">
        <f t="shared" si="23"/>
        <v>0</v>
      </c>
      <c r="AV66" s="58" t="e">
        <f t="shared" si="80"/>
        <v>#DIV/0!</v>
      </c>
      <c r="AW66" s="62">
        <f t="shared" si="81"/>
        <v>0</v>
      </c>
      <c r="AX66" s="63">
        <f t="shared" si="5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17090.7</v>
      </c>
      <c r="D67" s="61">
        <v>6695.8</v>
      </c>
      <c r="E67" s="61">
        <v>4758.8</v>
      </c>
      <c r="F67" s="59">
        <f t="shared" si="82"/>
        <v>71.07141790376058</v>
      </c>
      <c r="G67" s="61">
        <v>6202.5</v>
      </c>
      <c r="H67" s="61">
        <v>5515.3</v>
      </c>
      <c r="I67" s="59">
        <f t="shared" si="83"/>
        <v>88.92059653365578</v>
      </c>
      <c r="J67" s="61">
        <v>5421.3</v>
      </c>
      <c r="K67" s="61">
        <v>5658.2</v>
      </c>
      <c r="L67" s="58">
        <f t="shared" si="71"/>
        <v>104.36980060133179</v>
      </c>
      <c r="M67" s="62">
        <f t="shared" si="51"/>
        <v>18319.6</v>
      </c>
      <c r="N67" s="62">
        <f t="shared" si="52"/>
        <v>15932.3</v>
      </c>
      <c r="O67" s="58">
        <f t="shared" si="72"/>
        <v>86.96860193454006</v>
      </c>
      <c r="P67" s="61">
        <v>3706</v>
      </c>
      <c r="Q67" s="61">
        <v>5640</v>
      </c>
      <c r="R67" s="58">
        <f t="shared" si="73"/>
        <v>152.18564490016192</v>
      </c>
      <c r="S67" s="61">
        <v>411.2</v>
      </c>
      <c r="T67" s="61">
        <v>2855.6</v>
      </c>
      <c r="U67" s="58">
        <f t="shared" si="74"/>
        <v>694.455252918288</v>
      </c>
      <c r="V67" s="61">
        <v>289.6</v>
      </c>
      <c r="W67" s="61">
        <v>1074.6</v>
      </c>
      <c r="X67" s="58">
        <f t="shared" si="75"/>
        <v>371.0635359116022</v>
      </c>
      <c r="Y67" s="62">
        <f t="shared" si="53"/>
        <v>4406.8</v>
      </c>
      <c r="Z67" s="62">
        <f t="shared" si="54"/>
        <v>9570.2</v>
      </c>
      <c r="AA67" s="58">
        <f t="shared" si="76"/>
        <v>217.16892075882726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77"/>
        <v>0</v>
      </c>
      <c r="AL67" s="62">
        <f t="shared" si="78"/>
        <v>0</v>
      </c>
      <c r="AM67" s="58" t="e">
        <f t="shared" si="79"/>
        <v>#DIV/0!</v>
      </c>
      <c r="AN67" s="61"/>
      <c r="AO67" s="61"/>
      <c r="AP67" s="61"/>
      <c r="AQ67" s="61"/>
      <c r="AR67" s="61"/>
      <c r="AS67" s="61"/>
      <c r="AT67" s="94">
        <f t="shared" si="22"/>
        <v>22726.399999999998</v>
      </c>
      <c r="AU67" s="94">
        <f t="shared" si="23"/>
        <v>25502.5</v>
      </c>
      <c r="AV67" s="58">
        <f t="shared" si="80"/>
        <v>112.2153090678682</v>
      </c>
      <c r="AW67" s="62">
        <f t="shared" si="81"/>
        <v>-2776.100000000002</v>
      </c>
      <c r="AX67" s="63">
        <f t="shared" si="55"/>
        <v>14314.599999999999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82"/>
        <v>#DIV/0!</v>
      </c>
      <c r="G68" s="61"/>
      <c r="H68" s="61"/>
      <c r="I68" s="59" t="e">
        <f t="shared" si="83"/>
        <v>#DIV/0!</v>
      </c>
      <c r="J68" s="61"/>
      <c r="K68" s="61"/>
      <c r="L68" s="58" t="e">
        <f t="shared" si="71"/>
        <v>#DIV/0!</v>
      </c>
      <c r="M68" s="62">
        <f t="shared" si="51"/>
        <v>0</v>
      </c>
      <c r="N68" s="62">
        <f t="shared" si="52"/>
        <v>0</v>
      </c>
      <c r="O68" s="58" t="e">
        <f t="shared" si="72"/>
        <v>#DIV/0!</v>
      </c>
      <c r="P68" s="61"/>
      <c r="Q68" s="61"/>
      <c r="R68" s="58" t="e">
        <f t="shared" si="73"/>
        <v>#DIV/0!</v>
      </c>
      <c r="S68" s="61"/>
      <c r="T68" s="61"/>
      <c r="U68" s="58" t="e">
        <f t="shared" si="74"/>
        <v>#DIV/0!</v>
      </c>
      <c r="V68" s="61"/>
      <c r="W68" s="61"/>
      <c r="X68" s="58" t="e">
        <f t="shared" si="75"/>
        <v>#DIV/0!</v>
      </c>
      <c r="Y68" s="62">
        <f t="shared" si="53"/>
        <v>0</v>
      </c>
      <c r="Z68" s="62">
        <f t="shared" si="54"/>
        <v>0</v>
      </c>
      <c r="AA68" s="58" t="e">
        <f t="shared" si="76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77"/>
        <v>0</v>
      </c>
      <c r="AL68" s="62">
        <f t="shared" si="78"/>
        <v>0</v>
      </c>
      <c r="AM68" s="58" t="e">
        <f t="shared" si="79"/>
        <v>#DIV/0!</v>
      </c>
      <c r="AN68" s="61"/>
      <c r="AO68" s="61"/>
      <c r="AP68" s="61"/>
      <c r="AQ68" s="61"/>
      <c r="AR68" s="61"/>
      <c r="AS68" s="61"/>
      <c r="AT68" s="94">
        <f t="shared" si="22"/>
        <v>0</v>
      </c>
      <c r="AU68" s="94">
        <f t="shared" si="23"/>
        <v>0</v>
      </c>
      <c r="AV68" s="58" t="e">
        <f t="shared" si="80"/>
        <v>#DIV/0!</v>
      </c>
      <c r="AW68" s="62">
        <f t="shared" si="81"/>
        <v>0</v>
      </c>
      <c r="AX68" s="63">
        <f t="shared" si="5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7096.5+4104</f>
        <v>11200.5</v>
      </c>
      <c r="D69" s="61">
        <v>3642.1</v>
      </c>
      <c r="E69" s="61">
        <f>29.3+2436.3</f>
        <v>2465.6000000000004</v>
      </c>
      <c r="F69" s="59">
        <f>E69/D69*100</f>
        <v>67.69720765492437</v>
      </c>
      <c r="G69" s="61">
        <v>4110</v>
      </c>
      <c r="H69" s="61">
        <f>21.8+2732</f>
        <v>2753.8</v>
      </c>
      <c r="I69" s="59">
        <f t="shared" si="83"/>
        <v>67.00243309002434</v>
      </c>
      <c r="J69" s="61">
        <v>3001.1</v>
      </c>
      <c r="K69" s="61">
        <f>47.5+2776.9</f>
        <v>2824.4</v>
      </c>
      <c r="L69" s="58">
        <f>K69/J69*100</f>
        <v>94.11215887507915</v>
      </c>
      <c r="M69" s="62">
        <f t="shared" si="51"/>
        <v>10753.2</v>
      </c>
      <c r="N69" s="62">
        <f t="shared" si="52"/>
        <v>8043.800000000001</v>
      </c>
      <c r="O69" s="58">
        <f>N69/M69*100</f>
        <v>74.80377934010342</v>
      </c>
      <c r="P69" s="61">
        <v>-52.2</v>
      </c>
      <c r="Q69" s="61">
        <f>1239.1+18.5</f>
        <v>1257.6</v>
      </c>
      <c r="R69" s="58">
        <f>Q69/P69*100</f>
        <v>-2409.1954022988502</v>
      </c>
      <c r="S69" s="61"/>
      <c r="T69" s="61">
        <f>28.3+573.4</f>
        <v>601.6999999999999</v>
      </c>
      <c r="U69" s="58" t="e">
        <f>T69/S69*100</f>
        <v>#DIV/0!</v>
      </c>
      <c r="V69" s="61"/>
      <c r="W69" s="61">
        <f>742.9+22.5</f>
        <v>765.4</v>
      </c>
      <c r="X69" s="58" t="e">
        <f>W69/V69*100</f>
        <v>#DIV/0!</v>
      </c>
      <c r="Y69" s="62">
        <f t="shared" si="53"/>
        <v>-52.2</v>
      </c>
      <c r="Z69" s="62">
        <f t="shared" si="54"/>
        <v>2624.7</v>
      </c>
      <c r="AA69" s="58">
        <f>Z69/Y69*100</f>
        <v>-5028.160919540229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>AB69+AE69+AH69</f>
        <v>0</v>
      </c>
      <c r="AL69" s="62">
        <f>AC69+AF69+AI69</f>
        <v>0</v>
      </c>
      <c r="AM69" s="58" t="e">
        <f>AL69/AK69*100</f>
        <v>#DIV/0!</v>
      </c>
      <c r="AN69" s="61"/>
      <c r="AO69" s="61"/>
      <c r="AP69" s="61"/>
      <c r="AQ69" s="61"/>
      <c r="AR69" s="61"/>
      <c r="AS69" s="61"/>
      <c r="AT69" s="94">
        <f t="shared" si="22"/>
        <v>10701</v>
      </c>
      <c r="AU69" s="94">
        <f t="shared" si="23"/>
        <v>10668.5</v>
      </c>
      <c r="AV69" s="58">
        <f>AU69/AT69*100</f>
        <v>99.69629006634894</v>
      </c>
      <c r="AW69" s="62">
        <f>AT69-AU69</f>
        <v>32.5</v>
      </c>
      <c r="AX69" s="63">
        <f t="shared" si="55"/>
        <v>11233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168</v>
      </c>
      <c r="C70" s="60">
        <f>669.9+1408.4</f>
        <v>2078.3</v>
      </c>
      <c r="D70" s="61">
        <v>882.1</v>
      </c>
      <c r="E70" s="61">
        <f>18.6+614.2</f>
        <v>632.8000000000001</v>
      </c>
      <c r="F70" s="59">
        <f>E70/D70*100</f>
        <v>71.73789819748329</v>
      </c>
      <c r="G70" s="61">
        <v>956</v>
      </c>
      <c r="H70" s="61">
        <f>19.8+644.8</f>
        <v>664.5999999999999</v>
      </c>
      <c r="I70" s="59">
        <f>H70/G70*100</f>
        <v>69.51882845188283</v>
      </c>
      <c r="J70" s="61">
        <v>750.7</v>
      </c>
      <c r="K70" s="61">
        <f>767.4+17.7</f>
        <v>785.1</v>
      </c>
      <c r="L70" s="58">
        <f>K70/J70*100</f>
        <v>104.58238976954841</v>
      </c>
      <c r="M70" s="62">
        <f>D70+G70+J70</f>
        <v>2588.8</v>
      </c>
      <c r="N70" s="62">
        <f>E70+H70+K70</f>
        <v>2082.5</v>
      </c>
      <c r="O70" s="58">
        <f>N70/M70*100</f>
        <v>80.44267614338689</v>
      </c>
      <c r="P70" s="61">
        <v>216.6</v>
      </c>
      <c r="Q70" s="61">
        <f>562.7+19.1</f>
        <v>581.8000000000001</v>
      </c>
      <c r="R70" s="58">
        <f>Q70/P70*100</f>
        <v>268.60572483841185</v>
      </c>
      <c r="S70" s="61"/>
      <c r="T70" s="61">
        <f>273.4+6.8</f>
        <v>280.2</v>
      </c>
      <c r="U70" s="58" t="e">
        <f>T70/S70*100</f>
        <v>#DIV/0!</v>
      </c>
      <c r="V70" s="61"/>
      <c r="W70" s="61">
        <f>118+3.1</f>
        <v>121.1</v>
      </c>
      <c r="X70" s="58" t="e">
        <f>W70/V70*100</f>
        <v>#DIV/0!</v>
      </c>
      <c r="Y70" s="62">
        <f>P70+S70+V70</f>
        <v>216.6</v>
      </c>
      <c r="Z70" s="62">
        <f>Q70+T70+W70</f>
        <v>983.1</v>
      </c>
      <c r="AA70" s="58">
        <f>Z70/Y70*100</f>
        <v>453.8781163434903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2805.4</v>
      </c>
      <c r="AU70" s="94">
        <f>N70+Z70+AL70+AO70+AQ70+AS70</f>
        <v>3065.6</v>
      </c>
      <c r="AV70" s="58">
        <f>AU70/AT70*100</f>
        <v>109.27496970129036</v>
      </c>
      <c r="AW70" s="62">
        <f>AT70-AU70</f>
        <v>-260.1999999999998</v>
      </c>
      <c r="AX70" s="63">
        <f>C70+AT70-AU70</f>
        <v>1818.1000000000008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29830.2</v>
      </c>
      <c r="D71" s="61">
        <v>15217.4</v>
      </c>
      <c r="E71" s="61">
        <v>12892.1</v>
      </c>
      <c r="F71" s="59">
        <f t="shared" si="82"/>
        <v>84.71946587459094</v>
      </c>
      <c r="G71" s="61">
        <v>15192.1</v>
      </c>
      <c r="H71" s="61">
        <v>12541.5</v>
      </c>
      <c r="I71" s="59">
        <f t="shared" si="83"/>
        <v>82.55277413919076</v>
      </c>
      <c r="J71" s="61">
        <v>12801.2</v>
      </c>
      <c r="K71" s="61">
        <v>13852.3</v>
      </c>
      <c r="L71" s="58">
        <f t="shared" si="71"/>
        <v>108.21094897353372</v>
      </c>
      <c r="M71" s="62">
        <f t="shared" si="51"/>
        <v>43210.7</v>
      </c>
      <c r="N71" s="62">
        <f t="shared" si="52"/>
        <v>39285.899999999994</v>
      </c>
      <c r="O71" s="58">
        <f t="shared" si="72"/>
        <v>90.91706452337036</v>
      </c>
      <c r="P71" s="61">
        <v>4379.8</v>
      </c>
      <c r="Q71" s="61">
        <v>11225.8</v>
      </c>
      <c r="R71" s="58">
        <f t="shared" si="73"/>
        <v>256.3085072377734</v>
      </c>
      <c r="S71" s="61">
        <v>1525</v>
      </c>
      <c r="T71" s="61">
        <v>5072.3</v>
      </c>
      <c r="U71" s="58">
        <f t="shared" si="74"/>
        <v>332.60983606557375</v>
      </c>
      <c r="V71" s="61">
        <v>1525</v>
      </c>
      <c r="W71" s="61">
        <v>2963.6</v>
      </c>
      <c r="X71" s="58">
        <f t="shared" si="75"/>
        <v>194.33442622950818</v>
      </c>
      <c r="Y71" s="62">
        <f t="shared" si="53"/>
        <v>7429.8</v>
      </c>
      <c r="Z71" s="62">
        <f t="shared" si="54"/>
        <v>19261.699999999997</v>
      </c>
      <c r="AA71" s="58">
        <f t="shared" si="76"/>
        <v>259.2492395488438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77"/>
        <v>0</v>
      </c>
      <c r="AL71" s="62">
        <f t="shared" si="78"/>
        <v>0</v>
      </c>
      <c r="AM71" s="58" t="e">
        <f t="shared" si="79"/>
        <v>#DIV/0!</v>
      </c>
      <c r="AN71" s="61"/>
      <c r="AO71" s="61"/>
      <c r="AP71" s="61"/>
      <c r="AQ71" s="61"/>
      <c r="AR71" s="61"/>
      <c r="AS71" s="61"/>
      <c r="AT71" s="94">
        <f t="shared" si="22"/>
        <v>50640.5</v>
      </c>
      <c r="AU71" s="94">
        <f t="shared" si="23"/>
        <v>58547.59999999999</v>
      </c>
      <c r="AV71" s="58">
        <f t="shared" si="80"/>
        <v>115.6141823244241</v>
      </c>
      <c r="AW71" s="62">
        <f t="shared" si="81"/>
        <v>-7907.099999999991</v>
      </c>
      <c r="AX71" s="63">
        <f t="shared" si="55"/>
        <v>21923.100000000006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3667172.1</v>
      </c>
      <c r="D72" s="75">
        <f>SUM(D73:D75)</f>
        <v>1011576.2</v>
      </c>
      <c r="E72" s="75">
        <f>SUM(E73:E75)</f>
        <v>600672.8</v>
      </c>
      <c r="F72" s="59">
        <f>E72/D72*100</f>
        <v>59.37988655723613</v>
      </c>
      <c r="G72" s="75">
        <f>SUM(G73:G75)</f>
        <v>874095.9</v>
      </c>
      <c r="H72" s="75">
        <f>SUM(H73:H75)</f>
        <v>658411.4</v>
      </c>
      <c r="I72" s="59">
        <f t="shared" si="83"/>
        <v>75.32484707913628</v>
      </c>
      <c r="J72" s="75">
        <f>SUM(J73:J75)</f>
        <v>935615.9</v>
      </c>
      <c r="K72" s="75">
        <f>SUM(K73:K75)</f>
        <v>757518.5</v>
      </c>
      <c r="L72" s="58">
        <f t="shared" si="59"/>
        <v>80.964688607793</v>
      </c>
      <c r="M72" s="58">
        <f t="shared" si="51"/>
        <v>2821288</v>
      </c>
      <c r="N72" s="58">
        <f t="shared" si="52"/>
        <v>2016602.7000000002</v>
      </c>
      <c r="O72" s="58">
        <f t="shared" si="7"/>
        <v>71.47808731331222</v>
      </c>
      <c r="P72" s="75">
        <f aca="true" t="shared" si="84" ref="P72:W72">SUM(P73:P75)</f>
        <v>524810.9</v>
      </c>
      <c r="Q72" s="75">
        <f t="shared" si="84"/>
        <v>693990.2</v>
      </c>
      <c r="R72" s="75" t="e">
        <f t="shared" si="84"/>
        <v>#DIV/0!</v>
      </c>
      <c r="S72" s="75">
        <f t="shared" si="84"/>
        <v>96307.1</v>
      </c>
      <c r="T72" s="75">
        <f t="shared" si="84"/>
        <v>422190</v>
      </c>
      <c r="U72" s="75" t="e">
        <f t="shared" si="84"/>
        <v>#DIV/0!</v>
      </c>
      <c r="V72" s="75">
        <f t="shared" si="84"/>
        <v>62136.6</v>
      </c>
      <c r="W72" s="75">
        <f t="shared" si="84"/>
        <v>245867.3</v>
      </c>
      <c r="X72" s="58">
        <f t="shared" si="61"/>
        <v>395.6883704612097</v>
      </c>
      <c r="Y72" s="58">
        <f t="shared" si="53"/>
        <v>683254.6</v>
      </c>
      <c r="Z72" s="58">
        <f t="shared" si="54"/>
        <v>1362047.5</v>
      </c>
      <c r="AA72" s="58">
        <f t="shared" si="67"/>
        <v>199.3469930535411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>AI72/AH72*100</f>
        <v>#DIV/0!</v>
      </c>
      <c r="AK72" s="58">
        <f aca="true" t="shared" si="85" ref="AK72:AL75">AB72+AE72+AH72</f>
        <v>0</v>
      </c>
      <c r="AL72" s="58">
        <f t="shared" si="85"/>
        <v>0</v>
      </c>
      <c r="AM72" s="58" t="e">
        <f t="shared" si="62"/>
        <v>#DIV/0!</v>
      </c>
      <c r="AN72" s="75">
        <f aca="true" t="shared" si="86" ref="AN72:AS72">SUM(AN73:AN75)</f>
        <v>0</v>
      </c>
      <c r="AO72" s="75">
        <f t="shared" si="86"/>
        <v>0</v>
      </c>
      <c r="AP72" s="75">
        <f t="shared" si="86"/>
        <v>0</v>
      </c>
      <c r="AQ72" s="75">
        <f t="shared" si="86"/>
        <v>0</v>
      </c>
      <c r="AR72" s="75">
        <f t="shared" si="86"/>
        <v>0</v>
      </c>
      <c r="AS72" s="75">
        <f t="shared" si="86"/>
        <v>0</v>
      </c>
      <c r="AT72" s="57">
        <f t="shared" si="22"/>
        <v>3504542.6</v>
      </c>
      <c r="AU72" s="57">
        <f t="shared" si="23"/>
        <v>3378650.2</v>
      </c>
      <c r="AV72" s="58">
        <f t="shared" si="17"/>
        <v>96.40773663302025</v>
      </c>
      <c r="AW72" s="79">
        <f>SUM(AW73:AW75)</f>
        <v>125892.4</v>
      </c>
      <c r="AX72" s="79">
        <f>SUM(AX73:AX75)</f>
        <v>3793064.5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3577425+63695</f>
        <v>3641120</v>
      </c>
      <c r="D73" s="61">
        <f>988676+6767</f>
        <v>995443</v>
      </c>
      <c r="E73" s="61">
        <v>590956</v>
      </c>
      <c r="F73" s="59">
        <f>E73/D73*100</f>
        <v>59.366131461068086</v>
      </c>
      <c r="G73" s="61">
        <f>853446+6122</f>
        <v>859568</v>
      </c>
      <c r="H73" s="61">
        <f>645231+1800</f>
        <v>647031</v>
      </c>
      <c r="I73" s="59">
        <f>H73/G73*100</f>
        <v>75.27397483387004</v>
      </c>
      <c r="J73" s="61">
        <f>917018+6557</f>
        <v>923575</v>
      </c>
      <c r="K73" s="61">
        <f>743265+2183</f>
        <v>745448</v>
      </c>
      <c r="L73" s="58">
        <f t="shared" si="59"/>
        <v>80.71331510705681</v>
      </c>
      <c r="M73" s="62">
        <f t="shared" si="51"/>
        <v>2778586</v>
      </c>
      <c r="N73" s="62">
        <f t="shared" si="52"/>
        <v>1983435</v>
      </c>
      <c r="O73" s="58">
        <f t="shared" si="7"/>
        <v>71.38289043419927</v>
      </c>
      <c r="P73" s="61">
        <f>515505+4164</f>
        <v>519669</v>
      </c>
      <c r="Q73" s="61">
        <f>678682+5247</f>
        <v>683929</v>
      </c>
      <c r="R73" s="58">
        <f>Q73/P73*100</f>
        <v>131.60858161637503</v>
      </c>
      <c r="S73" s="61">
        <f>93637+630</f>
        <v>94267</v>
      </c>
      <c r="T73" s="61">
        <f>416857+50</f>
        <v>416907</v>
      </c>
      <c r="U73" s="58">
        <f>T73/S73*100</f>
        <v>442.2618731899816</v>
      </c>
      <c r="V73" s="61">
        <f>59434+379</f>
        <v>59813</v>
      </c>
      <c r="W73" s="61">
        <f>241961+476</f>
        <v>242437</v>
      </c>
      <c r="X73" s="58">
        <f>W73/V73*100</f>
        <v>405.3249293631819</v>
      </c>
      <c r="Y73" s="62">
        <f t="shared" si="53"/>
        <v>673749</v>
      </c>
      <c r="Z73" s="62">
        <f t="shared" si="54"/>
        <v>1343273</v>
      </c>
      <c r="AA73" s="58">
        <f t="shared" si="67"/>
        <v>199.37291187074118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t="shared" si="85"/>
        <v>0</v>
      </c>
      <c r="AL73" s="62">
        <f t="shared" si="85"/>
        <v>0</v>
      </c>
      <c r="AM73" s="58" t="e">
        <f t="shared" si="62"/>
        <v>#DIV/0!</v>
      </c>
      <c r="AN73" s="61"/>
      <c r="AO73" s="61"/>
      <c r="AP73" s="61"/>
      <c r="AQ73" s="61"/>
      <c r="AR73" s="61"/>
      <c r="AS73" s="61"/>
      <c r="AT73" s="94">
        <f t="shared" si="22"/>
        <v>3452335</v>
      </c>
      <c r="AU73" s="94">
        <f t="shared" si="23"/>
        <v>3326708</v>
      </c>
      <c r="AV73" s="58">
        <f t="shared" si="17"/>
        <v>96.36110053051051</v>
      </c>
      <c r="AW73" s="62">
        <f>AT73-AU73</f>
        <v>125627</v>
      </c>
      <c r="AX73" s="63">
        <f>C73+AT73-AU73</f>
        <v>3766747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 hidden="1">
      <c r="A74" s="34"/>
      <c r="B74" s="102" t="s">
        <v>134</v>
      </c>
      <c r="C74" s="60">
        <v>0</v>
      </c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>K74/J74*100</f>
        <v>#DIV/0!</v>
      </c>
      <c r="M74" s="62">
        <f t="shared" si="51"/>
        <v>0</v>
      </c>
      <c r="N74" s="62">
        <f t="shared" si="52"/>
        <v>0</v>
      </c>
      <c r="O74" s="58" t="e">
        <f>N74/M74*100</f>
        <v>#DIV/0!</v>
      </c>
      <c r="P74" s="61"/>
      <c r="Q74" s="61"/>
      <c r="R74" s="58" t="e">
        <f>Q74/P74*100</f>
        <v>#DIV/0!</v>
      </c>
      <c r="S74" s="61"/>
      <c r="T74" s="61"/>
      <c r="U74" s="58" t="e">
        <f>T74/S74*100</f>
        <v>#DIV/0!</v>
      </c>
      <c r="V74" s="61"/>
      <c r="W74" s="61"/>
      <c r="X74" s="58" t="e">
        <f>W74/V74*100</f>
        <v>#DIV/0!</v>
      </c>
      <c r="Y74" s="62">
        <f t="shared" si="53"/>
        <v>0</v>
      </c>
      <c r="Z74" s="62">
        <f t="shared" si="5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85"/>
        <v>0</v>
      </c>
      <c r="AL74" s="62">
        <f t="shared" si="85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>M74+Y74+AK74+AN74+AP74+AR74</f>
        <v>0</v>
      </c>
      <c r="AU74" s="94">
        <f>N74+Z74+AL74+AO74+AQ74+AS74</f>
        <v>0</v>
      </c>
      <c r="AV74" s="58" t="e">
        <f>AU74/AT74*100</f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26052.1</v>
      </c>
      <c r="D75" s="61">
        <v>16133.2</v>
      </c>
      <c r="E75" s="61">
        <v>9716.8</v>
      </c>
      <c r="F75" s="59">
        <f>E75/D75*100</f>
        <v>60.22859693055314</v>
      </c>
      <c r="G75" s="61">
        <v>14527.9</v>
      </c>
      <c r="H75" s="61">
        <v>11380.4</v>
      </c>
      <c r="I75" s="59">
        <f>H75/G75*100</f>
        <v>78.33479030004337</v>
      </c>
      <c r="J75" s="61">
        <v>12040.9</v>
      </c>
      <c r="K75" s="61">
        <v>12070.5</v>
      </c>
      <c r="L75" s="58">
        <f t="shared" si="59"/>
        <v>100.24582880017275</v>
      </c>
      <c r="M75" s="62">
        <f t="shared" si="51"/>
        <v>42702</v>
      </c>
      <c r="N75" s="62">
        <f t="shared" si="52"/>
        <v>33167.7</v>
      </c>
      <c r="O75" s="58">
        <f t="shared" si="7"/>
        <v>77.67247435717296</v>
      </c>
      <c r="P75" s="61">
        <v>5141.9</v>
      </c>
      <c r="Q75" s="61">
        <v>10061.2</v>
      </c>
      <c r="R75" s="58">
        <f>Q75/P75*100</f>
        <v>195.6708609657909</v>
      </c>
      <c r="S75" s="61">
        <v>2040.1</v>
      </c>
      <c r="T75" s="61">
        <v>5283</v>
      </c>
      <c r="U75" s="58">
        <f>T75/S75*100</f>
        <v>258.95789422087154</v>
      </c>
      <c r="V75" s="61">
        <v>2323.6</v>
      </c>
      <c r="W75" s="61">
        <v>3430.3</v>
      </c>
      <c r="X75" s="58">
        <f>W75/V75*100</f>
        <v>147.62867963504905</v>
      </c>
      <c r="Y75" s="62">
        <f t="shared" si="53"/>
        <v>9505.6</v>
      </c>
      <c r="Z75" s="62">
        <f t="shared" si="54"/>
        <v>18774.5</v>
      </c>
      <c r="AA75" s="58">
        <f t="shared" si="67"/>
        <v>197.50988890759132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85"/>
        <v>0</v>
      </c>
      <c r="AL75" s="62">
        <f t="shared" si="85"/>
        <v>0</v>
      </c>
      <c r="AM75" s="58" t="e">
        <f t="shared" si="62"/>
        <v>#DIV/0!</v>
      </c>
      <c r="AN75" s="61"/>
      <c r="AO75" s="61"/>
      <c r="AP75" s="61"/>
      <c r="AQ75" s="61"/>
      <c r="AR75" s="61"/>
      <c r="AS75" s="61"/>
      <c r="AT75" s="94">
        <f t="shared" si="22"/>
        <v>52207.6</v>
      </c>
      <c r="AU75" s="94">
        <f t="shared" si="23"/>
        <v>51942.2</v>
      </c>
      <c r="AV75" s="58">
        <f t="shared" si="17"/>
        <v>99.49164489461305</v>
      </c>
      <c r="AW75" s="62">
        <f>AT75-AU75</f>
        <v>265.40000000000146</v>
      </c>
      <c r="AX75" s="63">
        <f>C75+AT75-AU75</f>
        <v>26317.5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4131510.8</v>
      </c>
      <c r="D76" s="79">
        <f>D72+D7</f>
        <v>1169473.2</v>
      </c>
      <c r="E76" s="79">
        <f>E72+E7</f>
        <v>716874.6000000001</v>
      </c>
      <c r="F76" s="59">
        <f>E76/D76*100</f>
        <v>61.29893357111562</v>
      </c>
      <c r="G76" s="79">
        <f>G72+G7</f>
        <v>1032759.3999999999</v>
      </c>
      <c r="H76" s="79">
        <f>H72+H7</f>
        <v>777161.3</v>
      </c>
      <c r="I76" s="59">
        <f>H76/G76*100</f>
        <v>75.25095390078272</v>
      </c>
      <c r="J76" s="79">
        <f>J72+J7</f>
        <v>1068731.9</v>
      </c>
      <c r="K76" s="79">
        <f>K72+K7</f>
        <v>884126.5</v>
      </c>
      <c r="L76" s="58">
        <f t="shared" si="59"/>
        <v>82.72668758179671</v>
      </c>
      <c r="M76" s="79">
        <f>M72+M7</f>
        <v>3270964.5</v>
      </c>
      <c r="N76" s="79">
        <f>N72+N7</f>
        <v>2378162.4000000004</v>
      </c>
      <c r="O76" s="58">
        <f t="shared" si="7"/>
        <v>72.70523419009899</v>
      </c>
      <c r="P76" s="79">
        <f>P72+P7</f>
        <v>560066.6000000001</v>
      </c>
      <c r="Q76" s="79">
        <f>Q72+Q7</f>
        <v>798079.9</v>
      </c>
      <c r="R76" s="58">
        <f>Q76/P76*100</f>
        <v>142.49732085434124</v>
      </c>
      <c r="S76" s="79">
        <f>S72+S7</f>
        <v>98426.3</v>
      </c>
      <c r="T76" s="79">
        <f>T72+T7</f>
        <v>466597.8</v>
      </c>
      <c r="U76" s="58">
        <f>T76/S76*100</f>
        <v>474.05805155735817</v>
      </c>
      <c r="V76" s="79">
        <f>V72+V7</f>
        <v>64341.299999999996</v>
      </c>
      <c r="W76" s="79">
        <f>W72+W7</f>
        <v>267770.8</v>
      </c>
      <c r="X76" s="58">
        <f>W76/V76*100</f>
        <v>416.1725050628446</v>
      </c>
      <c r="Y76" s="79">
        <f>Y72+Y7</f>
        <v>722834.2</v>
      </c>
      <c r="Z76" s="79">
        <f>Z72+Z7</f>
        <v>1532448.5</v>
      </c>
      <c r="AA76" s="58">
        <f t="shared" si="67"/>
        <v>212.00553321909786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>AI76/AH76*100</f>
        <v>#DIV/0!</v>
      </c>
      <c r="AK76" s="79">
        <f>AK72+AK7</f>
        <v>0</v>
      </c>
      <c r="AL76" s="79">
        <f>AL72+AL7</f>
        <v>0</v>
      </c>
      <c r="AM76" s="58" t="e">
        <f t="shared" si="62"/>
        <v>#DIV/0!</v>
      </c>
      <c r="AN76" s="79">
        <f aca="true" t="shared" si="87" ref="AN76:AS76">AN72+AN7</f>
        <v>0</v>
      </c>
      <c r="AO76" s="79">
        <f t="shared" si="87"/>
        <v>0</v>
      </c>
      <c r="AP76" s="79">
        <f t="shared" si="87"/>
        <v>0</v>
      </c>
      <c r="AQ76" s="79">
        <f t="shared" si="87"/>
        <v>0</v>
      </c>
      <c r="AR76" s="79">
        <f t="shared" si="87"/>
        <v>0</v>
      </c>
      <c r="AS76" s="79">
        <f t="shared" si="87"/>
        <v>0</v>
      </c>
      <c r="AT76" s="57">
        <f t="shared" si="22"/>
        <v>3993798.7</v>
      </c>
      <c r="AU76" s="57">
        <f t="shared" si="23"/>
        <v>3910610.9000000004</v>
      </c>
      <c r="AV76" s="58">
        <f>AU76/AT76*100</f>
        <v>97.91707579052496</v>
      </c>
      <c r="AW76" s="79">
        <f>AW72+AW7</f>
        <v>83187.80000000002</v>
      </c>
      <c r="AX76" s="79">
        <f>AX72+AX7</f>
        <v>4214698.6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mergeCells count="21">
    <mergeCell ref="AH5:AJ5"/>
    <mergeCell ref="AX5:AX6"/>
    <mergeCell ref="AW5:AW6"/>
    <mergeCell ref="G5:I5"/>
    <mergeCell ref="B4:F4"/>
    <mergeCell ref="AP5:AQ5"/>
    <mergeCell ref="AE5:AG5"/>
    <mergeCell ref="AB5:AD5"/>
    <mergeCell ref="D5:F5"/>
    <mergeCell ref="AN5:AO5"/>
    <mergeCell ref="V5:X5"/>
    <mergeCell ref="J5:L5"/>
    <mergeCell ref="I1:AX1"/>
    <mergeCell ref="AT5:AV5"/>
    <mergeCell ref="M5:O5"/>
    <mergeCell ref="S5:U5"/>
    <mergeCell ref="P5:R5"/>
    <mergeCell ref="AR5:AS5"/>
    <mergeCell ref="B2:AX3"/>
    <mergeCell ref="AK5:AM5"/>
    <mergeCell ref="Y5:AA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"/>
  <sheetViews>
    <sheetView view="pageBreakPreview" zoomScale="70" zoomScaleNormal="50" zoomScaleSheetLayoutView="70" zoomScalePageLayoutView="0" workbookViewId="0" topLeftCell="A3">
      <pane xSplit="5" ySplit="4" topLeftCell="M7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3" sqref="A1:IV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5" t="s">
        <v>42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s="31" customFormat="1" ht="60" customHeight="1" hidden="1">
      <c r="A2" s="30"/>
      <c r="B2" s="122" t="s">
        <v>176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</row>
    <row r="3" spans="1:50" s="44" customFormat="1" ht="60" customHeight="1">
      <c r="A3" s="4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</row>
    <row r="4" spans="2:50" ht="35.25" customHeight="1">
      <c r="B4" s="127"/>
      <c r="C4" s="127"/>
      <c r="D4" s="127"/>
      <c r="E4" s="127"/>
      <c r="F4" s="12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6" t="s">
        <v>59</v>
      </c>
      <c r="E5" s="117"/>
      <c r="F5" s="118"/>
      <c r="G5" s="116" t="s">
        <v>60</v>
      </c>
      <c r="H5" s="117"/>
      <c r="I5" s="118"/>
      <c r="J5" s="112" t="s">
        <v>61</v>
      </c>
      <c r="K5" s="113"/>
      <c r="L5" s="114"/>
      <c r="M5" s="112" t="s">
        <v>72</v>
      </c>
      <c r="N5" s="113"/>
      <c r="O5" s="114"/>
      <c r="P5" s="112" t="s">
        <v>62</v>
      </c>
      <c r="Q5" s="113"/>
      <c r="R5" s="114"/>
      <c r="S5" s="119" t="s">
        <v>63</v>
      </c>
      <c r="T5" s="120"/>
      <c r="U5" s="121"/>
      <c r="V5" s="119" t="s">
        <v>64</v>
      </c>
      <c r="W5" s="120"/>
      <c r="X5" s="121"/>
      <c r="Y5" s="112" t="s">
        <v>73</v>
      </c>
      <c r="Z5" s="113"/>
      <c r="AA5" s="114"/>
      <c r="AB5" s="112" t="s">
        <v>65</v>
      </c>
      <c r="AC5" s="113"/>
      <c r="AD5" s="114"/>
      <c r="AE5" s="112" t="s">
        <v>66</v>
      </c>
      <c r="AF5" s="113"/>
      <c r="AG5" s="114"/>
      <c r="AH5" s="112" t="s">
        <v>67</v>
      </c>
      <c r="AI5" s="113"/>
      <c r="AJ5" s="114"/>
      <c r="AK5" s="112" t="s">
        <v>68</v>
      </c>
      <c r="AL5" s="113"/>
      <c r="AM5" s="114"/>
      <c r="AN5" s="112" t="s">
        <v>69</v>
      </c>
      <c r="AO5" s="114"/>
      <c r="AP5" s="112" t="s">
        <v>70</v>
      </c>
      <c r="AQ5" s="114"/>
      <c r="AR5" s="112" t="s">
        <v>71</v>
      </c>
      <c r="AS5" s="114"/>
      <c r="AT5" s="116" t="s">
        <v>130</v>
      </c>
      <c r="AU5" s="117"/>
      <c r="AV5" s="118"/>
      <c r="AW5" s="125" t="s">
        <v>172</v>
      </c>
      <c r="AX5" s="123" t="s">
        <v>173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26"/>
      <c r="AX6" s="124"/>
    </row>
    <row r="7" spans="1:61" s="9" customFormat="1" ht="34.5" customHeight="1">
      <c r="A7" s="8"/>
      <c r="B7" s="105" t="s">
        <v>74</v>
      </c>
      <c r="C7" s="58">
        <f>SUM(C8:C71)-C8-C14-C23-C30-C39-C45-C61</f>
        <v>51.70000000000001</v>
      </c>
      <c r="D7" s="58">
        <f aca="true" t="shared" si="0" ref="D7:AX7">SUM(D8:D71)-D8-D14-D23-D30-D39-D45-D61</f>
        <v>2.4</v>
      </c>
      <c r="E7" s="58">
        <f t="shared" si="0"/>
        <v>0</v>
      </c>
      <c r="F7" s="56">
        <f>E7/D7*100</f>
        <v>0</v>
      </c>
      <c r="G7" s="58">
        <f t="shared" si="0"/>
        <v>2.4</v>
      </c>
      <c r="H7" s="58">
        <f t="shared" si="0"/>
        <v>0.7</v>
      </c>
      <c r="I7" s="56">
        <f>H7/G7*100</f>
        <v>29.166666666666668</v>
      </c>
      <c r="J7" s="58">
        <f t="shared" si="0"/>
        <v>2.4</v>
      </c>
      <c r="K7" s="58">
        <f t="shared" si="0"/>
        <v>0.8</v>
      </c>
      <c r="L7" s="56">
        <f>K7/J7*100</f>
        <v>33.333333333333336</v>
      </c>
      <c r="M7" s="58">
        <f t="shared" si="0"/>
        <v>7.199999999999999</v>
      </c>
      <c r="N7" s="58">
        <f t="shared" si="0"/>
        <v>1.5</v>
      </c>
      <c r="O7" s="56">
        <f>N7/M7*100</f>
        <v>20.833333333333336</v>
      </c>
      <c r="P7" s="58">
        <f t="shared" si="0"/>
        <v>0.2</v>
      </c>
      <c r="Q7" s="58">
        <f t="shared" si="0"/>
        <v>2</v>
      </c>
      <c r="R7" s="56">
        <f>Q7/P7*100</f>
        <v>1000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0.2</v>
      </c>
      <c r="Z7" s="58">
        <f t="shared" si="0"/>
        <v>2</v>
      </c>
      <c r="AA7" s="56">
        <f>Z7/Y7*100</f>
        <v>1000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7.3999999999999995</v>
      </c>
      <c r="AU7" s="57">
        <f t="shared" si="1"/>
        <v>3.5</v>
      </c>
      <c r="AV7" s="56">
        <f>AU7/AT7*100</f>
        <v>47.297297297297305</v>
      </c>
      <c r="AW7" s="58">
        <f t="shared" si="0"/>
        <v>3.899999999999999</v>
      </c>
      <c r="AX7" s="58">
        <f t="shared" si="0"/>
        <v>55.59999999999999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0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0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/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0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18.6</v>
      </c>
      <c r="D45" s="75">
        <f>SUM(D46:D60)</f>
        <v>2.4</v>
      </c>
      <c r="E45" s="75">
        <f>SUM(E46:E60)</f>
        <v>0</v>
      </c>
      <c r="F45" s="59">
        <f t="shared" si="2"/>
        <v>0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2.4</v>
      </c>
      <c r="N45" s="58">
        <f t="shared" si="42"/>
        <v>0</v>
      </c>
      <c r="O45" s="58">
        <f t="shared" si="7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2.4</v>
      </c>
      <c r="AU45" s="57">
        <f t="shared" si="23"/>
        <v>0</v>
      </c>
      <c r="AV45" s="58">
        <f t="shared" si="36"/>
        <v>0</v>
      </c>
      <c r="AW45" s="58">
        <f t="shared" si="37"/>
        <v>2.4</v>
      </c>
      <c r="AX45" s="79">
        <f t="shared" si="45"/>
        <v>21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18.6</v>
      </c>
      <c r="D57" s="61">
        <v>2.4</v>
      </c>
      <c r="E57" s="61">
        <v>0</v>
      </c>
      <c r="F57" s="59">
        <f t="shared" si="51"/>
        <v>0</v>
      </c>
      <c r="G57" s="61">
        <v>2.4</v>
      </c>
      <c r="H57" s="61">
        <v>0.7</v>
      </c>
      <c r="I57" s="59">
        <f t="shared" si="52"/>
        <v>29.166666666666668</v>
      </c>
      <c r="J57" s="61">
        <v>2.4</v>
      </c>
      <c r="K57" s="61">
        <v>0.8</v>
      </c>
      <c r="L57" s="58">
        <f t="shared" si="49"/>
        <v>33.333333333333336</v>
      </c>
      <c r="M57" s="62">
        <f t="shared" si="41"/>
        <v>7.199999999999999</v>
      </c>
      <c r="N57" s="62">
        <f t="shared" si="42"/>
        <v>1.5</v>
      </c>
      <c r="O57" s="58">
        <f t="shared" si="7"/>
        <v>20.833333333333336</v>
      </c>
      <c r="P57" s="61">
        <v>0.2</v>
      </c>
      <c r="Q57" s="61">
        <v>2</v>
      </c>
      <c r="R57" s="58">
        <f t="shared" si="19"/>
        <v>1000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0.2</v>
      </c>
      <c r="Z57" s="62">
        <f t="shared" si="44"/>
        <v>2</v>
      </c>
      <c r="AA57" s="58">
        <f t="shared" si="12"/>
        <v>1000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7.3999999999999995</v>
      </c>
      <c r="AU57" s="94">
        <f t="shared" si="23"/>
        <v>3.5</v>
      </c>
      <c r="AV57" s="58">
        <f t="shared" si="17"/>
        <v>47.297297297297305</v>
      </c>
      <c r="AW57" s="62">
        <f t="shared" si="22"/>
        <v>3.8999999999999995</v>
      </c>
      <c r="AX57" s="63">
        <f t="shared" si="45"/>
        <v>22.5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33.1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33.1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>
        <v>0</v>
      </c>
      <c r="E70" s="61">
        <v>0</v>
      </c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33.1</v>
      </c>
      <c r="D71" s="61">
        <v>0</v>
      </c>
      <c r="E71" s="61">
        <v>0</v>
      </c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33.1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430</v>
      </c>
      <c r="D72" s="75">
        <f>SUM(D73:D75)</f>
        <v>-1</v>
      </c>
      <c r="E72" s="75">
        <f>SUM(E73:E75)</f>
        <v>-1</v>
      </c>
      <c r="F72" s="59">
        <f>E72/D72*100</f>
        <v>100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-1</v>
      </c>
      <c r="N72" s="58">
        <f t="shared" si="42"/>
        <v>-1</v>
      </c>
      <c r="O72" s="58">
        <f t="shared" si="7"/>
        <v>100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-1</v>
      </c>
      <c r="AU72" s="57">
        <f t="shared" si="23"/>
        <v>-1</v>
      </c>
      <c r="AV72" s="58">
        <f t="shared" si="17"/>
        <v>100</v>
      </c>
      <c r="AW72" s="79">
        <f>SUM(AW73:AW75)</f>
        <v>0</v>
      </c>
      <c r="AX72" s="79">
        <f>SUM(AX73:AX75)</f>
        <v>430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430</v>
      </c>
      <c r="D73" s="61">
        <v>-1</v>
      </c>
      <c r="E73" s="61">
        <v>-1</v>
      </c>
      <c r="F73" s="59">
        <f>E73/D73*100</f>
        <v>100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-1</v>
      </c>
      <c r="N73" s="62">
        <f t="shared" si="42"/>
        <v>-1</v>
      </c>
      <c r="O73" s="58">
        <f t="shared" si="7"/>
        <v>100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-1</v>
      </c>
      <c r="AU73" s="94">
        <f t="shared" si="23"/>
        <v>-1</v>
      </c>
      <c r="AV73" s="58">
        <f t="shared" si="17"/>
        <v>100</v>
      </c>
      <c r="AW73" s="62">
        <f>AT73-AU73</f>
        <v>0</v>
      </c>
      <c r="AX73" s="63">
        <f>C73+AT73-AU73</f>
        <v>430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481.7</v>
      </c>
      <c r="D76" s="79">
        <f>D72+D7</f>
        <v>1.4</v>
      </c>
      <c r="E76" s="79">
        <f>E72+E7</f>
        <v>-1</v>
      </c>
      <c r="F76" s="59">
        <f>E76/D76*100</f>
        <v>-71.42857142857143</v>
      </c>
      <c r="G76" s="79">
        <f>G72+G7</f>
        <v>2.4</v>
      </c>
      <c r="H76" s="79">
        <f>H72+H7</f>
        <v>0.7</v>
      </c>
      <c r="I76" s="59">
        <f>H76/G76*100</f>
        <v>29.166666666666668</v>
      </c>
      <c r="J76" s="79">
        <f>J72+J7</f>
        <v>2.4</v>
      </c>
      <c r="K76" s="79">
        <f>K72+K7</f>
        <v>0.8</v>
      </c>
      <c r="L76" s="58">
        <f t="shared" si="49"/>
        <v>33.333333333333336</v>
      </c>
      <c r="M76" s="79">
        <f>M72+M7</f>
        <v>6.199999999999999</v>
      </c>
      <c r="N76" s="79">
        <f>N72+N7</f>
        <v>0.5</v>
      </c>
      <c r="O76" s="58">
        <f t="shared" si="7"/>
        <v>8.06451612903226</v>
      </c>
      <c r="P76" s="79">
        <f>P72+P7</f>
        <v>0.2</v>
      </c>
      <c r="Q76" s="79">
        <f>Q72+Q7</f>
        <v>2</v>
      </c>
      <c r="R76" s="58">
        <f t="shared" si="19"/>
        <v>1000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0.2</v>
      </c>
      <c r="Z76" s="79">
        <f>Z72+Z7</f>
        <v>2</v>
      </c>
      <c r="AA76" s="58">
        <f>Z76/Y76*100</f>
        <v>1000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6.3999999999999995</v>
      </c>
      <c r="AU76" s="57">
        <f t="shared" si="23"/>
        <v>2.5</v>
      </c>
      <c r="AV76" s="58">
        <f>AU76/AT76*100</f>
        <v>39.06250000000001</v>
      </c>
      <c r="AW76" s="79">
        <f>AW72+AW7</f>
        <v>3.899999999999999</v>
      </c>
      <c r="AX76" s="79">
        <f>AX72+AX7</f>
        <v>485.59999999999997</v>
      </c>
      <c r="AY76" s="33">
        <f>C76+AT76-AU76</f>
        <v>485.59999999999997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28" t="s">
        <v>46</v>
      </c>
      <c r="B77" s="128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B4:F4"/>
    <mergeCell ref="G5:I5"/>
    <mergeCell ref="A77:B77"/>
    <mergeCell ref="B2:AX3"/>
    <mergeCell ref="AH5:AJ5"/>
    <mergeCell ref="AK5:AM5"/>
    <mergeCell ref="AN5:AO5"/>
    <mergeCell ref="AP5:AQ5"/>
    <mergeCell ref="AB5:AD5"/>
    <mergeCell ref="AW5:AW6"/>
    <mergeCell ref="Y5:AA5"/>
    <mergeCell ref="D5:F5"/>
    <mergeCell ref="I1:AX1"/>
    <mergeCell ref="AT5:AV5"/>
    <mergeCell ref="AX5:AX6"/>
    <mergeCell ref="S5:U5"/>
    <mergeCell ref="P5:R5"/>
    <mergeCell ref="V5:X5"/>
    <mergeCell ref="J5:L5"/>
    <mergeCell ref="AR5:AS5"/>
    <mergeCell ref="M5:O5"/>
    <mergeCell ref="AE5:AG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2"/>
  <sheetViews>
    <sheetView view="pageBreakPreview" zoomScale="70" zoomScaleNormal="50" zoomScaleSheetLayoutView="70" zoomScalePageLayoutView="0" workbookViewId="0" topLeftCell="A3">
      <pane xSplit="5" ySplit="4" topLeftCell="P34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3" sqref="A1:IV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5" t="s">
        <v>42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s="31" customFormat="1" ht="60" customHeight="1" hidden="1">
      <c r="A2" s="30"/>
      <c r="B2" s="122" t="s">
        <v>177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</row>
    <row r="3" spans="1:50" s="44" customFormat="1" ht="60" customHeight="1">
      <c r="A3" s="4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</row>
    <row r="4" spans="2:50" ht="35.25" customHeight="1">
      <c r="B4" s="127"/>
      <c r="C4" s="127"/>
      <c r="D4" s="127"/>
      <c r="E4" s="127"/>
      <c r="F4" s="12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6" t="s">
        <v>59</v>
      </c>
      <c r="E5" s="117"/>
      <c r="F5" s="118"/>
      <c r="G5" s="116" t="s">
        <v>60</v>
      </c>
      <c r="H5" s="117"/>
      <c r="I5" s="118"/>
      <c r="J5" s="112" t="s">
        <v>61</v>
      </c>
      <c r="K5" s="113"/>
      <c r="L5" s="114"/>
      <c r="M5" s="112" t="s">
        <v>72</v>
      </c>
      <c r="N5" s="113"/>
      <c r="O5" s="114"/>
      <c r="P5" s="112" t="s">
        <v>62</v>
      </c>
      <c r="Q5" s="113"/>
      <c r="R5" s="114"/>
      <c r="S5" s="119" t="s">
        <v>63</v>
      </c>
      <c r="T5" s="120"/>
      <c r="U5" s="121"/>
      <c r="V5" s="119" t="s">
        <v>64</v>
      </c>
      <c r="W5" s="120"/>
      <c r="X5" s="121"/>
      <c r="Y5" s="112" t="s">
        <v>73</v>
      </c>
      <c r="Z5" s="113"/>
      <c r="AA5" s="114"/>
      <c r="AB5" s="112" t="s">
        <v>65</v>
      </c>
      <c r="AC5" s="113"/>
      <c r="AD5" s="114"/>
      <c r="AE5" s="112" t="s">
        <v>66</v>
      </c>
      <c r="AF5" s="113"/>
      <c r="AG5" s="114"/>
      <c r="AH5" s="112" t="s">
        <v>67</v>
      </c>
      <c r="AI5" s="113"/>
      <c r="AJ5" s="114"/>
      <c r="AK5" s="112" t="s">
        <v>68</v>
      </c>
      <c r="AL5" s="113"/>
      <c r="AM5" s="114"/>
      <c r="AN5" s="112" t="s">
        <v>69</v>
      </c>
      <c r="AO5" s="114"/>
      <c r="AP5" s="112" t="s">
        <v>70</v>
      </c>
      <c r="AQ5" s="114"/>
      <c r="AR5" s="112" t="s">
        <v>71</v>
      </c>
      <c r="AS5" s="114"/>
      <c r="AT5" s="116" t="s">
        <v>130</v>
      </c>
      <c r="AU5" s="117"/>
      <c r="AV5" s="118"/>
      <c r="AW5" s="125" t="s">
        <v>172</v>
      </c>
      <c r="AX5" s="123" t="s">
        <v>173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26"/>
      <c r="AX6" s="124"/>
    </row>
    <row r="7" spans="1:61" s="9" customFormat="1" ht="34.5" customHeight="1">
      <c r="A7" s="8"/>
      <c r="B7" s="105" t="s">
        <v>74</v>
      </c>
      <c r="C7" s="58">
        <f>SUM(C8:C71)-C8-C14-C23-C30-C39-C45-C61</f>
        <v>-408.1</v>
      </c>
      <c r="D7" s="58">
        <f aca="true" t="shared" si="0" ref="D7:AX7">SUM(D8:D71)-D8-D14-D23-D30-D39-D45-D61</f>
        <v>0</v>
      </c>
      <c r="E7" s="58">
        <f t="shared" si="0"/>
        <v>0</v>
      </c>
      <c r="F7" s="56" t="e">
        <f>E7/D7*100</f>
        <v>#DIV/0!</v>
      </c>
      <c r="G7" s="58">
        <f t="shared" si="0"/>
        <v>0</v>
      </c>
      <c r="H7" s="58">
        <f t="shared" si="0"/>
        <v>0</v>
      </c>
      <c r="I7" s="56" t="e">
        <f>H7/G7*100</f>
        <v>#DIV/0!</v>
      </c>
      <c r="J7" s="58">
        <f t="shared" si="0"/>
        <v>0</v>
      </c>
      <c r="K7" s="58">
        <f t="shared" si="0"/>
        <v>0</v>
      </c>
      <c r="L7" s="56" t="e">
        <f>K7/J7*100</f>
        <v>#DIV/0!</v>
      </c>
      <c r="M7" s="58">
        <f t="shared" si="0"/>
        <v>0</v>
      </c>
      <c r="N7" s="58">
        <f t="shared" si="0"/>
        <v>0</v>
      </c>
      <c r="O7" s="56" t="e">
        <f>N7/M7*100</f>
        <v>#DIV/0!</v>
      </c>
      <c r="P7" s="58">
        <f t="shared" si="0"/>
        <v>0</v>
      </c>
      <c r="Q7" s="58">
        <f t="shared" si="0"/>
        <v>0</v>
      </c>
      <c r="R7" s="58" t="e">
        <v>#DIV/0!</v>
      </c>
      <c r="S7" s="58">
        <f t="shared" si="0"/>
        <v>0</v>
      </c>
      <c r="T7" s="58">
        <f t="shared" si="0"/>
        <v>0</v>
      </c>
      <c r="U7" s="58" t="e"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0</v>
      </c>
      <c r="AU7" s="57">
        <f t="shared" si="1"/>
        <v>0</v>
      </c>
      <c r="AV7" s="56" t="e">
        <f>AU7/AT7*100</f>
        <v>#DIV/0!</v>
      </c>
      <c r="AW7" s="58">
        <f t="shared" si="0"/>
        <v>0</v>
      </c>
      <c r="AX7" s="58">
        <f t="shared" si="0"/>
        <v>-408.1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-408.1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-408.1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-408.1</v>
      </c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-408.1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0</v>
      </c>
      <c r="D45" s="75">
        <f>SUM(D46:D60)</f>
        <v>0</v>
      </c>
      <c r="E45" s="75">
        <f>SUM(E46:E60)</f>
        <v>0</v>
      </c>
      <c r="F45" s="59" t="e">
        <f t="shared" si="2"/>
        <v>#DIV/0!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0</v>
      </c>
      <c r="N45" s="58">
        <f t="shared" si="42"/>
        <v>0</v>
      </c>
      <c r="O45" s="58" t="e">
        <f t="shared" si="7"/>
        <v>#DIV/0!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0</v>
      </c>
      <c r="AU45" s="57">
        <f t="shared" si="23"/>
        <v>0</v>
      </c>
      <c r="AV45" s="58" t="e">
        <f t="shared" si="36"/>
        <v>#DIV/0!</v>
      </c>
      <c r="AW45" s="58">
        <f t="shared" si="37"/>
        <v>0</v>
      </c>
      <c r="AX45" s="79">
        <f t="shared" si="45"/>
        <v>0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0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0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/>
      <c r="E70" s="61"/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/>
      <c r="D71" s="61"/>
      <c r="E71" s="61"/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0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0</v>
      </c>
      <c r="D72" s="75">
        <f>SUM(D73:D75)</f>
        <v>0</v>
      </c>
      <c r="E72" s="75">
        <f>SUM(E73:E75)</f>
        <v>0</v>
      </c>
      <c r="F72" s="59" t="e">
        <f>E72/D72*100</f>
        <v>#DIV/0!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0</v>
      </c>
      <c r="N72" s="58">
        <f t="shared" si="42"/>
        <v>0</v>
      </c>
      <c r="O72" s="58" t="e">
        <f t="shared" si="7"/>
        <v>#DIV/0!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0</v>
      </c>
      <c r="AU72" s="57">
        <f t="shared" si="23"/>
        <v>0</v>
      </c>
      <c r="AV72" s="58" t="e">
        <f t="shared" si="17"/>
        <v>#DIV/0!</v>
      </c>
      <c r="AW72" s="79">
        <f>SUM(AW73:AW75)</f>
        <v>0</v>
      </c>
      <c r="AX72" s="79">
        <f>SUM(AX73:AX75)</f>
        <v>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/>
      <c r="D73" s="61"/>
      <c r="E73" s="61"/>
      <c r="F73" s="59" t="e">
        <f>E73/D73*100</f>
        <v>#DIV/0!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0</v>
      </c>
      <c r="N73" s="62">
        <f t="shared" si="42"/>
        <v>0</v>
      </c>
      <c r="O73" s="58" t="e">
        <f t="shared" si="7"/>
        <v>#DIV/0!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0</v>
      </c>
      <c r="AU73" s="94">
        <f t="shared" si="23"/>
        <v>0</v>
      </c>
      <c r="AV73" s="58" t="e">
        <f t="shared" si="17"/>
        <v>#DIV/0!</v>
      </c>
      <c r="AW73" s="62">
        <f>AT73-AU73</f>
        <v>0</v>
      </c>
      <c r="AX73" s="63">
        <f>C73+AT73-AU73</f>
        <v>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-408.1</v>
      </c>
      <c r="D76" s="79">
        <f>D72+D7</f>
        <v>0</v>
      </c>
      <c r="E76" s="79">
        <f>E72+E7</f>
        <v>0</v>
      </c>
      <c r="F76" s="59" t="e">
        <f>E76/D76*100</f>
        <v>#DIV/0!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0</v>
      </c>
      <c r="N76" s="79">
        <f>N72+N7</f>
        <v>0</v>
      </c>
      <c r="O76" s="58" t="e">
        <f t="shared" si="7"/>
        <v>#DIV/0!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0</v>
      </c>
      <c r="AU76" s="57">
        <f t="shared" si="23"/>
        <v>0</v>
      </c>
      <c r="AV76" s="58" t="e">
        <f>AU76/AT76*100</f>
        <v>#DIV/0!</v>
      </c>
      <c r="AW76" s="79">
        <f>AW72+AW7</f>
        <v>0</v>
      </c>
      <c r="AX76" s="79">
        <f>AX72+AX7</f>
        <v>-408.1</v>
      </c>
      <c r="AY76" s="33">
        <f>C76+AT76-AU76</f>
        <v>-408.1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51:61" ht="18.75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51:61" ht="18.75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18.75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18.75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18.75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18.75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</sheetData>
  <sheetProtection/>
  <mergeCells count="21">
    <mergeCell ref="I1:AX1"/>
    <mergeCell ref="AT5:AV5"/>
    <mergeCell ref="M5:O5"/>
    <mergeCell ref="Y5:AA5"/>
    <mergeCell ref="J5:L5"/>
    <mergeCell ref="B2:AX3"/>
    <mergeCell ref="D5:F5"/>
    <mergeCell ref="AE5:AG5"/>
    <mergeCell ref="V5:X5"/>
    <mergeCell ref="S5:U5"/>
    <mergeCell ref="AP5:AQ5"/>
    <mergeCell ref="B4:F4"/>
    <mergeCell ref="AN5:AO5"/>
    <mergeCell ref="AB5:AD5"/>
    <mergeCell ref="G5:I5"/>
    <mergeCell ref="AW5:AW6"/>
    <mergeCell ref="AH5:AJ5"/>
    <mergeCell ref="AK5:AM5"/>
    <mergeCell ref="P5:R5"/>
    <mergeCell ref="AR5:AS5"/>
    <mergeCell ref="AX5:AX6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3">
      <pane xSplit="2" ySplit="4" topLeftCell="C7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77" sqref="A77:IV82"/>
    </sheetView>
  </sheetViews>
  <sheetFormatPr defaultColWidth="5.75390625" defaultRowHeight="12.75"/>
  <cols>
    <col min="1" max="1" width="5.00390625" style="1" hidden="1" customWidth="1"/>
    <col min="2" max="2" width="70.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6" width="14.75390625" style="2" hidden="1" customWidth="1"/>
    <col min="17" max="17" width="15.00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5" t="s">
        <v>42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s="31" customFormat="1" ht="60" customHeight="1" hidden="1">
      <c r="A2" s="30"/>
      <c r="B2" s="122" t="s">
        <v>178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</row>
    <row r="3" spans="1:50" s="44" customFormat="1" ht="60" customHeight="1">
      <c r="A3" s="4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</row>
    <row r="4" spans="2:50" ht="35.25" customHeight="1">
      <c r="B4" s="127"/>
      <c r="C4" s="127"/>
      <c r="D4" s="127"/>
      <c r="E4" s="127"/>
      <c r="F4" s="12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6" t="s">
        <v>59</v>
      </c>
      <c r="E5" s="117"/>
      <c r="F5" s="118"/>
      <c r="G5" s="116" t="s">
        <v>60</v>
      </c>
      <c r="H5" s="117"/>
      <c r="I5" s="118"/>
      <c r="J5" s="112" t="s">
        <v>61</v>
      </c>
      <c r="K5" s="113"/>
      <c r="L5" s="114"/>
      <c r="M5" s="112" t="s">
        <v>72</v>
      </c>
      <c r="N5" s="113"/>
      <c r="O5" s="114"/>
      <c r="P5" s="112" t="s">
        <v>62</v>
      </c>
      <c r="Q5" s="113"/>
      <c r="R5" s="114"/>
      <c r="S5" s="119" t="s">
        <v>63</v>
      </c>
      <c r="T5" s="120"/>
      <c r="U5" s="121"/>
      <c r="V5" s="119" t="s">
        <v>64</v>
      </c>
      <c r="W5" s="120"/>
      <c r="X5" s="121"/>
      <c r="Y5" s="112" t="s">
        <v>73</v>
      </c>
      <c r="Z5" s="113"/>
      <c r="AA5" s="114"/>
      <c r="AB5" s="112" t="s">
        <v>65</v>
      </c>
      <c r="AC5" s="113"/>
      <c r="AD5" s="114"/>
      <c r="AE5" s="112" t="s">
        <v>66</v>
      </c>
      <c r="AF5" s="113"/>
      <c r="AG5" s="114"/>
      <c r="AH5" s="112" t="s">
        <v>67</v>
      </c>
      <c r="AI5" s="113"/>
      <c r="AJ5" s="114"/>
      <c r="AK5" s="112" t="s">
        <v>68</v>
      </c>
      <c r="AL5" s="113"/>
      <c r="AM5" s="114"/>
      <c r="AN5" s="112" t="s">
        <v>69</v>
      </c>
      <c r="AO5" s="114"/>
      <c r="AP5" s="112" t="s">
        <v>70</v>
      </c>
      <c r="AQ5" s="114"/>
      <c r="AR5" s="112" t="s">
        <v>71</v>
      </c>
      <c r="AS5" s="114"/>
      <c r="AT5" s="116" t="s">
        <v>130</v>
      </c>
      <c r="AU5" s="117"/>
      <c r="AV5" s="118"/>
      <c r="AW5" s="125" t="s">
        <v>172</v>
      </c>
      <c r="AX5" s="123" t="s">
        <v>173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26"/>
      <c r="AX6" s="124"/>
    </row>
    <row r="7" spans="1:61" s="9" customFormat="1" ht="34.5" customHeight="1">
      <c r="A7" s="8"/>
      <c r="B7" s="107" t="s">
        <v>135</v>
      </c>
      <c r="C7" s="58">
        <f>SUM(C8:C71)-C8-C14-C23-C30-C39-C45-C61</f>
        <v>-1778.8999999999994</v>
      </c>
      <c r="D7" s="58">
        <f aca="true" t="shared" si="0" ref="D7:AX7">SUM(D8:D71)-D8-D14-D23-D30-D39-D45-D61</f>
        <v>7475.700000000002</v>
      </c>
      <c r="E7" s="58">
        <f t="shared" si="0"/>
        <v>115.80000000000001</v>
      </c>
      <c r="F7" s="56">
        <f>E7/D7*100</f>
        <v>1.549018820979975</v>
      </c>
      <c r="G7" s="58">
        <f t="shared" si="0"/>
        <v>7934.500000000001</v>
      </c>
      <c r="H7" s="58">
        <f t="shared" si="0"/>
        <v>2858.8</v>
      </c>
      <c r="I7" s="56">
        <f>H7/G7*100</f>
        <v>36.029995588883985</v>
      </c>
      <c r="J7" s="58">
        <f t="shared" si="0"/>
        <v>6261.299999999999</v>
      </c>
      <c r="K7" s="58">
        <f t="shared" si="0"/>
        <v>6877.599999999998</v>
      </c>
      <c r="L7" s="56">
        <f>K7/J7*100</f>
        <v>109.84300384904091</v>
      </c>
      <c r="M7" s="58">
        <f t="shared" si="0"/>
        <v>21671.499999999985</v>
      </c>
      <c r="N7" s="58">
        <f t="shared" si="0"/>
        <v>9852.200000000006</v>
      </c>
      <c r="O7" s="56">
        <f>N7/M7*100</f>
        <v>45.46155088480268</v>
      </c>
      <c r="P7" s="58">
        <f t="shared" si="0"/>
        <v>1423.8000000000002</v>
      </c>
      <c r="Q7" s="58">
        <f t="shared" si="0"/>
        <v>6445.399999999996</v>
      </c>
      <c r="R7" s="56">
        <f>Q7/P7*100</f>
        <v>452.68998454839135</v>
      </c>
      <c r="S7" s="58">
        <f t="shared" si="0"/>
        <v>76.1</v>
      </c>
      <c r="T7" s="58">
        <f t="shared" si="0"/>
        <v>2140.5999999999995</v>
      </c>
      <c r="U7" s="56">
        <f>T7/S7*100</f>
        <v>2812.877792378449</v>
      </c>
      <c r="V7" s="58">
        <f t="shared" si="0"/>
        <v>68</v>
      </c>
      <c r="W7" s="58">
        <f t="shared" si="0"/>
        <v>1846.9</v>
      </c>
      <c r="X7" s="56">
        <f>W7/V7*100</f>
        <v>2716.029411764706</v>
      </c>
      <c r="Y7" s="58">
        <f t="shared" si="0"/>
        <v>1567.9000000000005</v>
      </c>
      <c r="Z7" s="58">
        <f t="shared" si="0"/>
        <v>10432.899999999996</v>
      </c>
      <c r="AA7" s="56">
        <f>Z7/Y7*100</f>
        <v>665.4059570125642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23239.399999999987</v>
      </c>
      <c r="AU7" s="57">
        <f t="shared" si="1"/>
        <v>20285.100000000002</v>
      </c>
      <c r="AV7" s="56">
        <f>AU7/AT7*100</f>
        <v>87.28753754399861</v>
      </c>
      <c r="AW7" s="58">
        <f t="shared" si="0"/>
        <v>2954.3000000000006</v>
      </c>
      <c r="AX7" s="58">
        <f t="shared" si="0"/>
        <v>1175.4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-110.2</v>
      </c>
      <c r="D8" s="75">
        <f>SUM(D9:D13)</f>
        <v>701.6</v>
      </c>
      <c r="E8" s="75">
        <f>SUM(E9:E13)</f>
        <v>76</v>
      </c>
      <c r="F8" s="59">
        <f aca="true" t="shared" si="2" ref="F8:F51">E8/D8*100</f>
        <v>10.832383124287343</v>
      </c>
      <c r="G8" s="75">
        <f>SUM(G9:G13)</f>
        <v>717.3</v>
      </c>
      <c r="H8" s="75">
        <f>SUM(H9:H13)</f>
        <v>142.9</v>
      </c>
      <c r="I8" s="59">
        <f aca="true" t="shared" si="3" ref="I8:I51">H8/G8*100</f>
        <v>19.921929457688556</v>
      </c>
      <c r="J8" s="75">
        <f>SUM(J9:J13)</f>
        <v>547.8</v>
      </c>
      <c r="K8" s="75">
        <f>SUM(K9:K13)</f>
        <v>598.3</v>
      </c>
      <c r="L8" s="58">
        <f aca="true" t="shared" si="4" ref="L8:L25">K8/J8*100</f>
        <v>109.21869295363271</v>
      </c>
      <c r="M8" s="58">
        <f aca="true" t="shared" si="5" ref="M8:M39">D8+G8+J8</f>
        <v>1966.7</v>
      </c>
      <c r="N8" s="58">
        <f aca="true" t="shared" si="6" ref="N8:N39">E8+H8+K8</f>
        <v>817.1999999999999</v>
      </c>
      <c r="O8" s="58">
        <f aca="true" t="shared" si="7" ref="O8:O76">N8/M8*100</f>
        <v>41.55183810443891</v>
      </c>
      <c r="P8" s="75">
        <f aca="true" t="shared" si="8" ref="P8:W8">SUM(P9:P13)</f>
        <v>124.30000000000001</v>
      </c>
      <c r="Q8" s="75">
        <f t="shared" si="8"/>
        <v>566.1999999999999</v>
      </c>
      <c r="R8" s="75" t="e">
        <f t="shared" si="8"/>
        <v>#DIV/0!</v>
      </c>
      <c r="S8" s="75">
        <f t="shared" si="8"/>
        <v>0</v>
      </c>
      <c r="T8" s="75">
        <f t="shared" si="8"/>
        <v>211.3</v>
      </c>
      <c r="U8" s="75" t="e">
        <f t="shared" si="8"/>
        <v>#DIV/0!</v>
      </c>
      <c r="V8" s="75">
        <f t="shared" si="8"/>
        <v>0</v>
      </c>
      <c r="W8" s="75">
        <f t="shared" si="8"/>
        <v>332.2</v>
      </c>
      <c r="X8" s="58" t="e">
        <f aca="true" t="shared" si="9" ref="X8:X24">W8/V8*100</f>
        <v>#DIV/0!</v>
      </c>
      <c r="Y8" s="58">
        <f aca="true" t="shared" si="10" ref="Y8:Y39">P8+S8+V8</f>
        <v>124.30000000000001</v>
      </c>
      <c r="Z8" s="58">
        <f aca="true" t="shared" si="11" ref="Z8:Z39">Q8+T8+W8</f>
        <v>1109.7</v>
      </c>
      <c r="AA8" s="58">
        <f aca="true" t="shared" si="12" ref="AA8:AA73">Z8/Y8*100</f>
        <v>892.7594529364442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2091</v>
      </c>
      <c r="AU8" s="57">
        <f t="shared" si="1"/>
        <v>1926.9</v>
      </c>
      <c r="AV8" s="58">
        <f aca="true" t="shared" si="17" ref="AV8:AV75">AU8/AT8*100</f>
        <v>92.15208034433286</v>
      </c>
      <c r="AW8" s="58">
        <f>AT8-AU8</f>
        <v>164.0999999999999</v>
      </c>
      <c r="AX8" s="79">
        <f aca="true" t="shared" si="18" ref="AX8:AX39">C8+AT8-AU8</f>
        <v>53.899999999999864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-34</v>
      </c>
      <c r="D9" s="91">
        <f>83.3+134</f>
        <v>217.3</v>
      </c>
      <c r="E9" s="91">
        <v>76</v>
      </c>
      <c r="F9" s="92">
        <f t="shared" si="2"/>
        <v>34.974689369535206</v>
      </c>
      <c r="G9" s="91">
        <f>194+82.4</f>
        <v>276.4</v>
      </c>
      <c r="H9" s="91">
        <v>0</v>
      </c>
      <c r="I9" s="92">
        <f t="shared" si="3"/>
        <v>0</v>
      </c>
      <c r="J9" s="91">
        <f>180+65.6</f>
        <v>245.6</v>
      </c>
      <c r="K9" s="91">
        <f>41</f>
        <v>41</v>
      </c>
      <c r="L9" s="56">
        <f t="shared" si="4"/>
        <v>16.693811074918568</v>
      </c>
      <c r="M9" s="93">
        <f t="shared" si="5"/>
        <v>739.3</v>
      </c>
      <c r="N9" s="93">
        <f t="shared" si="6"/>
        <v>117</v>
      </c>
      <c r="O9" s="56">
        <f t="shared" si="7"/>
        <v>15.825781144325715</v>
      </c>
      <c r="P9" s="91">
        <f>64.5</f>
        <v>64.5</v>
      </c>
      <c r="Q9" s="91">
        <f>202.2+231.2</f>
        <v>433.4</v>
      </c>
      <c r="R9" s="56">
        <f aca="true" t="shared" si="19" ref="R9:R76">Q9/P9*100</f>
        <v>671.9379844961239</v>
      </c>
      <c r="S9" s="91"/>
      <c r="T9" s="91">
        <v>211.3</v>
      </c>
      <c r="U9" s="56" t="e">
        <f aca="true" t="shared" si="20" ref="U9:U76">T9/S9*100</f>
        <v>#DIV/0!</v>
      </c>
      <c r="V9" s="91"/>
      <c r="W9" s="91">
        <v>11</v>
      </c>
      <c r="X9" s="56" t="e">
        <f t="shared" si="9"/>
        <v>#DIV/0!</v>
      </c>
      <c r="Y9" s="93">
        <f t="shared" si="10"/>
        <v>64.5</v>
      </c>
      <c r="Z9" s="93">
        <f t="shared" si="11"/>
        <v>655.7</v>
      </c>
      <c r="AA9" s="56">
        <f t="shared" si="12"/>
        <v>1016.5891472868218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803.8</v>
      </c>
      <c r="AU9" s="94">
        <f t="shared" si="1"/>
        <v>772.7</v>
      </c>
      <c r="AV9" s="56">
        <f t="shared" si="17"/>
        <v>96.13087832794228</v>
      </c>
      <c r="AW9" s="93">
        <f aca="true" t="shared" si="22" ref="AW9:AW75">AT9-AU9</f>
        <v>31.09999999999991</v>
      </c>
      <c r="AX9" s="95">
        <f t="shared" si="18"/>
        <v>-2.900000000000091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-76.2</v>
      </c>
      <c r="D10" s="61">
        <v>182.9</v>
      </c>
      <c r="E10" s="61">
        <v>0</v>
      </c>
      <c r="F10" s="59">
        <f t="shared" si="2"/>
        <v>0</v>
      </c>
      <c r="G10" s="61">
        <v>139.4</v>
      </c>
      <c r="H10" s="61">
        <v>45.5</v>
      </c>
      <c r="I10" s="59">
        <f t="shared" si="3"/>
        <v>32.63988522238163</v>
      </c>
      <c r="J10" s="61">
        <v>85.8</v>
      </c>
      <c r="K10" s="61">
        <v>200.6</v>
      </c>
      <c r="L10" s="56">
        <f t="shared" si="4"/>
        <v>233.79953379953383</v>
      </c>
      <c r="M10" s="62">
        <f t="shared" si="5"/>
        <v>408.1</v>
      </c>
      <c r="N10" s="62">
        <f t="shared" si="6"/>
        <v>246.1</v>
      </c>
      <c r="O10" s="58">
        <f t="shared" si="7"/>
        <v>60.303847096299926</v>
      </c>
      <c r="P10" s="65">
        <v>21.7</v>
      </c>
      <c r="Q10" s="65">
        <v>85.8</v>
      </c>
      <c r="R10" s="58">
        <f t="shared" si="19"/>
        <v>395.39170506912444</v>
      </c>
      <c r="S10" s="61"/>
      <c r="T10" s="61"/>
      <c r="U10" s="64" t="e">
        <f t="shared" si="20"/>
        <v>#DIV/0!</v>
      </c>
      <c r="V10" s="61"/>
      <c r="W10" s="61">
        <v>21.7</v>
      </c>
      <c r="X10" s="64" t="e">
        <f t="shared" si="9"/>
        <v>#DIV/0!</v>
      </c>
      <c r="Y10" s="62">
        <f t="shared" si="10"/>
        <v>21.7</v>
      </c>
      <c r="Z10" s="62">
        <f t="shared" si="11"/>
        <v>107.5</v>
      </c>
      <c r="AA10" s="58">
        <f t="shared" si="12"/>
        <v>495.39170506912444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429.8</v>
      </c>
      <c r="AU10" s="94">
        <f t="shared" si="23"/>
        <v>353.6</v>
      </c>
      <c r="AV10" s="58">
        <f>AU10/AT10*100</f>
        <v>82.27082363890182</v>
      </c>
      <c r="AW10" s="62">
        <f>AT10-AU10</f>
        <v>76.19999999999999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301.4</v>
      </c>
      <c r="E13" s="61"/>
      <c r="F13" s="59">
        <f t="shared" si="2"/>
        <v>0</v>
      </c>
      <c r="G13" s="61">
        <v>301.5</v>
      </c>
      <c r="H13" s="61">
        <v>97.4</v>
      </c>
      <c r="I13" s="59">
        <f t="shared" si="3"/>
        <v>32.30514096185738</v>
      </c>
      <c r="J13" s="61">
        <v>216.4</v>
      </c>
      <c r="K13" s="61">
        <v>356.7</v>
      </c>
      <c r="L13" s="58">
        <f t="shared" si="4"/>
        <v>164.8336414048059</v>
      </c>
      <c r="M13" s="62">
        <f t="shared" si="5"/>
        <v>819.3</v>
      </c>
      <c r="N13" s="62">
        <f t="shared" si="6"/>
        <v>454.1</v>
      </c>
      <c r="O13" s="58">
        <f t="shared" si="7"/>
        <v>55.42536311485415</v>
      </c>
      <c r="P13" s="61">
        <v>38.1</v>
      </c>
      <c r="Q13" s="61">
        <v>47</v>
      </c>
      <c r="R13" s="58">
        <f t="shared" si="19"/>
        <v>123.35958005249343</v>
      </c>
      <c r="S13" s="61"/>
      <c r="T13" s="61"/>
      <c r="U13" s="58" t="e">
        <f t="shared" si="20"/>
        <v>#DIV/0!</v>
      </c>
      <c r="V13" s="61"/>
      <c r="W13" s="61">
        <v>299.5</v>
      </c>
      <c r="X13" s="58" t="e">
        <f t="shared" si="9"/>
        <v>#DIV/0!</v>
      </c>
      <c r="Y13" s="62">
        <f t="shared" si="10"/>
        <v>38.1</v>
      </c>
      <c r="Z13" s="62">
        <f t="shared" si="11"/>
        <v>346.5</v>
      </c>
      <c r="AA13" s="58">
        <f t="shared" si="12"/>
        <v>909.4488188976378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857.4</v>
      </c>
      <c r="AU13" s="94">
        <f t="shared" si="23"/>
        <v>800.6</v>
      </c>
      <c r="AV13" s="58">
        <f t="shared" si="17"/>
        <v>93.3753207371122</v>
      </c>
      <c r="AW13" s="62">
        <f t="shared" si="22"/>
        <v>56.799999999999955</v>
      </c>
      <c r="AX13" s="63">
        <f t="shared" si="18"/>
        <v>56.799999999999955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-314.8</v>
      </c>
      <c r="D14" s="75">
        <f>SUM(D15:D22)</f>
        <v>1318.7</v>
      </c>
      <c r="E14" s="75">
        <f>SUM(E15:E22)</f>
        <v>20.699999999999996</v>
      </c>
      <c r="F14" s="59">
        <f t="shared" si="2"/>
        <v>1.5697277621900354</v>
      </c>
      <c r="G14" s="75">
        <f>SUM(G15:G22)</f>
        <v>1368.5000000000002</v>
      </c>
      <c r="H14" s="75">
        <f>SUM(H15:H22)</f>
        <v>302.79999999999995</v>
      </c>
      <c r="I14" s="59">
        <f t="shared" si="3"/>
        <v>22.12641578370478</v>
      </c>
      <c r="J14" s="75">
        <f>SUM(J15:J22)</f>
        <v>969.6999999999999</v>
      </c>
      <c r="K14" s="75">
        <f>SUM(K15:K22)</f>
        <v>1549</v>
      </c>
      <c r="L14" s="58">
        <f t="shared" si="4"/>
        <v>159.74012581210687</v>
      </c>
      <c r="M14" s="58">
        <f t="shared" si="5"/>
        <v>3656.9</v>
      </c>
      <c r="N14" s="58">
        <f t="shared" si="6"/>
        <v>1872.5</v>
      </c>
      <c r="O14" s="58">
        <f t="shared" si="7"/>
        <v>51.204572178621234</v>
      </c>
      <c r="P14" s="75">
        <f aca="true" t="shared" si="24" ref="P14:W14">SUM(P15:P22)</f>
        <v>267.6</v>
      </c>
      <c r="Q14" s="75">
        <f t="shared" si="24"/>
        <v>664.5</v>
      </c>
      <c r="R14" s="75" t="e">
        <f t="shared" si="24"/>
        <v>#DIV/0!</v>
      </c>
      <c r="S14" s="75">
        <f t="shared" si="24"/>
        <v>68</v>
      </c>
      <c r="T14" s="75">
        <f t="shared" si="24"/>
        <v>263.3</v>
      </c>
      <c r="U14" s="75" t="e">
        <f t="shared" si="24"/>
        <v>#DIV/0!</v>
      </c>
      <c r="V14" s="75">
        <f t="shared" si="24"/>
        <v>68</v>
      </c>
      <c r="W14" s="75">
        <f t="shared" si="24"/>
        <v>682.9</v>
      </c>
      <c r="X14" s="58">
        <f t="shared" si="9"/>
        <v>1004.2647058823529</v>
      </c>
      <c r="Y14" s="58">
        <f t="shared" si="10"/>
        <v>403.6</v>
      </c>
      <c r="Z14" s="58">
        <f t="shared" si="11"/>
        <v>1610.6999999999998</v>
      </c>
      <c r="AA14" s="58">
        <f t="shared" si="12"/>
        <v>399.08325074331015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4060.5</v>
      </c>
      <c r="AU14" s="57">
        <f t="shared" si="23"/>
        <v>3483.2</v>
      </c>
      <c r="AV14" s="58">
        <f t="shared" si="17"/>
        <v>85.78253909617042</v>
      </c>
      <c r="AW14" s="58">
        <f t="shared" si="22"/>
        <v>577.3000000000002</v>
      </c>
      <c r="AX14" s="79">
        <f t="shared" si="18"/>
        <v>262.5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-144.8</v>
      </c>
      <c r="D15" s="61">
        <v>378.1</v>
      </c>
      <c r="E15" s="61">
        <v>0</v>
      </c>
      <c r="F15" s="59">
        <f t="shared" si="2"/>
        <v>0</v>
      </c>
      <c r="G15" s="61">
        <v>401.3</v>
      </c>
      <c r="H15" s="61">
        <v>37.8</v>
      </c>
      <c r="I15" s="59">
        <f t="shared" si="3"/>
        <v>9.419386992275106</v>
      </c>
      <c r="J15" s="61">
        <v>114.2</v>
      </c>
      <c r="K15" s="61">
        <v>339.5</v>
      </c>
      <c r="L15" s="58">
        <f t="shared" si="4"/>
        <v>297.28546409807353</v>
      </c>
      <c r="M15" s="62">
        <f t="shared" si="5"/>
        <v>893.6000000000001</v>
      </c>
      <c r="N15" s="62">
        <f t="shared" si="6"/>
        <v>377.3</v>
      </c>
      <c r="O15" s="58">
        <f t="shared" si="7"/>
        <v>42.22247090420769</v>
      </c>
      <c r="P15" s="61">
        <v>58.4</v>
      </c>
      <c r="Q15" s="61">
        <v>167.8</v>
      </c>
      <c r="R15" s="58">
        <f t="shared" si="19"/>
        <v>287.32876712328766</v>
      </c>
      <c r="S15" s="61"/>
      <c r="T15" s="61">
        <v>91.2</v>
      </c>
      <c r="U15" s="58" t="e">
        <f t="shared" si="20"/>
        <v>#DIV/0!</v>
      </c>
      <c r="V15" s="61"/>
      <c r="W15" s="61">
        <v>169.5</v>
      </c>
      <c r="X15" s="58" t="e">
        <f t="shared" si="9"/>
        <v>#DIV/0!</v>
      </c>
      <c r="Y15" s="62">
        <f t="shared" si="10"/>
        <v>58.4</v>
      </c>
      <c r="Z15" s="62">
        <f t="shared" si="11"/>
        <v>428.5</v>
      </c>
      <c r="AA15" s="58">
        <f t="shared" si="12"/>
        <v>733.7328767123288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952.0000000000001</v>
      </c>
      <c r="AU15" s="94">
        <f t="shared" si="23"/>
        <v>805.8</v>
      </c>
      <c r="AV15" s="58">
        <f t="shared" si="17"/>
        <v>84.64285714285712</v>
      </c>
      <c r="AW15" s="62">
        <f t="shared" si="22"/>
        <v>146.20000000000016</v>
      </c>
      <c r="AX15" s="63">
        <f t="shared" si="18"/>
        <v>1.400000000000091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-3.8-85.7</f>
        <v>-89.5</v>
      </c>
      <c r="D16" s="61">
        <v>363.1</v>
      </c>
      <c r="E16" s="61">
        <v>0.4</v>
      </c>
      <c r="F16" s="59">
        <f t="shared" si="2"/>
        <v>0.1101624896722666</v>
      </c>
      <c r="G16" s="61">
        <v>356.4</v>
      </c>
      <c r="H16" s="61">
        <v>124.1</v>
      </c>
      <c r="I16" s="59">
        <f t="shared" si="3"/>
        <v>34.82042648709315</v>
      </c>
      <c r="J16" s="61">
        <v>299.7</v>
      </c>
      <c r="K16" s="61">
        <v>505.7</v>
      </c>
      <c r="L16" s="58">
        <f t="shared" si="4"/>
        <v>168.7354020687354</v>
      </c>
      <c r="M16" s="62">
        <f t="shared" si="5"/>
        <v>1019.2</v>
      </c>
      <c r="N16" s="62">
        <f t="shared" si="6"/>
        <v>630.2</v>
      </c>
      <c r="O16" s="58">
        <f t="shared" si="7"/>
        <v>61.83281004709576</v>
      </c>
      <c r="P16" s="61">
        <v>48.7</v>
      </c>
      <c r="Q16" s="61">
        <v>221.1</v>
      </c>
      <c r="R16" s="58">
        <f t="shared" si="19"/>
        <v>454.00410677618066</v>
      </c>
      <c r="S16" s="61"/>
      <c r="T16" s="61">
        <v>14.1</v>
      </c>
      <c r="U16" s="58" t="e">
        <f t="shared" si="20"/>
        <v>#DIV/0!</v>
      </c>
      <c r="V16" s="61"/>
      <c r="W16" s="61">
        <v>41.8</v>
      </c>
      <c r="X16" s="58" t="e">
        <f t="shared" si="9"/>
        <v>#DIV/0!</v>
      </c>
      <c r="Y16" s="62">
        <f t="shared" si="10"/>
        <v>48.7</v>
      </c>
      <c r="Z16" s="62">
        <f t="shared" si="11"/>
        <v>277</v>
      </c>
      <c r="AA16" s="58">
        <f t="shared" si="12"/>
        <v>568.788501026694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1067.9</v>
      </c>
      <c r="AU16" s="94">
        <f t="shared" si="23"/>
        <v>907.2</v>
      </c>
      <c r="AV16" s="58">
        <f t="shared" si="17"/>
        <v>84.95177451072198</v>
      </c>
      <c r="AW16" s="62">
        <f t="shared" si="22"/>
        <v>160.70000000000005</v>
      </c>
      <c r="AX16" s="63">
        <f t="shared" si="18"/>
        <v>71.20000000000005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77.1</v>
      </c>
      <c r="D17" s="61">
        <v>312.5</v>
      </c>
      <c r="E17" s="61">
        <v>18.4</v>
      </c>
      <c r="F17" s="59">
        <f t="shared" si="2"/>
        <v>5.888</v>
      </c>
      <c r="G17" s="61">
        <v>315.6</v>
      </c>
      <c r="H17" s="61">
        <v>131</v>
      </c>
      <c r="I17" s="59">
        <f t="shared" si="3"/>
        <v>41.50823827629911</v>
      </c>
      <c r="J17" s="61">
        <v>273.4</v>
      </c>
      <c r="K17" s="61">
        <v>492.5</v>
      </c>
      <c r="L17" s="58">
        <f t="shared" si="4"/>
        <v>180.13899049012437</v>
      </c>
      <c r="M17" s="62">
        <f t="shared" si="5"/>
        <v>901.5</v>
      </c>
      <c r="N17" s="62">
        <f t="shared" si="6"/>
        <v>641.9</v>
      </c>
      <c r="O17" s="58">
        <f t="shared" si="7"/>
        <v>71.20354963948974</v>
      </c>
      <c r="P17" s="61">
        <v>38.6</v>
      </c>
      <c r="Q17" s="61">
        <v>105.1</v>
      </c>
      <c r="R17" s="58">
        <f t="shared" si="19"/>
        <v>272.27979274611397</v>
      </c>
      <c r="S17" s="61"/>
      <c r="T17" s="61">
        <v>83.5</v>
      </c>
      <c r="U17" s="58" t="e">
        <f t="shared" si="20"/>
        <v>#DIV/0!</v>
      </c>
      <c r="V17" s="61"/>
      <c r="W17" s="61">
        <v>156.7</v>
      </c>
      <c r="X17" s="58" t="e">
        <f t="shared" si="9"/>
        <v>#DIV/0!</v>
      </c>
      <c r="Y17" s="62">
        <f t="shared" si="10"/>
        <v>38.6</v>
      </c>
      <c r="Z17" s="62">
        <f t="shared" si="11"/>
        <v>345.29999999999995</v>
      </c>
      <c r="AA17" s="58">
        <f t="shared" si="12"/>
        <v>894.5595854922278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940.1</v>
      </c>
      <c r="AU17" s="94">
        <f t="shared" si="23"/>
        <v>987.1999999999999</v>
      </c>
      <c r="AV17" s="58">
        <f t="shared" si="17"/>
        <v>105.01010530794595</v>
      </c>
      <c r="AW17" s="62">
        <f t="shared" si="22"/>
        <v>-47.09999999999991</v>
      </c>
      <c r="AX17" s="63">
        <f t="shared" si="18"/>
        <v>30.000000000000114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-157.6</v>
      </c>
      <c r="D19" s="61">
        <v>265</v>
      </c>
      <c r="E19" s="61">
        <v>1.9</v>
      </c>
      <c r="F19" s="59">
        <f t="shared" si="2"/>
        <v>0.7169811320754716</v>
      </c>
      <c r="G19" s="61">
        <v>295.2</v>
      </c>
      <c r="H19" s="61">
        <v>9.9</v>
      </c>
      <c r="I19" s="59">
        <f t="shared" si="3"/>
        <v>3.353658536585366</v>
      </c>
      <c r="J19" s="61">
        <v>282.4</v>
      </c>
      <c r="K19" s="61">
        <v>211.3</v>
      </c>
      <c r="L19" s="67">
        <f t="shared" si="4"/>
        <v>74.82294617563741</v>
      </c>
      <c r="M19" s="62">
        <f t="shared" si="5"/>
        <v>842.6</v>
      </c>
      <c r="N19" s="62">
        <f t="shared" si="6"/>
        <v>223.10000000000002</v>
      </c>
      <c r="O19" s="58">
        <f t="shared" si="7"/>
        <v>26.477569427961072</v>
      </c>
      <c r="P19" s="61">
        <v>121.9</v>
      </c>
      <c r="Q19" s="61">
        <v>170.5</v>
      </c>
      <c r="R19" s="58">
        <f t="shared" si="19"/>
        <v>139.8687448728466</v>
      </c>
      <c r="S19" s="61">
        <v>68</v>
      </c>
      <c r="T19" s="61">
        <v>74.5</v>
      </c>
      <c r="U19" s="58">
        <f t="shared" si="20"/>
        <v>109.55882352941177</v>
      </c>
      <c r="V19" s="61">
        <v>68</v>
      </c>
      <c r="W19" s="61">
        <v>314.9</v>
      </c>
      <c r="X19" s="66">
        <f t="shared" si="9"/>
        <v>463.0882352941176</v>
      </c>
      <c r="Y19" s="62">
        <f t="shared" si="10"/>
        <v>257.9</v>
      </c>
      <c r="Z19" s="62">
        <f t="shared" si="11"/>
        <v>559.9</v>
      </c>
      <c r="AA19" s="58">
        <f t="shared" si="12"/>
        <v>217.0996510275301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1100.5</v>
      </c>
      <c r="AU19" s="94">
        <f t="shared" si="23"/>
        <v>783</v>
      </c>
      <c r="AV19" s="58">
        <f t="shared" si="17"/>
        <v>71.14947751022262</v>
      </c>
      <c r="AW19" s="62">
        <f t="shared" si="22"/>
        <v>317.5</v>
      </c>
      <c r="AX19" s="63">
        <f t="shared" si="18"/>
        <v>159.89999999999998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-247.3</v>
      </c>
      <c r="D23" s="75">
        <f>SUM(D24:D29)</f>
        <v>539.6</v>
      </c>
      <c r="E23" s="75">
        <f>SUM(E24:E29)</f>
        <v>0</v>
      </c>
      <c r="F23" s="59">
        <f t="shared" si="2"/>
        <v>0</v>
      </c>
      <c r="G23" s="75">
        <f>SUM(G24:G29)</f>
        <v>613.7</v>
      </c>
      <c r="H23" s="75">
        <f>SUM(H24:H29)</f>
        <v>65.8</v>
      </c>
      <c r="I23" s="59">
        <f t="shared" si="3"/>
        <v>10.721851067296724</v>
      </c>
      <c r="J23" s="75">
        <f>SUM(J24:J29)</f>
        <v>426.09999999999997</v>
      </c>
      <c r="K23" s="75">
        <f>SUM(K24:K29)</f>
        <v>172.3</v>
      </c>
      <c r="L23" s="71">
        <f t="shared" si="4"/>
        <v>40.43651724947196</v>
      </c>
      <c r="M23" s="58">
        <f t="shared" si="5"/>
        <v>1579.4</v>
      </c>
      <c r="N23" s="58">
        <f t="shared" si="6"/>
        <v>238.10000000000002</v>
      </c>
      <c r="O23" s="58">
        <f t="shared" si="7"/>
        <v>15.075345067747245</v>
      </c>
      <c r="P23" s="75">
        <f aca="true" t="shared" si="27" ref="P23:W23">SUM(P24:P29)</f>
        <v>80.2</v>
      </c>
      <c r="Q23" s="75">
        <f t="shared" si="27"/>
        <v>624</v>
      </c>
      <c r="R23" s="75" t="e">
        <f t="shared" si="27"/>
        <v>#DIV/0!</v>
      </c>
      <c r="S23" s="75">
        <f t="shared" si="27"/>
        <v>0</v>
      </c>
      <c r="T23" s="75">
        <f t="shared" si="27"/>
        <v>196.8</v>
      </c>
      <c r="U23" s="75" t="e">
        <f t="shared" si="27"/>
        <v>#DIV/0!</v>
      </c>
      <c r="V23" s="75">
        <f t="shared" si="27"/>
        <v>0</v>
      </c>
      <c r="W23" s="75">
        <f t="shared" si="27"/>
        <v>148.7</v>
      </c>
      <c r="X23" s="72" t="e">
        <f t="shared" si="9"/>
        <v>#DIV/0!</v>
      </c>
      <c r="Y23" s="58">
        <f t="shared" si="10"/>
        <v>80.2</v>
      </c>
      <c r="Z23" s="58">
        <f t="shared" si="11"/>
        <v>969.5</v>
      </c>
      <c r="AA23" s="58">
        <f t="shared" si="12"/>
        <v>1208.852867830424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1659.6000000000001</v>
      </c>
      <c r="AU23" s="57">
        <f t="shared" si="23"/>
        <v>1207.6</v>
      </c>
      <c r="AV23" s="58">
        <f t="shared" si="17"/>
        <v>72.76452157146299</v>
      </c>
      <c r="AW23" s="58">
        <f t="shared" si="22"/>
        <v>452.0000000000002</v>
      </c>
      <c r="AX23" s="79">
        <f t="shared" si="18"/>
        <v>204.70000000000027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f>-94.5</f>
        <v>-94.5</v>
      </c>
      <c r="D24" s="61">
        <v>63.2</v>
      </c>
      <c r="E24" s="61">
        <v>0</v>
      </c>
      <c r="F24" s="59">
        <f t="shared" si="2"/>
        <v>0</v>
      </c>
      <c r="G24" s="61">
        <v>162.7</v>
      </c>
      <c r="H24" s="61"/>
      <c r="I24" s="59">
        <f t="shared" si="3"/>
        <v>0</v>
      </c>
      <c r="J24" s="61">
        <v>93.7</v>
      </c>
      <c r="K24" s="61"/>
      <c r="L24" s="58">
        <f t="shared" si="4"/>
        <v>0</v>
      </c>
      <c r="M24" s="62">
        <f t="shared" si="5"/>
        <v>319.59999999999997</v>
      </c>
      <c r="N24" s="62">
        <f t="shared" si="6"/>
        <v>0</v>
      </c>
      <c r="O24" s="58">
        <f t="shared" si="7"/>
        <v>0</v>
      </c>
      <c r="P24" s="61">
        <v>29.8</v>
      </c>
      <c r="Q24" s="61">
        <v>128.2</v>
      </c>
      <c r="R24" s="58">
        <f t="shared" si="19"/>
        <v>430.20134228187914</v>
      </c>
      <c r="S24" s="61"/>
      <c r="T24" s="61">
        <v>97</v>
      </c>
      <c r="U24" s="58" t="e">
        <f t="shared" si="20"/>
        <v>#DIV/0!</v>
      </c>
      <c r="V24" s="61"/>
      <c r="W24" s="61">
        <v>29.8</v>
      </c>
      <c r="X24" s="72" t="e">
        <f t="shared" si="9"/>
        <v>#DIV/0!</v>
      </c>
      <c r="Y24" s="62">
        <f t="shared" si="10"/>
        <v>29.8</v>
      </c>
      <c r="Z24" s="62">
        <f t="shared" si="11"/>
        <v>255</v>
      </c>
      <c r="AA24" s="58">
        <f t="shared" si="12"/>
        <v>855.7046979865772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349.4</v>
      </c>
      <c r="AU24" s="94">
        <f t="shared" si="23"/>
        <v>255</v>
      </c>
      <c r="AV24" s="58">
        <f t="shared" si="17"/>
        <v>72.98225529479107</v>
      </c>
      <c r="AW24" s="62">
        <f t="shared" si="22"/>
        <v>94.39999999999998</v>
      </c>
      <c r="AX24" s="63">
        <f t="shared" si="18"/>
        <v>-0.10000000000002274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-17.2</v>
      </c>
      <c r="D25" s="61">
        <v>56.2</v>
      </c>
      <c r="E25" s="61">
        <v>0</v>
      </c>
      <c r="F25" s="59">
        <f t="shared" si="2"/>
        <v>0</v>
      </c>
      <c r="G25" s="61">
        <v>51.8</v>
      </c>
      <c r="H25" s="61">
        <v>10</v>
      </c>
      <c r="I25" s="59">
        <f t="shared" si="3"/>
        <v>19.305019305019304</v>
      </c>
      <c r="J25" s="61">
        <v>17</v>
      </c>
      <c r="K25" s="61">
        <v>64.5</v>
      </c>
      <c r="L25" s="58">
        <f t="shared" si="4"/>
        <v>379.4117647058823</v>
      </c>
      <c r="M25" s="62">
        <f t="shared" si="5"/>
        <v>125</v>
      </c>
      <c r="N25" s="62">
        <f t="shared" si="6"/>
        <v>74.5</v>
      </c>
      <c r="O25" s="58">
        <f t="shared" si="7"/>
        <v>59.599999999999994</v>
      </c>
      <c r="P25" s="61">
        <v>0.6</v>
      </c>
      <c r="Q25" s="61">
        <v>17.4</v>
      </c>
      <c r="R25" s="58">
        <f t="shared" si="19"/>
        <v>2900</v>
      </c>
      <c r="S25" s="61"/>
      <c r="T25" s="61"/>
      <c r="U25" s="58" t="e">
        <f t="shared" si="20"/>
        <v>#DIV/0!</v>
      </c>
      <c r="V25" s="61"/>
      <c r="W25" s="61">
        <v>7.2</v>
      </c>
      <c r="X25" s="58" t="e">
        <f>W25/V25*100</f>
        <v>#DIV/0!</v>
      </c>
      <c r="Y25" s="62">
        <f t="shared" si="10"/>
        <v>0.6</v>
      </c>
      <c r="Z25" s="62">
        <f t="shared" si="11"/>
        <v>24.599999999999998</v>
      </c>
      <c r="AA25" s="58">
        <f t="shared" si="12"/>
        <v>4100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125.6</v>
      </c>
      <c r="AU25" s="94">
        <f t="shared" si="23"/>
        <v>99.1</v>
      </c>
      <c r="AV25" s="58">
        <f t="shared" si="17"/>
        <v>78.90127388535032</v>
      </c>
      <c r="AW25" s="62">
        <f t="shared" si="22"/>
        <v>26.5</v>
      </c>
      <c r="AX25" s="63">
        <f t="shared" si="18"/>
        <v>9.299999999999997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-135.6</v>
      </c>
      <c r="D26" s="61">
        <v>420.2</v>
      </c>
      <c r="E26" s="61">
        <v>0</v>
      </c>
      <c r="F26" s="59">
        <f t="shared" si="2"/>
        <v>0</v>
      </c>
      <c r="G26" s="61">
        <v>399.2</v>
      </c>
      <c r="H26" s="61">
        <v>55.8</v>
      </c>
      <c r="I26" s="59">
        <f t="shared" si="3"/>
        <v>13.977955911823647</v>
      </c>
      <c r="J26" s="61">
        <v>315.4</v>
      </c>
      <c r="K26" s="61">
        <v>107.8</v>
      </c>
      <c r="L26" s="58">
        <f aca="true" t="shared" si="30" ref="L26:L31">K26/J26*100</f>
        <v>34.178820545339256</v>
      </c>
      <c r="M26" s="62">
        <f t="shared" si="5"/>
        <v>1134.8</v>
      </c>
      <c r="N26" s="62">
        <f t="shared" si="6"/>
        <v>163.6</v>
      </c>
      <c r="O26" s="58">
        <f t="shared" si="7"/>
        <v>14.416637292915052</v>
      </c>
      <c r="P26" s="61">
        <v>49.8</v>
      </c>
      <c r="Q26" s="61">
        <v>478.4</v>
      </c>
      <c r="R26" s="58">
        <f t="shared" si="19"/>
        <v>960.6425702811246</v>
      </c>
      <c r="S26" s="61"/>
      <c r="T26" s="61">
        <v>99.8</v>
      </c>
      <c r="U26" s="58" t="e">
        <f t="shared" si="20"/>
        <v>#DIV/0!</v>
      </c>
      <c r="V26" s="61"/>
      <c r="W26" s="61">
        <v>111.7</v>
      </c>
      <c r="X26" s="58" t="e">
        <f>W26/V26*100</f>
        <v>#DIV/0!</v>
      </c>
      <c r="Y26" s="62">
        <f t="shared" si="10"/>
        <v>49.8</v>
      </c>
      <c r="Z26" s="62">
        <f t="shared" si="11"/>
        <v>689.9</v>
      </c>
      <c r="AA26" s="58">
        <f t="shared" si="12"/>
        <v>1385.3413654618475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1184.6</v>
      </c>
      <c r="AU26" s="94">
        <f t="shared" si="23"/>
        <v>853.5</v>
      </c>
      <c r="AV26" s="58">
        <f t="shared" si="17"/>
        <v>72.04963700827284</v>
      </c>
      <c r="AW26" s="62">
        <f t="shared" si="22"/>
        <v>331.0999999999999</v>
      </c>
      <c r="AX26" s="63">
        <f t="shared" si="18"/>
        <v>195.5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-327.6</v>
      </c>
      <c r="D30" s="108">
        <f>SUM(D31:D38)</f>
        <v>815.9000000000001</v>
      </c>
      <c r="E30" s="108">
        <f>SUM(E31:E38)</f>
        <v>0</v>
      </c>
      <c r="F30" s="92">
        <f t="shared" si="2"/>
        <v>0</v>
      </c>
      <c r="G30" s="108">
        <f>SUM(G31:G38)</f>
        <v>784.3</v>
      </c>
      <c r="H30" s="108">
        <f>SUM(H31:H38)</f>
        <v>92.5</v>
      </c>
      <c r="I30" s="92">
        <f t="shared" si="3"/>
        <v>11.7939563942369</v>
      </c>
      <c r="J30" s="108">
        <f>SUM(J31:J38)</f>
        <v>778.7</v>
      </c>
      <c r="K30" s="108">
        <f>SUM(K31:K38)</f>
        <v>726.1</v>
      </c>
      <c r="L30" s="56">
        <f t="shared" si="30"/>
        <v>93.24515217670476</v>
      </c>
      <c r="M30" s="56">
        <f t="shared" si="5"/>
        <v>2378.9</v>
      </c>
      <c r="N30" s="56">
        <f t="shared" si="6"/>
        <v>818.6</v>
      </c>
      <c r="O30" s="56">
        <f t="shared" si="7"/>
        <v>34.41086216318466</v>
      </c>
      <c r="P30" s="108">
        <f aca="true" t="shared" si="32" ref="P30:W30">SUM(P31:P38)</f>
        <v>103.4</v>
      </c>
      <c r="Q30" s="108">
        <f t="shared" si="32"/>
        <v>824.6999999999999</v>
      </c>
      <c r="R30" s="108" t="e">
        <f t="shared" si="32"/>
        <v>#DIV/0!</v>
      </c>
      <c r="S30" s="108">
        <f t="shared" si="32"/>
        <v>8.1</v>
      </c>
      <c r="T30" s="108">
        <f t="shared" si="32"/>
        <v>441.1</v>
      </c>
      <c r="U30" s="108" t="e">
        <f t="shared" si="32"/>
        <v>#DIV/0!</v>
      </c>
      <c r="V30" s="108">
        <f t="shared" si="32"/>
        <v>0</v>
      </c>
      <c r="W30" s="108">
        <f t="shared" si="32"/>
        <v>108.6</v>
      </c>
      <c r="X30" s="56" t="e">
        <f t="shared" si="31"/>
        <v>#DIV/0!</v>
      </c>
      <c r="Y30" s="56">
        <f t="shared" si="10"/>
        <v>111.5</v>
      </c>
      <c r="Z30" s="56">
        <f t="shared" si="11"/>
        <v>1374.3999999999999</v>
      </c>
      <c r="AA30" s="56">
        <f t="shared" si="12"/>
        <v>1232.6457399103138</v>
      </c>
      <c r="AB30" s="108">
        <f aca="true" t="shared" si="33" ref="AB30:AI30">SUM(AB31:AB38)</f>
        <v>0</v>
      </c>
      <c r="AC30" s="108">
        <f t="shared" si="33"/>
        <v>0</v>
      </c>
      <c r="AD30" s="108">
        <f t="shared" si="33"/>
        <v>0</v>
      </c>
      <c r="AE30" s="108">
        <f t="shared" si="33"/>
        <v>0</v>
      </c>
      <c r="AF30" s="108">
        <f t="shared" si="33"/>
        <v>0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0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2490.4</v>
      </c>
      <c r="AU30" s="57">
        <f t="shared" si="23"/>
        <v>2193</v>
      </c>
      <c r="AV30" s="56">
        <f t="shared" si="17"/>
        <v>88.0581432701574</v>
      </c>
      <c r="AW30" s="56">
        <f>AT30-AU30</f>
        <v>297.4000000000001</v>
      </c>
      <c r="AX30" s="55">
        <f t="shared" si="18"/>
        <v>-30.199999999999818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142.8</v>
      </c>
      <c r="E31" s="61">
        <v>0</v>
      </c>
      <c r="F31" s="59">
        <f t="shared" si="2"/>
        <v>0</v>
      </c>
      <c r="G31" s="61">
        <v>127.1</v>
      </c>
      <c r="H31" s="61"/>
      <c r="I31" s="59">
        <f t="shared" si="3"/>
        <v>0</v>
      </c>
      <c r="J31" s="61">
        <v>107.7</v>
      </c>
      <c r="K31" s="61">
        <v>199</v>
      </c>
      <c r="L31" s="56">
        <f t="shared" si="30"/>
        <v>184.77251624883937</v>
      </c>
      <c r="M31" s="62">
        <f t="shared" si="5"/>
        <v>377.59999999999997</v>
      </c>
      <c r="N31" s="62">
        <f t="shared" si="6"/>
        <v>199</v>
      </c>
      <c r="O31" s="58">
        <f t="shared" si="7"/>
        <v>52.70127118644068</v>
      </c>
      <c r="P31" s="65">
        <v>26.8</v>
      </c>
      <c r="Q31" s="65">
        <v>115.4</v>
      </c>
      <c r="R31" s="58">
        <f t="shared" si="19"/>
        <v>430.5970149253732</v>
      </c>
      <c r="S31" s="61">
        <v>8.1</v>
      </c>
      <c r="T31" s="61">
        <v>63.2</v>
      </c>
      <c r="U31" s="64">
        <f t="shared" si="20"/>
        <v>780.246913580247</v>
      </c>
      <c r="V31" s="61"/>
      <c r="W31" s="61">
        <v>21.9</v>
      </c>
      <c r="X31" s="64" t="e">
        <f t="shared" si="31"/>
        <v>#DIV/0!</v>
      </c>
      <c r="Y31" s="62">
        <f t="shared" si="10"/>
        <v>34.9</v>
      </c>
      <c r="Z31" s="62">
        <f t="shared" si="11"/>
        <v>200.50000000000003</v>
      </c>
      <c r="AA31" s="58">
        <f t="shared" si="12"/>
        <v>574.4985673352437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412.49999999999994</v>
      </c>
      <c r="AU31" s="94">
        <f t="shared" si="23"/>
        <v>399.5</v>
      </c>
      <c r="AV31" s="58">
        <f>AU31/AT31*100</f>
        <v>96.84848484848486</v>
      </c>
      <c r="AW31" s="62">
        <f>AT31-AU31</f>
        <v>12.999999999999943</v>
      </c>
      <c r="AX31" s="63">
        <f t="shared" si="18"/>
        <v>12.999999999999943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0</v>
      </c>
      <c r="D33" s="61">
        <v>81.6</v>
      </c>
      <c r="E33" s="61"/>
      <c r="F33" s="59">
        <f t="shared" si="2"/>
        <v>0</v>
      </c>
      <c r="G33" s="61">
        <v>70.8</v>
      </c>
      <c r="H33" s="61"/>
      <c r="I33" s="59">
        <f t="shared" si="3"/>
        <v>0</v>
      </c>
      <c r="J33" s="61">
        <v>70.3</v>
      </c>
      <c r="K33" s="61">
        <v>7.9</v>
      </c>
      <c r="L33" s="58">
        <f t="shared" si="36"/>
        <v>11.237553342816502</v>
      </c>
      <c r="M33" s="62">
        <f t="shared" si="5"/>
        <v>222.7</v>
      </c>
      <c r="N33" s="62">
        <f t="shared" si="6"/>
        <v>7.9</v>
      </c>
      <c r="O33" s="58">
        <f t="shared" si="7"/>
        <v>3.547373147732376</v>
      </c>
      <c r="P33" s="61">
        <v>20</v>
      </c>
      <c r="Q33" s="61">
        <v>216.2</v>
      </c>
      <c r="R33" s="58">
        <f t="shared" si="19"/>
        <v>1080.9999999999998</v>
      </c>
      <c r="S33" s="61"/>
      <c r="T33" s="61"/>
      <c r="U33" s="58" t="e">
        <f t="shared" si="20"/>
        <v>#DIV/0!</v>
      </c>
      <c r="V33" s="61"/>
      <c r="W33" s="61">
        <v>18.6</v>
      </c>
      <c r="X33" s="66" t="e">
        <f t="shared" si="31"/>
        <v>#DIV/0!</v>
      </c>
      <c r="Y33" s="62">
        <f t="shared" si="10"/>
        <v>20</v>
      </c>
      <c r="Z33" s="62">
        <f t="shared" si="11"/>
        <v>234.79999999999998</v>
      </c>
      <c r="AA33" s="58">
        <f t="shared" si="12"/>
        <v>1173.9999999999998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242.7</v>
      </c>
      <c r="AU33" s="94">
        <f t="shared" si="23"/>
        <v>242.7</v>
      </c>
      <c r="AV33" s="58">
        <f t="shared" si="37"/>
        <v>100</v>
      </c>
      <c r="AW33" s="62">
        <f t="shared" si="38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-252-1.5</f>
        <v>-253.5</v>
      </c>
      <c r="D35" s="61">
        <f>282.9+101.8</f>
        <v>384.7</v>
      </c>
      <c r="E35" s="61"/>
      <c r="F35" s="59">
        <f t="shared" si="2"/>
        <v>0</v>
      </c>
      <c r="G35" s="61">
        <f>258+101.7</f>
        <v>359.7</v>
      </c>
      <c r="H35" s="61">
        <f>12.3</f>
        <v>12.3</v>
      </c>
      <c r="I35" s="59">
        <f t="shared" si="3"/>
        <v>3.419516263552961</v>
      </c>
      <c r="J35" s="61">
        <f>103.3+304.8</f>
        <v>408.1</v>
      </c>
      <c r="K35" s="61">
        <f>4.8+224.8</f>
        <v>229.60000000000002</v>
      </c>
      <c r="L35" s="58">
        <f t="shared" si="36"/>
        <v>56.26072041166381</v>
      </c>
      <c r="M35" s="62">
        <f t="shared" si="5"/>
        <v>1152.5</v>
      </c>
      <c r="N35" s="62">
        <f t="shared" si="6"/>
        <v>241.90000000000003</v>
      </c>
      <c r="O35" s="58">
        <f t="shared" si="7"/>
        <v>20.989154013015188</v>
      </c>
      <c r="P35" s="61">
        <v>10.5</v>
      </c>
      <c r="Q35" s="61">
        <f>368.4+3.3</f>
        <v>371.7</v>
      </c>
      <c r="R35" s="58">
        <f t="shared" si="19"/>
        <v>3540</v>
      </c>
      <c r="S35" s="61"/>
      <c r="T35" s="61">
        <f>34.1+307.7</f>
        <v>341.8</v>
      </c>
      <c r="U35" s="58" t="e">
        <f t="shared" si="20"/>
        <v>#DIV/0!</v>
      </c>
      <c r="V35" s="61"/>
      <c r="W35" s="61">
        <f>36.8</f>
        <v>36.8</v>
      </c>
      <c r="X35" s="58" t="e">
        <f t="shared" si="31"/>
        <v>#DIV/0!</v>
      </c>
      <c r="Y35" s="62">
        <f t="shared" si="10"/>
        <v>10.5</v>
      </c>
      <c r="Z35" s="62">
        <f t="shared" si="11"/>
        <v>750.3</v>
      </c>
      <c r="AA35" s="58">
        <f t="shared" si="12"/>
        <v>7145.714285714285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1163</v>
      </c>
      <c r="AU35" s="94">
        <f t="shared" si="23"/>
        <v>992.2</v>
      </c>
      <c r="AV35" s="58">
        <f t="shared" si="37"/>
        <v>85.31384350816853</v>
      </c>
      <c r="AW35" s="62">
        <f t="shared" si="38"/>
        <v>170.79999999999995</v>
      </c>
      <c r="AX35" s="63">
        <f t="shared" si="18"/>
        <v>-82.70000000000005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6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7"/>
        <v>#DIV/0!</v>
      </c>
      <c r="AW36" s="62">
        <f t="shared" si="38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-74.1</v>
      </c>
      <c r="D38" s="61">
        <v>206.8</v>
      </c>
      <c r="E38" s="61">
        <v>0</v>
      </c>
      <c r="F38" s="59">
        <f t="shared" si="2"/>
        <v>0</v>
      </c>
      <c r="G38" s="61">
        <v>226.7</v>
      </c>
      <c r="H38" s="61">
        <v>80.2</v>
      </c>
      <c r="I38" s="59">
        <f t="shared" si="3"/>
        <v>35.37715041905602</v>
      </c>
      <c r="J38" s="61">
        <v>192.6</v>
      </c>
      <c r="K38" s="61">
        <v>289.6</v>
      </c>
      <c r="L38" s="58">
        <f t="shared" si="36"/>
        <v>150.36344755970924</v>
      </c>
      <c r="M38" s="62">
        <f t="shared" si="5"/>
        <v>626.1</v>
      </c>
      <c r="N38" s="62">
        <f t="shared" si="6"/>
        <v>369.8</v>
      </c>
      <c r="O38" s="58">
        <f t="shared" si="7"/>
        <v>59.06404727679284</v>
      </c>
      <c r="P38" s="61">
        <v>46.1</v>
      </c>
      <c r="Q38" s="61">
        <v>121.4</v>
      </c>
      <c r="R38" s="58">
        <f t="shared" si="19"/>
        <v>263.3405639913232</v>
      </c>
      <c r="S38" s="61"/>
      <c r="T38" s="61">
        <v>36.1</v>
      </c>
      <c r="U38" s="58" t="e">
        <f t="shared" si="20"/>
        <v>#DIV/0!</v>
      </c>
      <c r="V38" s="61"/>
      <c r="W38" s="61">
        <v>31.3</v>
      </c>
      <c r="X38" s="58" t="e">
        <f t="shared" si="31"/>
        <v>#DIV/0!</v>
      </c>
      <c r="Y38" s="62">
        <f t="shared" si="10"/>
        <v>46.1</v>
      </c>
      <c r="Z38" s="62">
        <f t="shared" si="11"/>
        <v>188.8</v>
      </c>
      <c r="AA38" s="58">
        <f t="shared" si="12"/>
        <v>409.54446854663775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672.2</v>
      </c>
      <c r="AU38" s="94">
        <f t="shared" si="23"/>
        <v>558.6</v>
      </c>
      <c r="AV38" s="58">
        <f t="shared" si="37"/>
        <v>83.10026777744719</v>
      </c>
      <c r="AW38" s="62">
        <f t="shared" si="38"/>
        <v>113.60000000000002</v>
      </c>
      <c r="AX38" s="63">
        <f t="shared" si="18"/>
        <v>39.5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-642.6</v>
      </c>
      <c r="D39" s="75">
        <f>SUM(D40:D44)</f>
        <v>1865.3</v>
      </c>
      <c r="E39" s="75">
        <f>SUM(E40:E44)</f>
        <v>2.2</v>
      </c>
      <c r="F39" s="59">
        <f t="shared" si="2"/>
        <v>0.11794349434407336</v>
      </c>
      <c r="G39" s="75">
        <f>SUM(G40:G44)</f>
        <v>2162.6</v>
      </c>
      <c r="H39" s="75">
        <f>SUM(H40:H44)</f>
        <v>1077.9</v>
      </c>
      <c r="I39" s="59">
        <f t="shared" si="3"/>
        <v>49.84278183667808</v>
      </c>
      <c r="J39" s="75">
        <f>SUM(J40:J44)</f>
        <v>1596.1999999999998</v>
      </c>
      <c r="K39" s="75">
        <f>SUM(K40:K44)</f>
        <v>1808.6</v>
      </c>
      <c r="L39" s="58">
        <f t="shared" si="36"/>
        <v>113.30660318255859</v>
      </c>
      <c r="M39" s="58">
        <f t="shared" si="5"/>
        <v>5624.099999999999</v>
      </c>
      <c r="N39" s="58">
        <f t="shared" si="6"/>
        <v>2888.7</v>
      </c>
      <c r="O39" s="58">
        <f t="shared" si="7"/>
        <v>51.36288472822318</v>
      </c>
      <c r="P39" s="75">
        <f aca="true" t="shared" si="39" ref="P39:W39">SUM(P40:P44)</f>
        <v>386</v>
      </c>
      <c r="Q39" s="75">
        <f t="shared" si="39"/>
        <v>1464.1999999999998</v>
      </c>
      <c r="R39" s="75" t="e">
        <f t="shared" si="39"/>
        <v>#DIV/0!</v>
      </c>
      <c r="S39" s="75">
        <f t="shared" si="39"/>
        <v>0</v>
      </c>
      <c r="T39" s="75">
        <f t="shared" si="39"/>
        <v>455.5</v>
      </c>
      <c r="U39" s="75" t="e">
        <f t="shared" si="39"/>
        <v>#DIV/0!</v>
      </c>
      <c r="V39" s="75">
        <f t="shared" si="39"/>
        <v>0</v>
      </c>
      <c r="W39" s="75">
        <f t="shared" si="39"/>
        <v>370.90000000000003</v>
      </c>
      <c r="X39" s="58" t="e">
        <f t="shared" si="31"/>
        <v>#DIV/0!</v>
      </c>
      <c r="Y39" s="58">
        <f t="shared" si="10"/>
        <v>386</v>
      </c>
      <c r="Z39" s="58">
        <f t="shared" si="11"/>
        <v>2290.6</v>
      </c>
      <c r="AA39" s="58">
        <f t="shared" si="12"/>
        <v>593.4196891191709</v>
      </c>
      <c r="AB39" s="75">
        <f aca="true" t="shared" si="40" ref="AB39:AI39">SUM(AB40:AB44)</f>
        <v>0</v>
      </c>
      <c r="AC39" s="75">
        <f t="shared" si="40"/>
        <v>0</v>
      </c>
      <c r="AD39" s="75">
        <f t="shared" si="40"/>
        <v>0</v>
      </c>
      <c r="AE39" s="75">
        <f t="shared" si="40"/>
        <v>0</v>
      </c>
      <c r="AF39" s="75">
        <f t="shared" si="40"/>
        <v>0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0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6010.099999999999</v>
      </c>
      <c r="AU39" s="57">
        <f t="shared" si="23"/>
        <v>5179.299999999999</v>
      </c>
      <c r="AV39" s="58">
        <f t="shared" si="37"/>
        <v>86.17660271875675</v>
      </c>
      <c r="AW39" s="58">
        <f t="shared" si="38"/>
        <v>830.8000000000002</v>
      </c>
      <c r="AX39" s="79">
        <f t="shared" si="18"/>
        <v>188.19999999999982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-250</v>
      </c>
      <c r="D42" s="61">
        <f>1319.8+2.5</f>
        <v>1322.3</v>
      </c>
      <c r="E42" s="61">
        <v>0</v>
      </c>
      <c r="F42" s="59">
        <f t="shared" si="2"/>
        <v>0</v>
      </c>
      <c r="G42" s="61">
        <f>1625+2.6</f>
        <v>1627.6</v>
      </c>
      <c r="H42" s="61">
        <f>698.4+2.5</f>
        <v>700.9</v>
      </c>
      <c r="I42" s="59">
        <f t="shared" si="3"/>
        <v>43.06340624231998</v>
      </c>
      <c r="J42" s="61">
        <f>1172.6+12.8</f>
        <v>1185.3999999999999</v>
      </c>
      <c r="K42" s="61">
        <f>1428.7+2.6</f>
        <v>1431.3</v>
      </c>
      <c r="L42" s="58">
        <f t="shared" si="36"/>
        <v>120.74405264045893</v>
      </c>
      <c r="M42" s="62">
        <f t="shared" si="42"/>
        <v>4135.299999999999</v>
      </c>
      <c r="N42" s="62">
        <f t="shared" si="43"/>
        <v>2132.2</v>
      </c>
      <c r="O42" s="58">
        <f t="shared" si="7"/>
        <v>51.56095083790777</v>
      </c>
      <c r="P42" s="61">
        <f>292.5+8.6</f>
        <v>301.1</v>
      </c>
      <c r="Q42" s="61">
        <f>1166.1+12.8</f>
        <v>1178.8999999999999</v>
      </c>
      <c r="R42" s="58">
        <f t="shared" si="19"/>
        <v>391.5310528063765</v>
      </c>
      <c r="S42" s="61"/>
      <c r="T42" s="61">
        <f>338.4+8.6</f>
        <v>347</v>
      </c>
      <c r="U42" s="58" t="e">
        <f t="shared" si="20"/>
        <v>#DIV/0!</v>
      </c>
      <c r="V42" s="61"/>
      <c r="W42" s="61">
        <v>348.6</v>
      </c>
      <c r="X42" s="58" t="e">
        <f t="shared" si="31"/>
        <v>#DIV/0!</v>
      </c>
      <c r="Y42" s="62">
        <f t="shared" si="44"/>
        <v>301.1</v>
      </c>
      <c r="Z42" s="62">
        <f t="shared" si="45"/>
        <v>1874.5</v>
      </c>
      <c r="AA42" s="58">
        <f t="shared" si="12"/>
        <v>622.5506476253736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4436.4</v>
      </c>
      <c r="AU42" s="94">
        <f t="shared" si="23"/>
        <v>4006.7</v>
      </c>
      <c r="AV42" s="58">
        <f t="shared" si="37"/>
        <v>90.314218735912</v>
      </c>
      <c r="AW42" s="62">
        <f t="shared" si="38"/>
        <v>429.6999999999998</v>
      </c>
      <c r="AX42" s="63">
        <f t="shared" si="46"/>
        <v>179.69999999999982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-392.6</v>
      </c>
      <c r="D44" s="61">
        <v>543</v>
      </c>
      <c r="E44" s="61">
        <v>2.2</v>
      </c>
      <c r="F44" s="59">
        <f t="shared" si="2"/>
        <v>0.40515653775322286</v>
      </c>
      <c r="G44" s="61">
        <v>535</v>
      </c>
      <c r="H44" s="61">
        <v>377</v>
      </c>
      <c r="I44" s="59">
        <f t="shared" si="3"/>
        <v>70.46728971962617</v>
      </c>
      <c r="J44" s="61">
        <v>410.8</v>
      </c>
      <c r="K44" s="61">
        <v>377.3</v>
      </c>
      <c r="L44" s="71">
        <f t="shared" si="36"/>
        <v>91.84518013631939</v>
      </c>
      <c r="M44" s="62">
        <f t="shared" si="42"/>
        <v>1488.8</v>
      </c>
      <c r="N44" s="62">
        <f t="shared" si="43"/>
        <v>756.5</v>
      </c>
      <c r="O44" s="58">
        <f t="shared" si="7"/>
        <v>50.81273508866201</v>
      </c>
      <c r="P44" s="61">
        <v>84.9</v>
      </c>
      <c r="Q44" s="61">
        <v>285.3</v>
      </c>
      <c r="R44" s="58">
        <f t="shared" si="19"/>
        <v>336.0424028268551</v>
      </c>
      <c r="S44" s="61"/>
      <c r="T44" s="61">
        <v>108.5</v>
      </c>
      <c r="U44" s="58" t="e">
        <f t="shared" si="20"/>
        <v>#DIV/0!</v>
      </c>
      <c r="V44" s="61"/>
      <c r="W44" s="61">
        <v>22.3</v>
      </c>
      <c r="X44" s="72" t="e">
        <f t="shared" si="31"/>
        <v>#DIV/0!</v>
      </c>
      <c r="Y44" s="62">
        <f t="shared" si="44"/>
        <v>84.9</v>
      </c>
      <c r="Z44" s="62">
        <f t="shared" si="45"/>
        <v>416.1</v>
      </c>
      <c r="AA44" s="58">
        <f t="shared" si="12"/>
        <v>490.10600706713785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1573.7</v>
      </c>
      <c r="AU44" s="94">
        <f t="shared" si="23"/>
        <v>1172.6</v>
      </c>
      <c r="AV44" s="58">
        <f t="shared" si="37"/>
        <v>74.51229586325219</v>
      </c>
      <c r="AW44" s="62">
        <f t="shared" si="38"/>
        <v>401.10000000000014</v>
      </c>
      <c r="AX44" s="63">
        <f t="shared" si="46"/>
        <v>8.5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2.4</v>
      </c>
      <c r="D45" s="75">
        <f>SUM(D46:D60)</f>
        <v>157.4</v>
      </c>
      <c r="E45" s="75">
        <f>SUM(E46:E60)</f>
        <v>0</v>
      </c>
      <c r="F45" s="59">
        <f t="shared" si="2"/>
        <v>0</v>
      </c>
      <c r="G45" s="75">
        <f>SUM(G46:G60)</f>
        <v>129.79999999999998</v>
      </c>
      <c r="H45" s="75">
        <f>SUM(H46:H60)</f>
        <v>0</v>
      </c>
      <c r="I45" s="59">
        <f t="shared" si="3"/>
        <v>0</v>
      </c>
      <c r="J45" s="75">
        <f>SUM(J46:J60)</f>
        <v>89.9</v>
      </c>
      <c r="K45" s="75">
        <f>SUM(K46:K60)</f>
        <v>284</v>
      </c>
      <c r="L45" s="58">
        <f t="shared" si="36"/>
        <v>315.9065628476084</v>
      </c>
      <c r="M45" s="58">
        <f t="shared" si="42"/>
        <v>377.1</v>
      </c>
      <c r="N45" s="58">
        <f t="shared" si="43"/>
        <v>284</v>
      </c>
      <c r="O45" s="58">
        <f t="shared" si="7"/>
        <v>75.31158843808008</v>
      </c>
      <c r="P45" s="75">
        <f aca="true" t="shared" si="47" ref="P45:W45">SUM(P46:P50)</f>
        <v>0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0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0</v>
      </c>
      <c r="Z45" s="58">
        <f t="shared" si="45"/>
        <v>0</v>
      </c>
      <c r="AA45" s="58" t="e">
        <f t="shared" si="12"/>
        <v>#DIV/0!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377.1</v>
      </c>
      <c r="AU45" s="57">
        <f t="shared" si="23"/>
        <v>284</v>
      </c>
      <c r="AV45" s="58">
        <f t="shared" si="37"/>
        <v>75.31158843808008</v>
      </c>
      <c r="AW45" s="58">
        <f t="shared" si="38"/>
        <v>93.10000000000002</v>
      </c>
      <c r="AX45" s="79">
        <f t="shared" si="46"/>
        <v>95.5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0" ref="L50:L76">K50/J50*100</f>
        <v>#DIV/0!</v>
      </c>
      <c r="M50" s="62">
        <f t="shared" si="42"/>
        <v>0</v>
      </c>
      <c r="N50" s="62">
        <f t="shared" si="43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0</v>
      </c>
      <c r="Z50" s="62">
        <f t="shared" si="45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6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0</v>
      </c>
      <c r="D57" s="61">
        <v>138.5</v>
      </c>
      <c r="E57" s="61">
        <v>0</v>
      </c>
      <c r="F57" s="59">
        <f t="shared" si="52"/>
        <v>0</v>
      </c>
      <c r="G57" s="61">
        <v>110.6</v>
      </c>
      <c r="H57" s="61"/>
      <c r="I57" s="59">
        <f t="shared" si="53"/>
        <v>0</v>
      </c>
      <c r="J57" s="61">
        <v>74.4</v>
      </c>
      <c r="K57" s="61">
        <v>245.8</v>
      </c>
      <c r="L57" s="58">
        <f t="shared" si="50"/>
        <v>330.3763440860215</v>
      </c>
      <c r="M57" s="62">
        <f t="shared" si="42"/>
        <v>323.5</v>
      </c>
      <c r="N57" s="62">
        <f t="shared" si="43"/>
        <v>245.8</v>
      </c>
      <c r="O57" s="58">
        <f t="shared" si="7"/>
        <v>75.98145285935085</v>
      </c>
      <c r="P57" s="61"/>
      <c r="Q57" s="61"/>
      <c r="R57" s="58" t="e">
        <f t="shared" si="19"/>
        <v>#DIV/0!</v>
      </c>
      <c r="S57" s="61"/>
      <c r="T57" s="61">
        <v>5</v>
      </c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0</v>
      </c>
      <c r="Z57" s="62">
        <f t="shared" si="45"/>
        <v>5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323.5</v>
      </c>
      <c r="AU57" s="94">
        <f t="shared" si="23"/>
        <v>250.8</v>
      </c>
      <c r="AV57" s="58">
        <f t="shared" si="17"/>
        <v>77.52704791344668</v>
      </c>
      <c r="AW57" s="62">
        <f t="shared" si="22"/>
        <v>72.69999999999999</v>
      </c>
      <c r="AX57" s="63">
        <f t="shared" si="46"/>
        <v>72.69999999999999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2.4</v>
      </c>
      <c r="D60" s="61">
        <v>18.9</v>
      </c>
      <c r="E60" s="61">
        <v>0</v>
      </c>
      <c r="F60" s="59">
        <f t="shared" si="52"/>
        <v>0</v>
      </c>
      <c r="G60" s="61">
        <v>19.2</v>
      </c>
      <c r="H60" s="61">
        <v>0</v>
      </c>
      <c r="I60" s="59">
        <f t="shared" si="53"/>
        <v>0</v>
      </c>
      <c r="J60" s="61">
        <v>15.5</v>
      </c>
      <c r="K60" s="61">
        <v>38.2</v>
      </c>
      <c r="L60" s="58">
        <f t="shared" si="50"/>
        <v>246.45161290322585</v>
      </c>
      <c r="M60" s="62">
        <f t="shared" si="42"/>
        <v>53.599999999999994</v>
      </c>
      <c r="N60" s="62">
        <f t="shared" si="43"/>
        <v>38.2</v>
      </c>
      <c r="O60" s="58">
        <f t="shared" si="7"/>
        <v>71.26865671641792</v>
      </c>
      <c r="P60" s="61">
        <v>1.3</v>
      </c>
      <c r="Q60" s="61">
        <v>17.9</v>
      </c>
      <c r="R60" s="58">
        <f t="shared" si="19"/>
        <v>1376.923076923077</v>
      </c>
      <c r="S60" s="61"/>
      <c r="T60" s="61"/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1.3</v>
      </c>
      <c r="Z60" s="62">
        <f t="shared" si="45"/>
        <v>17.9</v>
      </c>
      <c r="AA60" s="58">
        <f t="shared" si="12"/>
        <v>1376.923076923077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54.89999999999999</v>
      </c>
      <c r="AU60" s="94">
        <f t="shared" si="23"/>
        <v>56.1</v>
      </c>
      <c r="AV60" s="58">
        <f t="shared" si="17"/>
        <v>102.1857923497268</v>
      </c>
      <c r="AW60" s="62">
        <f t="shared" si="22"/>
        <v>-1.20000000000001</v>
      </c>
      <c r="AX60" s="63">
        <f t="shared" si="46"/>
        <v>1.1999999999999886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-138.79999999999998</v>
      </c>
      <c r="D61" s="109">
        <f>SUM(D62:D71)</f>
        <v>2077.2</v>
      </c>
      <c r="E61" s="109">
        <f>SUM(E62:E71)</f>
        <v>16.9</v>
      </c>
      <c r="F61" s="59">
        <f t="shared" si="52"/>
        <v>0.8135952243404583</v>
      </c>
      <c r="G61" s="109">
        <f>SUM(G62:G71)</f>
        <v>2158.3</v>
      </c>
      <c r="H61" s="109">
        <f>SUM(H62:H71)</f>
        <v>1176.9</v>
      </c>
      <c r="I61" s="59">
        <f t="shared" si="53"/>
        <v>54.52902747532781</v>
      </c>
      <c r="J61" s="109">
        <f>SUM(J62:J71)</f>
        <v>1852.9</v>
      </c>
      <c r="K61" s="109">
        <f>SUM(K62:K71)</f>
        <v>1739.3</v>
      </c>
      <c r="L61" s="58">
        <f t="shared" si="50"/>
        <v>93.86907010631982</v>
      </c>
      <c r="M61" s="58">
        <f t="shared" si="42"/>
        <v>6088.4</v>
      </c>
      <c r="N61" s="58">
        <f t="shared" si="43"/>
        <v>2933.1000000000004</v>
      </c>
      <c r="O61" s="58">
        <f t="shared" si="7"/>
        <v>48.175218448196574</v>
      </c>
      <c r="P61" s="109">
        <f aca="true" t="shared" si="54" ref="P61:W61">SUM(P62:P71)</f>
        <v>461</v>
      </c>
      <c r="Q61" s="109">
        <f t="shared" si="54"/>
        <v>2283.9</v>
      </c>
      <c r="R61" s="109" t="e">
        <f t="shared" si="54"/>
        <v>#DIV/0!</v>
      </c>
      <c r="S61" s="109">
        <f t="shared" si="54"/>
        <v>0</v>
      </c>
      <c r="T61" s="109">
        <f t="shared" si="54"/>
        <v>567.6</v>
      </c>
      <c r="U61" s="109" t="e">
        <f t="shared" si="54"/>
        <v>#DIV/0!</v>
      </c>
      <c r="V61" s="109">
        <f t="shared" si="54"/>
        <v>0</v>
      </c>
      <c r="W61" s="109">
        <f t="shared" si="54"/>
        <v>203.6</v>
      </c>
      <c r="X61" s="58" t="e">
        <f t="shared" si="51"/>
        <v>#DIV/0!</v>
      </c>
      <c r="Y61" s="58">
        <f t="shared" si="44"/>
        <v>461</v>
      </c>
      <c r="Z61" s="58">
        <f t="shared" si="45"/>
        <v>3055.1</v>
      </c>
      <c r="AA61" s="58">
        <f t="shared" si="12"/>
        <v>662.7114967462039</v>
      </c>
      <c r="AB61" s="109">
        <f aca="true" t="shared" si="55" ref="AB61:AI61">SUM(AB62:AB71)</f>
        <v>0</v>
      </c>
      <c r="AC61" s="109">
        <f t="shared" si="55"/>
        <v>0</v>
      </c>
      <c r="AD61" s="109">
        <f t="shared" si="55"/>
        <v>0</v>
      </c>
      <c r="AE61" s="109">
        <f t="shared" si="55"/>
        <v>0</v>
      </c>
      <c r="AF61" s="109">
        <f t="shared" si="55"/>
        <v>0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6549.4</v>
      </c>
      <c r="AU61" s="57">
        <f t="shared" si="23"/>
        <v>5988.200000000001</v>
      </c>
      <c r="AV61" s="58">
        <f t="shared" si="17"/>
        <v>91.43127614743337</v>
      </c>
      <c r="AW61" s="58">
        <f t="shared" si="22"/>
        <v>561.1999999999989</v>
      </c>
      <c r="AX61" s="79">
        <f t="shared" si="46"/>
        <v>422.3999999999987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-138.2</v>
      </c>
      <c r="D62" s="61">
        <v>416.2</v>
      </c>
      <c r="E62" s="61">
        <v>0</v>
      </c>
      <c r="F62" s="59">
        <f t="shared" si="52"/>
        <v>0</v>
      </c>
      <c r="G62" s="61">
        <v>389.8</v>
      </c>
      <c r="H62" s="61">
        <v>156.6</v>
      </c>
      <c r="I62" s="59">
        <f t="shared" si="53"/>
        <v>40.17444843509492</v>
      </c>
      <c r="J62" s="61">
        <v>378.1</v>
      </c>
      <c r="K62" s="61">
        <v>133.1</v>
      </c>
      <c r="L62" s="58">
        <f t="shared" si="50"/>
        <v>35.202327426606715</v>
      </c>
      <c r="M62" s="62">
        <f t="shared" si="42"/>
        <v>1184.1</v>
      </c>
      <c r="N62" s="62">
        <f t="shared" si="43"/>
        <v>289.7</v>
      </c>
      <c r="O62" s="58">
        <f t="shared" si="7"/>
        <v>24.465839033865382</v>
      </c>
      <c r="P62" s="61">
        <v>90.7</v>
      </c>
      <c r="Q62" s="61">
        <v>498.7</v>
      </c>
      <c r="R62" s="58">
        <f t="shared" si="19"/>
        <v>549.8346196251377</v>
      </c>
      <c r="S62" s="61"/>
      <c r="T62" s="61">
        <v>207.2</v>
      </c>
      <c r="U62" s="58" t="e">
        <f t="shared" si="20"/>
        <v>#DIV/0!</v>
      </c>
      <c r="V62" s="61"/>
      <c r="W62" s="61">
        <v>73.1</v>
      </c>
      <c r="X62" s="58" t="e">
        <f t="shared" si="51"/>
        <v>#DIV/0!</v>
      </c>
      <c r="Y62" s="62">
        <f t="shared" si="44"/>
        <v>90.7</v>
      </c>
      <c r="Z62" s="62">
        <f t="shared" si="45"/>
        <v>779</v>
      </c>
      <c r="AA62" s="58">
        <f t="shared" si="12"/>
        <v>858.875413450937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1274.8</v>
      </c>
      <c r="AU62" s="94">
        <f t="shared" si="23"/>
        <v>1068.7</v>
      </c>
      <c r="AV62" s="58">
        <f t="shared" si="17"/>
        <v>83.83275807969879</v>
      </c>
      <c r="AW62" s="62">
        <f t="shared" si="22"/>
        <v>206.0999999999999</v>
      </c>
      <c r="AX62" s="63">
        <f t="shared" si="46"/>
        <v>67.89999999999986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-2.6</f>
        <v>-2.6</v>
      </c>
      <c r="D63" s="70">
        <v>284.5</v>
      </c>
      <c r="E63" s="70">
        <v>0</v>
      </c>
      <c r="F63" s="59">
        <f t="shared" si="52"/>
        <v>0</v>
      </c>
      <c r="G63" s="70">
        <v>210.5</v>
      </c>
      <c r="H63" s="70">
        <v>37.6</v>
      </c>
      <c r="I63" s="59">
        <f t="shared" si="53"/>
        <v>17.862232779097386</v>
      </c>
      <c r="J63" s="61">
        <v>190.7</v>
      </c>
      <c r="K63" s="61">
        <v>374.8</v>
      </c>
      <c r="L63" s="58">
        <f t="shared" si="50"/>
        <v>196.53906659674885</v>
      </c>
      <c r="M63" s="62">
        <f t="shared" si="42"/>
        <v>685.7</v>
      </c>
      <c r="N63" s="62">
        <f t="shared" si="43"/>
        <v>412.40000000000003</v>
      </c>
      <c r="O63" s="58">
        <f t="shared" si="7"/>
        <v>60.14291964415926</v>
      </c>
      <c r="P63" s="61">
        <v>59.4</v>
      </c>
      <c r="Q63" s="61">
        <v>223.9</v>
      </c>
      <c r="R63" s="58">
        <f t="shared" si="19"/>
        <v>376.93602693602696</v>
      </c>
      <c r="S63" s="61"/>
      <c r="T63" s="61">
        <v>0.5</v>
      </c>
      <c r="U63" s="58" t="e">
        <f t="shared" si="20"/>
        <v>#DIV/0!</v>
      </c>
      <c r="V63" s="61"/>
      <c r="W63" s="61">
        <v>37.2</v>
      </c>
      <c r="X63" s="58" t="e">
        <f t="shared" si="51"/>
        <v>#DIV/0!</v>
      </c>
      <c r="Y63" s="62">
        <f t="shared" si="44"/>
        <v>59.4</v>
      </c>
      <c r="Z63" s="62">
        <f t="shared" si="45"/>
        <v>261.6</v>
      </c>
      <c r="AA63" s="58">
        <f t="shared" si="12"/>
        <v>440.4040404040405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745.1</v>
      </c>
      <c r="AU63" s="94">
        <f t="shared" si="23"/>
        <v>674</v>
      </c>
      <c r="AV63" s="58">
        <f t="shared" si="17"/>
        <v>90.45765669037714</v>
      </c>
      <c r="AW63" s="62">
        <f t="shared" si="22"/>
        <v>71.10000000000002</v>
      </c>
      <c r="AX63" s="63">
        <f t="shared" si="46"/>
        <v>68.5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8" ref="F64:F71">E64/D64*100</f>
        <v>#DIV/0!</v>
      </c>
      <c r="G64" s="61"/>
      <c r="H64" s="61"/>
      <c r="I64" s="59" t="e">
        <f aca="true" t="shared" si="59" ref="I64:I72">H64/G64*100</f>
        <v>#DIV/0!</v>
      </c>
      <c r="J64" s="61"/>
      <c r="K64" s="61"/>
      <c r="L64" s="58" t="e">
        <f t="shared" si="50"/>
        <v>#DIV/0!</v>
      </c>
      <c r="M64" s="62">
        <f t="shared" si="42"/>
        <v>0</v>
      </c>
      <c r="N64" s="62">
        <f t="shared" si="43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0</v>
      </c>
      <c r="Z64" s="62">
        <f t="shared" si="45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6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125</v>
      </c>
      <c r="C67" s="60"/>
      <c r="D67" s="61"/>
      <c r="E67" s="61"/>
      <c r="F67" s="59" t="e">
        <f t="shared" si="58"/>
        <v>#DIV/0!</v>
      </c>
      <c r="G67" s="61"/>
      <c r="H67" s="61"/>
      <c r="I67" s="59" t="e">
        <f t="shared" si="59"/>
        <v>#DIV/0!</v>
      </c>
      <c r="J67" s="61"/>
      <c r="K67" s="61"/>
      <c r="L67" s="58" t="e">
        <f t="shared" si="50"/>
        <v>#DIV/0!</v>
      </c>
      <c r="M67" s="62">
        <f t="shared" si="42"/>
        <v>0</v>
      </c>
      <c r="N67" s="62">
        <f t="shared" si="43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1"/>
        <v>#DIV/0!</v>
      </c>
      <c r="Y67" s="62">
        <f t="shared" si="44"/>
        <v>0</v>
      </c>
      <c r="Z67" s="62">
        <f t="shared" si="45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7"/>
        <v>0</v>
      </c>
      <c r="AL67" s="62">
        <f t="shared" si="57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6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 hidden="1">
      <c r="A69" s="10" t="s">
        <v>33</v>
      </c>
      <c r="B69" s="51" t="s">
        <v>127</v>
      </c>
      <c r="C69" s="60"/>
      <c r="D69" s="61"/>
      <c r="E69" s="61"/>
      <c r="F69" s="59" t="e">
        <f t="shared" si="58"/>
        <v>#DIV/0!</v>
      </c>
      <c r="G69" s="61"/>
      <c r="H69" s="61"/>
      <c r="I69" s="59" t="e">
        <f t="shared" si="59"/>
        <v>#DIV/0!</v>
      </c>
      <c r="J69" s="61"/>
      <c r="K69" s="61"/>
      <c r="L69" s="58" t="e">
        <f t="shared" si="50"/>
        <v>#DIV/0!</v>
      </c>
      <c r="M69" s="62">
        <f t="shared" si="42"/>
        <v>0</v>
      </c>
      <c r="N69" s="62">
        <f t="shared" si="43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237.8</v>
      </c>
      <c r="E70" s="61">
        <v>0</v>
      </c>
      <c r="F70" s="59">
        <f>E70/D70*100</f>
        <v>0</v>
      </c>
      <c r="G70" s="61">
        <v>344.1</v>
      </c>
      <c r="H70" s="61">
        <v>237.8</v>
      </c>
      <c r="I70" s="59">
        <f>H70/G70*100</f>
        <v>69.10781749491427</v>
      </c>
      <c r="J70" s="61">
        <v>261.5</v>
      </c>
      <c r="K70" s="61">
        <v>344.1</v>
      </c>
      <c r="L70" s="58">
        <f>K70/J70*100</f>
        <v>131.5869980879541</v>
      </c>
      <c r="M70" s="62">
        <f>D70+G70+J70</f>
        <v>843.4000000000001</v>
      </c>
      <c r="N70" s="62">
        <f>E70+H70+K70</f>
        <v>581.9000000000001</v>
      </c>
      <c r="O70" s="58">
        <f>N70/M70*100</f>
        <v>68.99454588570075</v>
      </c>
      <c r="P70" s="61">
        <v>59.8</v>
      </c>
      <c r="Q70" s="61">
        <v>261.5</v>
      </c>
      <c r="R70" s="58">
        <f>Q70/P70*100</f>
        <v>437.2909698996656</v>
      </c>
      <c r="S70" s="61"/>
      <c r="T70" s="61">
        <v>59.8</v>
      </c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59.8</v>
      </c>
      <c r="Z70" s="62">
        <f>Q70+T70+W70</f>
        <v>321.3</v>
      </c>
      <c r="AA70" s="58">
        <f>Z70/Y70*100</f>
        <v>537.2909698996656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903.2</v>
      </c>
      <c r="AU70" s="94">
        <f>N70+Z70+AL70+AO70+AQ70+AS70</f>
        <v>903.2</v>
      </c>
      <c r="AV70" s="58">
        <f>AU70/AT70*100</f>
        <v>100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</v>
      </c>
      <c r="D71" s="61">
        <v>1138.7</v>
      </c>
      <c r="E71" s="61">
        <v>16.9</v>
      </c>
      <c r="F71" s="59">
        <f t="shared" si="58"/>
        <v>1.4841485904979361</v>
      </c>
      <c r="G71" s="61">
        <f>1213.9</f>
        <v>1213.9</v>
      </c>
      <c r="H71" s="61">
        <f>744.9</f>
        <v>744.9</v>
      </c>
      <c r="I71" s="59">
        <f t="shared" si="59"/>
        <v>61.36419803937721</v>
      </c>
      <c r="J71" s="61">
        <v>1022.6</v>
      </c>
      <c r="K71" s="61">
        <v>887.3</v>
      </c>
      <c r="L71" s="58">
        <f t="shared" si="50"/>
        <v>86.76902014472911</v>
      </c>
      <c r="M71" s="62">
        <f t="shared" si="42"/>
        <v>3375.2000000000003</v>
      </c>
      <c r="N71" s="62">
        <f t="shared" si="43"/>
        <v>1649.1</v>
      </c>
      <c r="O71" s="58">
        <f t="shared" si="7"/>
        <v>48.8593268547049</v>
      </c>
      <c r="P71" s="61">
        <v>251.1</v>
      </c>
      <c r="Q71" s="61">
        <v>1299.8</v>
      </c>
      <c r="R71" s="58">
        <f t="shared" si="19"/>
        <v>517.642373556352</v>
      </c>
      <c r="S71" s="61"/>
      <c r="T71" s="61">
        <v>300.1</v>
      </c>
      <c r="U71" s="58" t="e">
        <f t="shared" si="20"/>
        <v>#DIV/0!</v>
      </c>
      <c r="V71" s="61"/>
      <c r="W71" s="61">
        <v>93.3</v>
      </c>
      <c r="X71" s="58" t="e">
        <f t="shared" si="51"/>
        <v>#DIV/0!</v>
      </c>
      <c r="Y71" s="62">
        <f t="shared" si="44"/>
        <v>251.1</v>
      </c>
      <c r="Z71" s="62">
        <f t="shared" si="45"/>
        <v>1693.2</v>
      </c>
      <c r="AA71" s="58">
        <f t="shared" si="12"/>
        <v>674.3130227001195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7"/>
        <v>0</v>
      </c>
      <c r="AL71" s="62">
        <f t="shared" si="57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3626.3</v>
      </c>
      <c r="AU71" s="94">
        <f t="shared" si="23"/>
        <v>3342.3</v>
      </c>
      <c r="AV71" s="58">
        <f t="shared" si="17"/>
        <v>92.1683258417671</v>
      </c>
      <c r="AW71" s="62">
        <f t="shared" si="22"/>
        <v>284</v>
      </c>
      <c r="AX71" s="63">
        <f t="shared" si="46"/>
        <v>286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8103</v>
      </c>
      <c r="D72" s="75">
        <f>SUM(D73:D75)</f>
        <v>92486.9</v>
      </c>
      <c r="E72" s="75">
        <f>SUM(E73:E75)</f>
        <v>1184</v>
      </c>
      <c r="F72" s="59">
        <f>E72/D72*100</f>
        <v>1.2801813013518673</v>
      </c>
      <c r="G72" s="75">
        <f>SUM(G73:G75)</f>
        <v>94089.70000000001</v>
      </c>
      <c r="H72" s="75">
        <f>SUM(H73:H75)</f>
        <v>58493.5</v>
      </c>
      <c r="I72" s="59">
        <f t="shared" si="59"/>
        <v>62.16780370221182</v>
      </c>
      <c r="J72" s="75">
        <f>SUM(J73:J75)</f>
        <v>86065.8</v>
      </c>
      <c r="K72" s="75">
        <f>SUM(K73:K75)</f>
        <v>91752.7</v>
      </c>
      <c r="L72" s="58">
        <f t="shared" si="50"/>
        <v>106.60761882187815</v>
      </c>
      <c r="M72" s="58">
        <f t="shared" si="42"/>
        <v>272642.4</v>
      </c>
      <c r="N72" s="58">
        <f t="shared" si="43"/>
        <v>151430.2</v>
      </c>
      <c r="O72" s="58">
        <f t="shared" si="7"/>
        <v>55.54169124098086</v>
      </c>
      <c r="P72" s="75">
        <f aca="true" t="shared" si="60" ref="P72:W72">SUM(P73:P75)</f>
        <v>36223.2</v>
      </c>
      <c r="Q72" s="75">
        <f t="shared" si="60"/>
        <v>63165.7</v>
      </c>
      <c r="R72" s="75">
        <f t="shared" si="60"/>
        <v>378.90314075530245</v>
      </c>
      <c r="S72" s="75">
        <f t="shared" si="60"/>
        <v>4720.4</v>
      </c>
      <c r="T72" s="75">
        <f t="shared" si="60"/>
        <v>29656</v>
      </c>
      <c r="U72" s="75" t="e">
        <f t="shared" si="60"/>
        <v>#DIV/0!</v>
      </c>
      <c r="V72" s="75">
        <f t="shared" si="60"/>
        <v>1604</v>
      </c>
      <c r="W72" s="75">
        <f t="shared" si="60"/>
        <v>18896.3</v>
      </c>
      <c r="X72" s="58">
        <f t="shared" si="51"/>
        <v>1178.073566084788</v>
      </c>
      <c r="Y72" s="58">
        <f t="shared" si="44"/>
        <v>42547.6</v>
      </c>
      <c r="Z72" s="58">
        <f t="shared" si="45"/>
        <v>111718</v>
      </c>
      <c r="AA72" s="58">
        <f t="shared" si="12"/>
        <v>262.57180193477427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7"/>
        <v>0</v>
      </c>
      <c r="AL72" s="58">
        <f t="shared" si="57"/>
        <v>0</v>
      </c>
      <c r="AM72" s="58" t="e">
        <f t="shared" si="15"/>
        <v>#DIV/0!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315190</v>
      </c>
      <c r="AU72" s="57">
        <f t="shared" si="23"/>
        <v>263148.2</v>
      </c>
      <c r="AV72" s="58">
        <f t="shared" si="17"/>
        <v>83.48875281576193</v>
      </c>
      <c r="AW72" s="79">
        <f>SUM(AW73:AW75)</f>
        <v>52041.8</v>
      </c>
      <c r="AX72" s="79">
        <f>SUM(AX73:AX75)</f>
        <v>60144.8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8103</v>
      </c>
      <c r="D73" s="61">
        <v>90960</v>
      </c>
      <c r="E73" s="61">
        <v>1184</v>
      </c>
      <c r="F73" s="59">
        <f>E73/D73*100</f>
        <v>1.3016710642040459</v>
      </c>
      <c r="G73" s="61">
        <v>91947</v>
      </c>
      <c r="H73" s="61">
        <v>57105</v>
      </c>
      <c r="I73" s="59">
        <f>H73/G73*100</f>
        <v>62.10643087865836</v>
      </c>
      <c r="J73" s="61">
        <v>84445</v>
      </c>
      <c r="K73" s="61">
        <v>90349</v>
      </c>
      <c r="L73" s="58">
        <f t="shared" si="50"/>
        <v>106.99153295044113</v>
      </c>
      <c r="M73" s="62">
        <f t="shared" si="42"/>
        <v>267352</v>
      </c>
      <c r="N73" s="62">
        <f t="shared" si="43"/>
        <v>148638</v>
      </c>
      <c r="O73" s="58">
        <f t="shared" si="7"/>
        <v>55.59636733594662</v>
      </c>
      <c r="P73" s="61">
        <v>35608</v>
      </c>
      <c r="Q73" s="61">
        <v>61948</v>
      </c>
      <c r="R73" s="58">
        <f t="shared" si="19"/>
        <v>173.97214109188945</v>
      </c>
      <c r="S73" s="61">
        <v>4675</v>
      </c>
      <c r="T73" s="61">
        <v>28709</v>
      </c>
      <c r="U73" s="58">
        <f t="shared" si="20"/>
        <v>614.0962566844919</v>
      </c>
      <c r="V73" s="61">
        <v>1585</v>
      </c>
      <c r="W73" s="61">
        <v>18258</v>
      </c>
      <c r="X73" s="58">
        <f>W73/V73*100</f>
        <v>1151.9242902208202</v>
      </c>
      <c r="Y73" s="62">
        <f t="shared" si="44"/>
        <v>41868</v>
      </c>
      <c r="Z73" s="62">
        <f t="shared" si="45"/>
        <v>108915</v>
      </c>
      <c r="AA73" s="58">
        <f t="shared" si="12"/>
        <v>260.1390083118372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2" ref="AK73:AL75">AB73+AE73+AH73</f>
        <v>0</v>
      </c>
      <c r="AL73" s="62">
        <f t="shared" si="62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309220</v>
      </c>
      <c r="AU73" s="94">
        <f t="shared" si="23"/>
        <v>257553</v>
      </c>
      <c r="AV73" s="58">
        <f t="shared" si="17"/>
        <v>83.29118427009897</v>
      </c>
      <c r="AW73" s="62">
        <f>AT73-AU73</f>
        <v>51667</v>
      </c>
      <c r="AX73" s="63">
        <f>C73+AT73-AU73</f>
        <v>59770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1388.5</v>
      </c>
      <c r="E74" s="61">
        <v>0</v>
      </c>
      <c r="F74" s="59">
        <f>E74/D74*100</f>
        <v>0</v>
      </c>
      <c r="G74" s="61">
        <v>2030.1</v>
      </c>
      <c r="H74" s="61">
        <v>1388.5</v>
      </c>
      <c r="I74" s="59">
        <f>H74/G74*100</f>
        <v>68.39564553470274</v>
      </c>
      <c r="J74" s="61">
        <v>1538.3</v>
      </c>
      <c r="K74" s="61">
        <v>1403.7</v>
      </c>
      <c r="L74" s="58">
        <f t="shared" si="50"/>
        <v>91.25008125853216</v>
      </c>
      <c r="M74" s="62">
        <f t="shared" si="42"/>
        <v>4956.9</v>
      </c>
      <c r="N74" s="62">
        <f t="shared" si="43"/>
        <v>2792.2</v>
      </c>
      <c r="O74" s="58">
        <f t="shared" si="7"/>
        <v>56.32956081421856</v>
      </c>
      <c r="P74" s="61">
        <v>594.2</v>
      </c>
      <c r="Q74" s="61">
        <v>1217.7</v>
      </c>
      <c r="R74" s="58">
        <f t="shared" si="19"/>
        <v>204.930999663413</v>
      </c>
      <c r="S74" s="61">
        <v>45.4</v>
      </c>
      <c r="T74" s="61">
        <v>947</v>
      </c>
      <c r="U74" s="58">
        <f t="shared" si="20"/>
        <v>2085.90308370044</v>
      </c>
      <c r="V74" s="61">
        <v>52.4</v>
      </c>
      <c r="W74" s="61">
        <v>317.2</v>
      </c>
      <c r="X74" s="58">
        <f>W74/V74*100</f>
        <v>605.3435114503817</v>
      </c>
      <c r="Y74" s="62">
        <f t="shared" si="44"/>
        <v>692</v>
      </c>
      <c r="Z74" s="62">
        <f t="shared" si="45"/>
        <v>2481.8999999999996</v>
      </c>
      <c r="AA74" s="58">
        <f>Z74/Y74*100</f>
        <v>358.6560693641618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2"/>
        <v>0</v>
      </c>
      <c r="AL74" s="62">
        <f t="shared" si="62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5648.9</v>
      </c>
      <c r="AU74" s="94">
        <f t="shared" si="23"/>
        <v>5274.099999999999</v>
      </c>
      <c r="AV74" s="58">
        <f t="shared" si="17"/>
        <v>93.36507992706544</v>
      </c>
      <c r="AW74" s="62">
        <f>AT74-AU74</f>
        <v>374.8000000000002</v>
      </c>
      <c r="AX74" s="63">
        <f>C74+AT74-AU74</f>
        <v>374.8000000000002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v>138.4</v>
      </c>
      <c r="E75" s="61">
        <v>0</v>
      </c>
      <c r="F75" s="59">
        <f>E75/D75*100</f>
        <v>0</v>
      </c>
      <c r="G75" s="61">
        <v>112.6</v>
      </c>
      <c r="H75" s="61">
        <v>0</v>
      </c>
      <c r="I75" s="59">
        <f>H75/G75*100</f>
        <v>0</v>
      </c>
      <c r="J75" s="61">
        <v>82.5</v>
      </c>
      <c r="K75" s="61">
        <v>0</v>
      </c>
      <c r="L75" s="58">
        <f t="shared" si="50"/>
        <v>0</v>
      </c>
      <c r="M75" s="62">
        <f t="shared" si="42"/>
        <v>333.5</v>
      </c>
      <c r="N75" s="62">
        <f t="shared" si="43"/>
        <v>0</v>
      </c>
      <c r="O75" s="58">
        <f t="shared" si="7"/>
        <v>0</v>
      </c>
      <c r="P75" s="61">
        <v>21</v>
      </c>
      <c r="Q75" s="61">
        <v>0</v>
      </c>
      <c r="R75" s="58">
        <f t="shared" si="19"/>
        <v>0</v>
      </c>
      <c r="S75" s="61"/>
      <c r="T75" s="61"/>
      <c r="U75" s="58" t="e">
        <f t="shared" si="20"/>
        <v>#DIV/0!</v>
      </c>
      <c r="V75" s="61">
        <v>-33.4</v>
      </c>
      <c r="W75" s="61">
        <v>321.1</v>
      </c>
      <c r="X75" s="58">
        <f>W75/V75*100</f>
        <v>-961.3772455089821</v>
      </c>
      <c r="Y75" s="62">
        <f t="shared" si="44"/>
        <v>-12.399999999999999</v>
      </c>
      <c r="Z75" s="62">
        <f t="shared" si="45"/>
        <v>321.1</v>
      </c>
      <c r="AA75" s="58">
        <f>Z75/Y75*100</f>
        <v>-2589.5161290322585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2"/>
        <v>0</v>
      </c>
      <c r="AL75" s="62">
        <f t="shared" si="62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321.1</v>
      </c>
      <c r="AU75" s="94">
        <f t="shared" si="23"/>
        <v>321.1</v>
      </c>
      <c r="AV75" s="58">
        <f t="shared" si="17"/>
        <v>100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6324.1</v>
      </c>
      <c r="D76" s="79">
        <f>D72+D7</f>
        <v>99962.59999999999</v>
      </c>
      <c r="E76" s="79">
        <f>E72+E7</f>
        <v>1299.8</v>
      </c>
      <c r="F76" s="59">
        <f>E76/D76*100</f>
        <v>1.3002863070788475</v>
      </c>
      <c r="G76" s="79">
        <f>G72+G7</f>
        <v>102024.20000000001</v>
      </c>
      <c r="H76" s="79">
        <f>H72+H7</f>
        <v>61352.3</v>
      </c>
      <c r="I76" s="59">
        <f>H76/G76*100</f>
        <v>60.135046390954294</v>
      </c>
      <c r="J76" s="79">
        <f>J72+J7</f>
        <v>92327.1</v>
      </c>
      <c r="K76" s="79">
        <f>K72+K7</f>
        <v>98630.29999999999</v>
      </c>
      <c r="L76" s="58">
        <f t="shared" si="50"/>
        <v>106.82703128333932</v>
      </c>
      <c r="M76" s="79">
        <f>M72+M7</f>
        <v>294313.9</v>
      </c>
      <c r="N76" s="79">
        <f>N72+N7</f>
        <v>161282.40000000002</v>
      </c>
      <c r="O76" s="58">
        <f t="shared" si="7"/>
        <v>54.79945051864693</v>
      </c>
      <c r="P76" s="79">
        <f>P72+P7</f>
        <v>37647</v>
      </c>
      <c r="Q76" s="79">
        <f>Q72+Q7</f>
        <v>69611.09999999999</v>
      </c>
      <c r="R76" s="58">
        <f t="shared" si="19"/>
        <v>184.90477328870824</v>
      </c>
      <c r="S76" s="79">
        <f>S72+S7</f>
        <v>4796.5</v>
      </c>
      <c r="T76" s="79">
        <f>T72+T7</f>
        <v>31796.6</v>
      </c>
      <c r="U76" s="58">
        <f t="shared" si="20"/>
        <v>662.9125403940373</v>
      </c>
      <c r="V76" s="79">
        <f>V72+V7</f>
        <v>1672</v>
      </c>
      <c r="W76" s="79">
        <f>W72+W7</f>
        <v>20743.2</v>
      </c>
      <c r="X76" s="58">
        <f>W76/V76*100</f>
        <v>1240.6220095693782</v>
      </c>
      <c r="Y76" s="79">
        <f>Y72+Y7</f>
        <v>44115.5</v>
      </c>
      <c r="Z76" s="79">
        <f>Z72+Z7</f>
        <v>122150.9</v>
      </c>
      <c r="AA76" s="58">
        <f>Z76/Y76*100</f>
        <v>276.88884859063137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338429.4</v>
      </c>
      <c r="AU76" s="57">
        <f t="shared" si="23"/>
        <v>283433.30000000005</v>
      </c>
      <c r="AV76" s="58">
        <f>AU76/AT76*100</f>
        <v>83.74960922425771</v>
      </c>
      <c r="AW76" s="79">
        <f>AW72+AW7</f>
        <v>54996.100000000006</v>
      </c>
      <c r="AX76" s="79">
        <f>AX72+AX7</f>
        <v>61320.200000000004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>
      <c r="A77" s="129"/>
      <c r="B77" s="129"/>
      <c r="C77" s="129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/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>
      <c r="A82" s="20"/>
      <c r="B82" s="130"/>
      <c r="C82" s="130"/>
      <c r="D82" s="130"/>
      <c r="E82" s="130"/>
      <c r="F82" s="130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31"/>
      <c r="AX82" s="131"/>
    </row>
    <row r="83" spans="1:50" ht="73.5" customHeight="1" hidden="1">
      <c r="A83" s="128" t="s">
        <v>46</v>
      </c>
      <c r="B83" s="128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I1:AX1"/>
    <mergeCell ref="AX5:AX6"/>
    <mergeCell ref="B2:AX3"/>
    <mergeCell ref="B4:F4"/>
    <mergeCell ref="V5:X5"/>
    <mergeCell ref="P5:R5"/>
    <mergeCell ref="AE5:AG5"/>
    <mergeCell ref="AN5:AO5"/>
    <mergeCell ref="AK5:AM5"/>
    <mergeCell ref="A83:B83"/>
    <mergeCell ref="S5:U5"/>
    <mergeCell ref="B82:F82"/>
    <mergeCell ref="AW5:AW6"/>
    <mergeCell ref="J5:L5"/>
    <mergeCell ref="M5:O5"/>
    <mergeCell ref="Y5:AA5"/>
    <mergeCell ref="AP5:AQ5"/>
    <mergeCell ref="AW82:AX82"/>
    <mergeCell ref="AT5:AV5"/>
    <mergeCell ref="A77:C77"/>
    <mergeCell ref="AR5:AS5"/>
    <mergeCell ref="AH5:AJ5"/>
    <mergeCell ref="AB5:AD5"/>
    <mergeCell ref="D5:F5"/>
    <mergeCell ref="G5:I5"/>
  </mergeCells>
  <printOptions horizontalCentered="1"/>
  <pageMargins left="0.03937007874015748" right="0.03937007874015748" top="0.3937007874015748" bottom="0.15748031496062992" header="0.1968503937007874" footer="0.11811023622047245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C73" activePane="bottomRight" state="frozen"/>
      <selection pane="topLeft" activeCell="A3" sqref="A3"/>
      <selection pane="topRight" activeCell="C3" sqref="C3"/>
      <selection pane="bottomLeft" activeCell="A7" sqref="A7"/>
      <selection pane="bottomRight" activeCell="S4" sqref="S1:W16384"/>
    </sheetView>
  </sheetViews>
  <sheetFormatPr defaultColWidth="5.75390625" defaultRowHeight="12.75"/>
  <cols>
    <col min="1" max="1" width="5.00390625" style="1" hidden="1" customWidth="1"/>
    <col min="2" max="2" width="61.3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0" width="18.75390625" style="2" hidden="1" customWidth="1"/>
    <col min="11" max="11" width="17.87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6" width="14.75390625" style="2" hidden="1" customWidth="1"/>
    <col min="17" max="17" width="17.00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5" t="s">
        <v>42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s="31" customFormat="1" ht="60" customHeight="1" hidden="1">
      <c r="A2" s="30"/>
      <c r="B2" s="122" t="s">
        <v>179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</row>
    <row r="3" spans="1:50" s="44" customFormat="1" ht="60" customHeight="1">
      <c r="A3" s="4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</row>
    <row r="4" spans="2:50" ht="35.25" customHeight="1">
      <c r="B4" s="127"/>
      <c r="C4" s="127"/>
      <c r="D4" s="127"/>
      <c r="E4" s="127"/>
      <c r="F4" s="12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6" t="s">
        <v>59</v>
      </c>
      <c r="E5" s="117"/>
      <c r="F5" s="118"/>
      <c r="G5" s="116" t="s">
        <v>60</v>
      </c>
      <c r="H5" s="117"/>
      <c r="I5" s="118"/>
      <c r="J5" s="112" t="s">
        <v>61</v>
      </c>
      <c r="K5" s="113"/>
      <c r="L5" s="114"/>
      <c r="M5" s="112" t="s">
        <v>72</v>
      </c>
      <c r="N5" s="113"/>
      <c r="O5" s="114"/>
      <c r="P5" s="112" t="s">
        <v>62</v>
      </c>
      <c r="Q5" s="113"/>
      <c r="R5" s="114"/>
      <c r="S5" s="119" t="s">
        <v>63</v>
      </c>
      <c r="T5" s="120"/>
      <c r="U5" s="121"/>
      <c r="V5" s="119" t="s">
        <v>64</v>
      </c>
      <c r="W5" s="120"/>
      <c r="X5" s="121"/>
      <c r="Y5" s="112" t="s">
        <v>73</v>
      </c>
      <c r="Z5" s="113"/>
      <c r="AA5" s="114"/>
      <c r="AB5" s="112" t="s">
        <v>65</v>
      </c>
      <c r="AC5" s="113"/>
      <c r="AD5" s="114"/>
      <c r="AE5" s="112" t="s">
        <v>66</v>
      </c>
      <c r="AF5" s="113"/>
      <c r="AG5" s="114"/>
      <c r="AH5" s="112" t="s">
        <v>67</v>
      </c>
      <c r="AI5" s="113"/>
      <c r="AJ5" s="114"/>
      <c r="AK5" s="112" t="s">
        <v>68</v>
      </c>
      <c r="AL5" s="113"/>
      <c r="AM5" s="114"/>
      <c r="AN5" s="112" t="s">
        <v>69</v>
      </c>
      <c r="AO5" s="114"/>
      <c r="AP5" s="112" t="s">
        <v>70</v>
      </c>
      <c r="AQ5" s="114"/>
      <c r="AR5" s="112" t="s">
        <v>71</v>
      </c>
      <c r="AS5" s="114"/>
      <c r="AT5" s="116" t="s">
        <v>130</v>
      </c>
      <c r="AU5" s="117"/>
      <c r="AV5" s="118"/>
      <c r="AW5" s="125" t="s">
        <v>172</v>
      </c>
      <c r="AX5" s="123" t="s">
        <v>173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26"/>
      <c r="AX6" s="124"/>
    </row>
    <row r="7" spans="1:61" s="9" customFormat="1" ht="34.5" customHeight="1">
      <c r="A7" s="8"/>
      <c r="B7" s="107" t="s">
        <v>135</v>
      </c>
      <c r="C7" s="58">
        <f>SUM(C8:C71)-C8-C14-C23-C30-C39-C45-C61</f>
        <v>3937.5</v>
      </c>
      <c r="D7" s="58">
        <f aca="true" t="shared" si="0" ref="D7:AX7">SUM(D8:D71)-D8-D14-D23-D30-D39-D45-D61</f>
        <v>66553.29999999999</v>
      </c>
      <c r="E7" s="58">
        <f t="shared" si="0"/>
        <v>6350.599999999998</v>
      </c>
      <c r="F7" s="56">
        <f>E7/D7*100</f>
        <v>9.542126385919254</v>
      </c>
      <c r="G7" s="58">
        <f t="shared" si="0"/>
        <v>68272.7</v>
      </c>
      <c r="H7" s="58">
        <f t="shared" si="0"/>
        <v>52652.2</v>
      </c>
      <c r="I7" s="56">
        <f>H7/G7*100</f>
        <v>77.12043027447281</v>
      </c>
      <c r="J7" s="58">
        <f t="shared" si="0"/>
        <v>60510.2</v>
      </c>
      <c r="K7" s="58">
        <f t="shared" si="0"/>
        <v>63895.60000000003</v>
      </c>
      <c r="L7" s="56">
        <f>K7/J7*100</f>
        <v>105.59475923067521</v>
      </c>
      <c r="M7" s="58">
        <f t="shared" si="0"/>
        <v>195336.19999999992</v>
      </c>
      <c r="N7" s="58">
        <f t="shared" si="0"/>
        <v>122898.4</v>
      </c>
      <c r="O7" s="56">
        <f>N7/M7*100</f>
        <v>62.91634627887716</v>
      </c>
      <c r="P7" s="58">
        <f t="shared" si="0"/>
        <v>11075.400000000001</v>
      </c>
      <c r="Q7" s="58">
        <f t="shared" si="0"/>
        <v>46305.2</v>
      </c>
      <c r="R7" s="56">
        <f>Q7/P7*100</f>
        <v>418.0905430052187</v>
      </c>
      <c r="S7" s="58">
        <f t="shared" si="0"/>
        <v>1001.4</v>
      </c>
      <c r="T7" s="58">
        <f t="shared" si="0"/>
        <v>15123.100000000004</v>
      </c>
      <c r="U7" s="56">
        <f>T7/S7*100</f>
        <v>1510.1957259836233</v>
      </c>
      <c r="V7" s="58">
        <f t="shared" si="0"/>
        <v>1016.1999999999997</v>
      </c>
      <c r="W7" s="58">
        <f t="shared" si="0"/>
        <v>5572.999999999999</v>
      </c>
      <c r="X7" s="56">
        <f>W7/V7*100</f>
        <v>548.4156662074396</v>
      </c>
      <c r="Y7" s="58">
        <f t="shared" si="0"/>
        <v>13093.000000000004</v>
      </c>
      <c r="Z7" s="58">
        <f t="shared" si="0"/>
        <v>67001.29999999999</v>
      </c>
      <c r="AA7" s="56">
        <f>Z7/Y7*100</f>
        <v>511.73375085923755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208429.19999999992</v>
      </c>
      <c r="AU7" s="57">
        <f t="shared" si="1"/>
        <v>189899.69999999998</v>
      </c>
      <c r="AV7" s="56">
        <f>AU7/AT7*100</f>
        <v>91.10993085421815</v>
      </c>
      <c r="AW7" s="58">
        <f t="shared" si="0"/>
        <v>18529.500000000007</v>
      </c>
      <c r="AX7" s="58">
        <f t="shared" si="0"/>
        <v>22467.000000000007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-772</v>
      </c>
      <c r="D8" s="75">
        <f>SUM(D9:D13)</f>
        <v>2491.9</v>
      </c>
      <c r="E8" s="75">
        <f>SUM(E9:E13)</f>
        <v>0</v>
      </c>
      <c r="F8" s="59">
        <f aca="true" t="shared" si="2" ref="F8:F51">E8/D8*100</f>
        <v>0</v>
      </c>
      <c r="G8" s="75">
        <f>SUM(G9:G13)</f>
        <v>2846.3</v>
      </c>
      <c r="H8" s="75">
        <f>SUM(H9:H13)</f>
        <v>1089.8</v>
      </c>
      <c r="I8" s="59">
        <f aca="true" t="shared" si="3" ref="I8:I51">H8/G8*100</f>
        <v>38.28830411411305</v>
      </c>
      <c r="J8" s="75">
        <f>SUM(J9:J13)</f>
        <v>2476.8</v>
      </c>
      <c r="K8" s="75">
        <f>SUM(K9:K13)</f>
        <v>3473.2</v>
      </c>
      <c r="L8" s="58">
        <f aca="true" t="shared" si="4" ref="L8:L25">K8/J8*100</f>
        <v>140.22932816537465</v>
      </c>
      <c r="M8" s="58">
        <f aca="true" t="shared" si="5" ref="M8:M39">D8+G8+J8</f>
        <v>7815.000000000001</v>
      </c>
      <c r="N8" s="58">
        <f aca="true" t="shared" si="6" ref="N8:N39">E8+H8+K8</f>
        <v>4563</v>
      </c>
      <c r="O8" s="58">
        <f aca="true" t="shared" si="7" ref="O8:O76">N8/M8*100</f>
        <v>58.387715930902104</v>
      </c>
      <c r="P8" s="75">
        <f aca="true" t="shared" si="8" ref="P8:W8">SUM(P9:P13)</f>
        <v>557.9000000000001</v>
      </c>
      <c r="Q8" s="75">
        <f t="shared" si="8"/>
        <v>2383.4</v>
      </c>
      <c r="R8" s="75" t="e">
        <f t="shared" si="8"/>
        <v>#DIV/0!</v>
      </c>
      <c r="S8" s="75">
        <f t="shared" si="8"/>
        <v>0</v>
      </c>
      <c r="T8" s="75">
        <f t="shared" si="8"/>
        <v>613.7</v>
      </c>
      <c r="U8" s="75" t="e">
        <f t="shared" si="8"/>
        <v>#DIV/0!</v>
      </c>
      <c r="V8" s="75">
        <f t="shared" si="8"/>
        <v>0</v>
      </c>
      <c r="W8" s="75">
        <f t="shared" si="8"/>
        <v>62.7</v>
      </c>
      <c r="X8" s="58" t="e">
        <f aca="true" t="shared" si="9" ref="X8:X24">W8/V8*100</f>
        <v>#DIV/0!</v>
      </c>
      <c r="Y8" s="58">
        <f aca="true" t="shared" si="10" ref="Y8:Y39">P8+S8+V8</f>
        <v>557.9000000000001</v>
      </c>
      <c r="Z8" s="58">
        <f aca="true" t="shared" si="11" ref="Z8:Z39">Q8+T8+W8</f>
        <v>3059.8</v>
      </c>
      <c r="AA8" s="58">
        <f aca="true" t="shared" si="12" ref="AA8:AA73">Z8/Y8*100</f>
        <v>548.4495429288402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8372.900000000001</v>
      </c>
      <c r="AU8" s="57">
        <f t="shared" si="1"/>
        <v>7622.8</v>
      </c>
      <c r="AV8" s="58">
        <f aca="true" t="shared" si="17" ref="AV8:AV75">AU8/AT8*100</f>
        <v>91.04133573791636</v>
      </c>
      <c r="AW8" s="58">
        <f>AT8-AU8</f>
        <v>750.1000000000013</v>
      </c>
      <c r="AX8" s="79">
        <f aca="true" t="shared" si="18" ref="AX8:AX39">C8+AT8-AU8</f>
        <v>-21.899999999998727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0</v>
      </c>
      <c r="D9" s="91">
        <f>134.7+137</f>
        <v>271.7</v>
      </c>
      <c r="E9" s="91">
        <v>0</v>
      </c>
      <c r="F9" s="92">
        <f t="shared" si="2"/>
        <v>0</v>
      </c>
      <c r="G9" s="91">
        <f>141+123</f>
        <v>264</v>
      </c>
      <c r="H9" s="91"/>
      <c r="I9" s="92">
        <f t="shared" si="3"/>
        <v>0</v>
      </c>
      <c r="J9" s="91">
        <f>113+102.1</f>
        <v>215.1</v>
      </c>
      <c r="K9" s="91">
        <f>78</f>
        <v>78</v>
      </c>
      <c r="L9" s="56">
        <f t="shared" si="4"/>
        <v>36.26220362622036</v>
      </c>
      <c r="M9" s="93">
        <f t="shared" si="5"/>
        <v>750.8000000000001</v>
      </c>
      <c r="N9" s="93">
        <f t="shared" si="6"/>
        <v>78</v>
      </c>
      <c r="O9" s="56">
        <f t="shared" si="7"/>
        <v>10.388918486947256</v>
      </c>
      <c r="P9" s="91">
        <f>93.4+20.4</f>
        <v>113.80000000000001</v>
      </c>
      <c r="Q9" s="91">
        <f>346.4</f>
        <v>346.4</v>
      </c>
      <c r="R9" s="56">
        <f aca="true" t="shared" si="19" ref="R9:R76">Q9/P9*100</f>
        <v>304.3936731107205</v>
      </c>
      <c r="S9" s="91"/>
      <c r="T9" s="91">
        <v>60</v>
      </c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113.80000000000001</v>
      </c>
      <c r="Z9" s="93">
        <f t="shared" si="11"/>
        <v>406.4</v>
      </c>
      <c r="AA9" s="56">
        <f t="shared" si="12"/>
        <v>357.1177504393673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864.6000000000001</v>
      </c>
      <c r="AU9" s="94">
        <f t="shared" si="1"/>
        <v>484.4</v>
      </c>
      <c r="AV9" s="56">
        <f t="shared" si="17"/>
        <v>56.025907934304875</v>
      </c>
      <c r="AW9" s="93">
        <f aca="true" t="shared" si="22" ref="AW9:AW75">AT9-AU9</f>
        <v>380.20000000000016</v>
      </c>
      <c r="AX9" s="95">
        <f t="shared" si="18"/>
        <v>380.20000000000016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-120.9</v>
      </c>
      <c r="D10" s="61">
        <v>1067.2</v>
      </c>
      <c r="E10" s="61"/>
      <c r="F10" s="59">
        <f t="shared" si="2"/>
        <v>0</v>
      </c>
      <c r="G10" s="61">
        <v>1519.6</v>
      </c>
      <c r="H10" s="61"/>
      <c r="I10" s="59">
        <f t="shared" si="3"/>
        <v>0</v>
      </c>
      <c r="J10" s="61">
        <v>1393.9</v>
      </c>
      <c r="K10" s="61">
        <v>2332.6</v>
      </c>
      <c r="L10" s="56">
        <f t="shared" si="4"/>
        <v>167.34342492287823</v>
      </c>
      <c r="M10" s="62">
        <f t="shared" si="5"/>
        <v>3980.7000000000003</v>
      </c>
      <c r="N10" s="62">
        <f t="shared" si="6"/>
        <v>2332.6</v>
      </c>
      <c r="O10" s="58">
        <f t="shared" si="7"/>
        <v>58.597734066872654</v>
      </c>
      <c r="P10" s="65">
        <v>166.4</v>
      </c>
      <c r="Q10" s="65">
        <v>1091.6</v>
      </c>
      <c r="R10" s="58">
        <f t="shared" si="19"/>
        <v>656.0096153846154</v>
      </c>
      <c r="S10" s="61"/>
      <c r="T10" s="61">
        <v>553.7</v>
      </c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166.4</v>
      </c>
      <c r="Z10" s="62">
        <f t="shared" si="11"/>
        <v>1645.3</v>
      </c>
      <c r="AA10" s="58">
        <f t="shared" si="12"/>
        <v>988.7620192307692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4147.1</v>
      </c>
      <c r="AU10" s="94">
        <f t="shared" si="23"/>
        <v>3977.8999999999996</v>
      </c>
      <c r="AV10" s="58">
        <f>AU10/AT10*100</f>
        <v>95.92004051023605</v>
      </c>
      <c r="AW10" s="62">
        <f>AT10-AU10</f>
        <v>169.20000000000073</v>
      </c>
      <c r="AX10" s="63">
        <f t="shared" si="18"/>
        <v>48.30000000000064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-651.1</v>
      </c>
      <c r="D13" s="61">
        <v>1153</v>
      </c>
      <c r="E13" s="61"/>
      <c r="F13" s="59">
        <f t="shared" si="2"/>
        <v>0</v>
      </c>
      <c r="G13" s="61">
        <v>1062.7</v>
      </c>
      <c r="H13" s="61">
        <v>1089.8</v>
      </c>
      <c r="I13" s="59">
        <f t="shared" si="3"/>
        <v>102.55010821492425</v>
      </c>
      <c r="J13" s="61">
        <v>867.8</v>
      </c>
      <c r="K13" s="61">
        <v>1062.6</v>
      </c>
      <c r="L13" s="58">
        <f t="shared" si="4"/>
        <v>122.44756856418529</v>
      </c>
      <c r="M13" s="62">
        <f t="shared" si="5"/>
        <v>3083.5</v>
      </c>
      <c r="N13" s="62">
        <f t="shared" si="6"/>
        <v>2152.3999999999996</v>
      </c>
      <c r="O13" s="58">
        <f t="shared" si="7"/>
        <v>69.80379438949245</v>
      </c>
      <c r="P13" s="61">
        <v>277.7</v>
      </c>
      <c r="Q13" s="61">
        <v>945.4</v>
      </c>
      <c r="R13" s="58">
        <f t="shared" si="19"/>
        <v>340.43932301044293</v>
      </c>
      <c r="S13" s="61"/>
      <c r="T13" s="61"/>
      <c r="U13" s="58" t="e">
        <f t="shared" si="20"/>
        <v>#DIV/0!</v>
      </c>
      <c r="V13" s="61"/>
      <c r="W13" s="61">
        <v>62.7</v>
      </c>
      <c r="X13" s="58" t="e">
        <f t="shared" si="9"/>
        <v>#DIV/0!</v>
      </c>
      <c r="Y13" s="62">
        <f t="shared" si="10"/>
        <v>277.7</v>
      </c>
      <c r="Z13" s="62">
        <f t="shared" si="11"/>
        <v>1008.1</v>
      </c>
      <c r="AA13" s="58">
        <f t="shared" si="12"/>
        <v>363.0176449405834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3361.2</v>
      </c>
      <c r="AU13" s="94">
        <f t="shared" si="23"/>
        <v>3160.4999999999995</v>
      </c>
      <c r="AV13" s="58">
        <f t="shared" si="17"/>
        <v>94.02891824348445</v>
      </c>
      <c r="AW13" s="62">
        <f t="shared" si="22"/>
        <v>200.70000000000027</v>
      </c>
      <c r="AX13" s="63">
        <f t="shared" si="18"/>
        <v>-450.39999999999964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1684.6</v>
      </c>
      <c r="D14" s="75">
        <f>SUM(D15:D22)</f>
        <v>10707.9</v>
      </c>
      <c r="E14" s="75">
        <f>SUM(E15:E22)</f>
        <v>750.7</v>
      </c>
      <c r="F14" s="59">
        <f t="shared" si="2"/>
        <v>7.0107117175169735</v>
      </c>
      <c r="G14" s="75">
        <f>SUM(G15:G22)</f>
        <v>11606.5</v>
      </c>
      <c r="H14" s="75">
        <f>SUM(H15:H22)</f>
        <v>10114.7</v>
      </c>
      <c r="I14" s="59">
        <f t="shared" si="3"/>
        <v>87.14685736440788</v>
      </c>
      <c r="J14" s="75">
        <f>SUM(J15:J22)</f>
        <v>10128.1</v>
      </c>
      <c r="K14" s="75">
        <f>SUM(K15:K22)</f>
        <v>9689.5</v>
      </c>
      <c r="L14" s="58">
        <f t="shared" si="4"/>
        <v>95.66947403757862</v>
      </c>
      <c r="M14" s="58">
        <f t="shared" si="5"/>
        <v>32442.5</v>
      </c>
      <c r="N14" s="58">
        <f t="shared" si="6"/>
        <v>20554.9</v>
      </c>
      <c r="O14" s="58">
        <f t="shared" si="7"/>
        <v>63.35794097248979</v>
      </c>
      <c r="P14" s="75">
        <f aca="true" t="shared" si="24" ref="P14:W14">SUM(P15:P22)</f>
        <v>2662.9</v>
      </c>
      <c r="Q14" s="75">
        <f t="shared" si="24"/>
        <v>5625</v>
      </c>
      <c r="R14" s="75" t="e">
        <f t="shared" si="24"/>
        <v>#DIV/0!</v>
      </c>
      <c r="S14" s="75">
        <f t="shared" si="24"/>
        <v>1009.4</v>
      </c>
      <c r="T14" s="75">
        <f t="shared" si="24"/>
        <v>1976.6</v>
      </c>
      <c r="U14" s="75" t="e">
        <f t="shared" si="24"/>
        <v>#DIV/0!</v>
      </c>
      <c r="V14" s="75">
        <f t="shared" si="24"/>
        <v>1009.5999999999999</v>
      </c>
      <c r="W14" s="75">
        <f t="shared" si="24"/>
        <v>2586.2</v>
      </c>
      <c r="X14" s="58">
        <f t="shared" si="9"/>
        <v>256.1608557844691</v>
      </c>
      <c r="Y14" s="58">
        <f t="shared" si="10"/>
        <v>4681.9</v>
      </c>
      <c r="Z14" s="58">
        <f t="shared" si="11"/>
        <v>10187.8</v>
      </c>
      <c r="AA14" s="58">
        <f t="shared" si="12"/>
        <v>217.59969243255944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37124.4</v>
      </c>
      <c r="AU14" s="57">
        <f t="shared" si="23"/>
        <v>30742.7</v>
      </c>
      <c r="AV14" s="58">
        <f t="shared" si="17"/>
        <v>82.809957871373</v>
      </c>
      <c r="AW14" s="58">
        <f t="shared" si="22"/>
        <v>6381.700000000001</v>
      </c>
      <c r="AX14" s="79">
        <f t="shared" si="18"/>
        <v>8066.299999999999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-85.8</v>
      </c>
      <c r="D15" s="61">
        <v>3491.5</v>
      </c>
      <c r="E15" s="61">
        <v>750.6</v>
      </c>
      <c r="F15" s="59">
        <f t="shared" si="2"/>
        <v>21.497923528569384</v>
      </c>
      <c r="G15" s="61">
        <v>3927.8</v>
      </c>
      <c r="H15" s="61">
        <v>3262.5</v>
      </c>
      <c r="I15" s="59">
        <f t="shared" si="3"/>
        <v>83.06176485564438</v>
      </c>
      <c r="J15" s="61">
        <v>3539.7</v>
      </c>
      <c r="K15" s="61">
        <v>4046.1</v>
      </c>
      <c r="L15" s="58">
        <f t="shared" si="4"/>
        <v>114.30629714382574</v>
      </c>
      <c r="M15" s="62">
        <f t="shared" si="5"/>
        <v>10959</v>
      </c>
      <c r="N15" s="62">
        <f t="shared" si="6"/>
        <v>8059.2</v>
      </c>
      <c r="O15" s="58">
        <f t="shared" si="7"/>
        <v>73.53955652888037</v>
      </c>
      <c r="P15" s="61">
        <v>709.8</v>
      </c>
      <c r="Q15" s="61">
        <v>2782.6</v>
      </c>
      <c r="R15" s="58">
        <f t="shared" si="19"/>
        <v>392.0259227951536</v>
      </c>
      <c r="S15" s="61"/>
      <c r="T15" s="61">
        <v>236.4</v>
      </c>
      <c r="U15" s="58" t="e">
        <f t="shared" si="20"/>
        <v>#DIV/0!</v>
      </c>
      <c r="V15" s="61"/>
      <c r="W15" s="61">
        <v>506.2</v>
      </c>
      <c r="X15" s="58" t="e">
        <f t="shared" si="9"/>
        <v>#DIV/0!</v>
      </c>
      <c r="Y15" s="62">
        <f t="shared" si="10"/>
        <v>709.8</v>
      </c>
      <c r="Z15" s="62">
        <f t="shared" si="11"/>
        <v>3525.2</v>
      </c>
      <c r="AA15" s="58">
        <f t="shared" si="12"/>
        <v>496.64694280078896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11668.8</v>
      </c>
      <c r="AU15" s="94">
        <f t="shared" si="23"/>
        <v>11584.4</v>
      </c>
      <c r="AV15" s="58">
        <f t="shared" si="17"/>
        <v>99.27670368846839</v>
      </c>
      <c r="AW15" s="62">
        <f t="shared" si="22"/>
        <v>84.39999999999964</v>
      </c>
      <c r="AX15" s="63">
        <f t="shared" si="18"/>
        <v>-1.3999999999996362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-797.2</v>
      </c>
      <c r="D16" s="61">
        <v>1559.2</v>
      </c>
      <c r="E16" s="61">
        <v>0</v>
      </c>
      <c r="F16" s="59">
        <f t="shared" si="2"/>
        <v>0</v>
      </c>
      <c r="G16" s="61">
        <v>1810.2</v>
      </c>
      <c r="H16" s="61">
        <v>2019.7</v>
      </c>
      <c r="I16" s="59">
        <f t="shared" si="3"/>
        <v>111.5733068169263</v>
      </c>
      <c r="J16" s="61">
        <v>1519.9</v>
      </c>
      <c r="K16" s="61">
        <v>461.5</v>
      </c>
      <c r="L16" s="58">
        <f t="shared" si="4"/>
        <v>30.36383972629778</v>
      </c>
      <c r="M16" s="62">
        <f t="shared" si="5"/>
        <v>4889.3</v>
      </c>
      <c r="N16" s="62">
        <f t="shared" si="6"/>
        <v>2481.2</v>
      </c>
      <c r="O16" s="58">
        <f t="shared" si="7"/>
        <v>50.74755077413944</v>
      </c>
      <c r="P16" s="61">
        <v>245.5</v>
      </c>
      <c r="Q16" s="61">
        <v>1855.2</v>
      </c>
      <c r="R16" s="58">
        <f t="shared" si="19"/>
        <v>755.6822810590631</v>
      </c>
      <c r="S16" s="61"/>
      <c r="T16" s="61">
        <v>2.3</v>
      </c>
      <c r="U16" s="58" t="e">
        <f t="shared" si="20"/>
        <v>#DIV/0!</v>
      </c>
      <c r="V16" s="61"/>
      <c r="W16" s="61">
        <v>1.2</v>
      </c>
      <c r="X16" s="58" t="e">
        <f t="shared" si="9"/>
        <v>#DIV/0!</v>
      </c>
      <c r="Y16" s="62">
        <f t="shared" si="10"/>
        <v>245.5</v>
      </c>
      <c r="Z16" s="62">
        <f t="shared" si="11"/>
        <v>1858.7</v>
      </c>
      <c r="AA16" s="58">
        <f t="shared" si="12"/>
        <v>757.1079429735234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5134.8</v>
      </c>
      <c r="AU16" s="94">
        <f t="shared" si="23"/>
        <v>4339.9</v>
      </c>
      <c r="AV16" s="58">
        <f t="shared" si="17"/>
        <v>84.51935810547636</v>
      </c>
      <c r="AW16" s="62">
        <f t="shared" si="22"/>
        <v>794.9000000000005</v>
      </c>
      <c r="AX16" s="63">
        <f t="shared" si="18"/>
        <v>-2.2999999999992724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228.4</v>
      </c>
      <c r="D17" s="61">
        <v>2220.2</v>
      </c>
      <c r="E17" s="61">
        <v>0.1</v>
      </c>
      <c r="F17" s="59">
        <f t="shared" si="2"/>
        <v>0.004504098729844159</v>
      </c>
      <c r="G17" s="61">
        <v>2060.1</v>
      </c>
      <c r="H17" s="61">
        <v>1717.4</v>
      </c>
      <c r="I17" s="59">
        <f t="shared" si="3"/>
        <v>83.36488519974759</v>
      </c>
      <c r="J17" s="61">
        <v>1758.3</v>
      </c>
      <c r="K17" s="61">
        <v>2131.3</v>
      </c>
      <c r="L17" s="58">
        <f t="shared" si="4"/>
        <v>121.21367229710518</v>
      </c>
      <c r="M17" s="62">
        <f t="shared" si="5"/>
        <v>6038.599999999999</v>
      </c>
      <c r="N17" s="62">
        <f t="shared" si="6"/>
        <v>3848.8</v>
      </c>
      <c r="O17" s="58">
        <f t="shared" si="7"/>
        <v>63.73662769516114</v>
      </c>
      <c r="P17" s="61">
        <v>115.9</v>
      </c>
      <c r="Q17" s="61">
        <v>815.9</v>
      </c>
      <c r="R17" s="58">
        <f t="shared" si="19"/>
        <v>703.9689387402933</v>
      </c>
      <c r="S17" s="61"/>
      <c r="T17" s="61">
        <v>1078.5</v>
      </c>
      <c r="U17" s="58" t="e">
        <f t="shared" si="20"/>
        <v>#DIV/0!</v>
      </c>
      <c r="V17" s="61"/>
      <c r="W17" s="61">
        <v>94.7</v>
      </c>
      <c r="X17" s="58" t="e">
        <f t="shared" si="9"/>
        <v>#DIV/0!</v>
      </c>
      <c r="Y17" s="62">
        <f t="shared" si="10"/>
        <v>115.9</v>
      </c>
      <c r="Z17" s="62">
        <f t="shared" si="11"/>
        <v>1989.1000000000001</v>
      </c>
      <c r="AA17" s="58">
        <f t="shared" si="12"/>
        <v>1716.220880069025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6154.499999999999</v>
      </c>
      <c r="AU17" s="94">
        <f t="shared" si="23"/>
        <v>5837.900000000001</v>
      </c>
      <c r="AV17" s="58">
        <f t="shared" si="17"/>
        <v>94.85579657161429</v>
      </c>
      <c r="AW17" s="62">
        <f t="shared" si="22"/>
        <v>316.59999999999854</v>
      </c>
      <c r="AX17" s="63">
        <f t="shared" si="18"/>
        <v>544.9999999999982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f>2371.1-31.9</f>
        <v>2339.2</v>
      </c>
      <c r="D19" s="61">
        <f>3387.5+49.5</f>
        <v>3437</v>
      </c>
      <c r="E19" s="61"/>
      <c r="F19" s="59">
        <f t="shared" si="2"/>
        <v>0</v>
      </c>
      <c r="G19" s="61">
        <f>3756.3+52.1</f>
        <v>3808.4</v>
      </c>
      <c r="H19" s="61">
        <v>3115.1</v>
      </c>
      <c r="I19" s="59">
        <f t="shared" si="3"/>
        <v>81.7955046738788</v>
      </c>
      <c r="J19" s="61">
        <f>3276.2+34</f>
        <v>3310.2</v>
      </c>
      <c r="K19" s="61">
        <f>2998.5+52.1</f>
        <v>3050.6</v>
      </c>
      <c r="L19" s="67">
        <f t="shared" si="4"/>
        <v>92.15757356050995</v>
      </c>
      <c r="M19" s="62">
        <f t="shared" si="5"/>
        <v>10555.599999999999</v>
      </c>
      <c r="N19" s="62">
        <f t="shared" si="6"/>
        <v>6165.7</v>
      </c>
      <c r="O19" s="58">
        <f t="shared" si="7"/>
        <v>58.41164879305772</v>
      </c>
      <c r="P19" s="61">
        <f>1547.5+44.2</f>
        <v>1591.7</v>
      </c>
      <c r="Q19" s="61">
        <f>137.3+34</f>
        <v>171.3</v>
      </c>
      <c r="R19" s="58">
        <f t="shared" si="19"/>
        <v>10.762078281083118</v>
      </c>
      <c r="S19" s="61">
        <f>993.6+15.8</f>
        <v>1009.4</v>
      </c>
      <c r="T19" s="61">
        <f>597.6+61.8</f>
        <v>659.4</v>
      </c>
      <c r="U19" s="58">
        <f t="shared" si="20"/>
        <v>65.3259361997226</v>
      </c>
      <c r="V19" s="61">
        <f>993.8+15.8</f>
        <v>1009.5999999999999</v>
      </c>
      <c r="W19" s="61">
        <v>1984.1</v>
      </c>
      <c r="X19" s="66">
        <f t="shared" si="9"/>
        <v>196.52337559429478</v>
      </c>
      <c r="Y19" s="62">
        <f t="shared" si="10"/>
        <v>3610.7</v>
      </c>
      <c r="Z19" s="62">
        <f t="shared" si="11"/>
        <v>2814.8</v>
      </c>
      <c r="AA19" s="58">
        <f t="shared" si="12"/>
        <v>77.95718281773618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14166.3</v>
      </c>
      <c r="AU19" s="94">
        <f t="shared" si="23"/>
        <v>8980.5</v>
      </c>
      <c r="AV19" s="58">
        <f t="shared" si="17"/>
        <v>63.39340547637704</v>
      </c>
      <c r="AW19" s="62">
        <f t="shared" si="22"/>
        <v>5185.799999999999</v>
      </c>
      <c r="AX19" s="63">
        <f t="shared" si="18"/>
        <v>7525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787.4</v>
      </c>
      <c r="D23" s="75">
        <f>SUM(D24:D29)</f>
        <v>7492.2</v>
      </c>
      <c r="E23" s="75">
        <f>SUM(E24:E29)</f>
        <v>74.6</v>
      </c>
      <c r="F23" s="59">
        <f t="shared" si="2"/>
        <v>0.9957021969514961</v>
      </c>
      <c r="G23" s="75">
        <f>SUM(G24:G29)</f>
        <v>7491.8</v>
      </c>
      <c r="H23" s="75">
        <f>SUM(H24:H29)</f>
        <v>4316.8</v>
      </c>
      <c r="I23" s="59">
        <f t="shared" si="3"/>
        <v>57.62033156250834</v>
      </c>
      <c r="J23" s="75">
        <f>SUM(J24:J29)</f>
        <v>5890.9</v>
      </c>
      <c r="K23" s="75">
        <f>SUM(K24:K29)</f>
        <v>9649</v>
      </c>
      <c r="L23" s="71">
        <f t="shared" si="4"/>
        <v>163.79500585649055</v>
      </c>
      <c r="M23" s="58">
        <f t="shared" si="5"/>
        <v>20874.9</v>
      </c>
      <c r="N23" s="58">
        <f t="shared" si="6"/>
        <v>14040.400000000001</v>
      </c>
      <c r="O23" s="58">
        <f t="shared" si="7"/>
        <v>67.25972339987257</v>
      </c>
      <c r="P23" s="75">
        <f aca="true" t="shared" si="27" ref="P23:W23">SUM(P24:P29)</f>
        <v>961.1</v>
      </c>
      <c r="Q23" s="75">
        <f t="shared" si="27"/>
        <v>4727.8</v>
      </c>
      <c r="R23" s="75" t="e">
        <f t="shared" si="27"/>
        <v>#DIV/0!</v>
      </c>
      <c r="S23" s="75">
        <f t="shared" si="27"/>
        <v>0</v>
      </c>
      <c r="T23" s="75">
        <f t="shared" si="27"/>
        <v>2743.2999999999997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961.1</v>
      </c>
      <c r="Z23" s="58">
        <f t="shared" si="11"/>
        <v>7471.1</v>
      </c>
      <c r="AA23" s="58">
        <f t="shared" si="12"/>
        <v>777.3488710852149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21836</v>
      </c>
      <c r="AU23" s="57">
        <f t="shared" si="23"/>
        <v>21511.5</v>
      </c>
      <c r="AV23" s="58">
        <f t="shared" si="17"/>
        <v>98.51392196372963</v>
      </c>
      <c r="AW23" s="58">
        <f t="shared" si="22"/>
        <v>324.5</v>
      </c>
      <c r="AX23" s="79">
        <f t="shared" si="18"/>
        <v>1111.9000000000015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v>0</v>
      </c>
      <c r="D24" s="61">
        <v>452.2</v>
      </c>
      <c r="E24" s="61">
        <v>0</v>
      </c>
      <c r="F24" s="59">
        <f t="shared" si="2"/>
        <v>0</v>
      </c>
      <c r="G24" s="61">
        <v>556.9</v>
      </c>
      <c r="H24" s="61">
        <v>270.1</v>
      </c>
      <c r="I24" s="59">
        <f t="shared" si="3"/>
        <v>48.50062847908063</v>
      </c>
      <c r="J24" s="61">
        <v>482</v>
      </c>
      <c r="K24" s="61">
        <v>756.7</v>
      </c>
      <c r="L24" s="58">
        <f t="shared" si="4"/>
        <v>156.9917012448133</v>
      </c>
      <c r="M24" s="62">
        <f t="shared" si="5"/>
        <v>1491.1</v>
      </c>
      <c r="N24" s="62">
        <f t="shared" si="6"/>
        <v>1026.8000000000002</v>
      </c>
      <c r="O24" s="58">
        <f t="shared" si="7"/>
        <v>68.86191402320436</v>
      </c>
      <c r="P24" s="61">
        <v>88.5</v>
      </c>
      <c r="Q24" s="61">
        <v>490.3</v>
      </c>
      <c r="R24" s="58">
        <f t="shared" si="19"/>
        <v>554.0112994350283</v>
      </c>
      <c r="S24" s="61"/>
      <c r="T24" s="61">
        <v>62.5</v>
      </c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88.5</v>
      </c>
      <c r="Z24" s="62">
        <f t="shared" si="11"/>
        <v>552.8</v>
      </c>
      <c r="AA24" s="58">
        <f t="shared" si="12"/>
        <v>624.632768361582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1579.6</v>
      </c>
      <c r="AU24" s="94">
        <f t="shared" si="23"/>
        <v>1579.6000000000001</v>
      </c>
      <c r="AV24" s="58">
        <f t="shared" si="17"/>
        <v>100.00000000000003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-62.4</v>
      </c>
      <c r="D25" s="61">
        <v>2912.2</v>
      </c>
      <c r="E25" s="61">
        <v>0</v>
      </c>
      <c r="F25" s="59">
        <f t="shared" si="2"/>
        <v>0</v>
      </c>
      <c r="G25" s="61">
        <v>2856</v>
      </c>
      <c r="H25" s="61">
        <v>2830</v>
      </c>
      <c r="I25" s="59">
        <f t="shared" si="3"/>
        <v>99.08963585434174</v>
      </c>
      <c r="J25" s="61">
        <v>2294.4</v>
      </c>
      <c r="K25" s="61">
        <v>2865.9</v>
      </c>
      <c r="L25" s="58">
        <f t="shared" si="4"/>
        <v>124.90847280334727</v>
      </c>
      <c r="M25" s="62">
        <f t="shared" si="5"/>
        <v>8062.6</v>
      </c>
      <c r="N25" s="62">
        <f t="shared" si="6"/>
        <v>5695.9</v>
      </c>
      <c r="O25" s="58">
        <f t="shared" si="7"/>
        <v>70.64594547664524</v>
      </c>
      <c r="P25" s="61">
        <v>316</v>
      </c>
      <c r="Q25" s="61">
        <v>2281.7</v>
      </c>
      <c r="R25" s="58">
        <f t="shared" si="19"/>
        <v>722.0569620253164</v>
      </c>
      <c r="S25" s="61"/>
      <c r="T25" s="61">
        <v>328.6</v>
      </c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316</v>
      </c>
      <c r="Z25" s="62">
        <f t="shared" si="11"/>
        <v>2610.2999999999997</v>
      </c>
      <c r="AA25" s="58">
        <f t="shared" si="12"/>
        <v>826.0443037974684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8378.6</v>
      </c>
      <c r="AU25" s="94">
        <f t="shared" si="23"/>
        <v>8306.199999999999</v>
      </c>
      <c r="AV25" s="58">
        <f t="shared" si="17"/>
        <v>99.13589382474397</v>
      </c>
      <c r="AW25" s="62">
        <f t="shared" si="22"/>
        <v>72.40000000000146</v>
      </c>
      <c r="AX25" s="63">
        <f t="shared" si="18"/>
        <v>10.000000000001819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849.8</v>
      </c>
      <c r="D26" s="61">
        <v>4127.8</v>
      </c>
      <c r="E26" s="61">
        <v>74.6</v>
      </c>
      <c r="F26" s="59">
        <f t="shared" si="2"/>
        <v>1.80725810359029</v>
      </c>
      <c r="G26" s="61">
        <v>4078.9</v>
      </c>
      <c r="H26" s="61">
        <v>1216.7</v>
      </c>
      <c r="I26" s="59">
        <f t="shared" si="3"/>
        <v>29.829120596239182</v>
      </c>
      <c r="J26" s="61">
        <v>3114.5</v>
      </c>
      <c r="K26" s="61">
        <v>6026.4</v>
      </c>
      <c r="L26" s="58">
        <f aca="true" t="shared" si="30" ref="L26:L31">K26/J26*100</f>
        <v>193.49494300850859</v>
      </c>
      <c r="M26" s="62">
        <f t="shared" si="5"/>
        <v>11321.2</v>
      </c>
      <c r="N26" s="62">
        <f t="shared" si="6"/>
        <v>7317.7</v>
      </c>
      <c r="O26" s="58">
        <f t="shared" si="7"/>
        <v>64.63714093912304</v>
      </c>
      <c r="P26" s="61">
        <v>556.6</v>
      </c>
      <c r="Q26" s="61">
        <v>1955.8</v>
      </c>
      <c r="R26" s="58">
        <f t="shared" si="19"/>
        <v>351.38339920948613</v>
      </c>
      <c r="S26" s="61"/>
      <c r="T26" s="61">
        <v>2352.2</v>
      </c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556.6</v>
      </c>
      <c r="Z26" s="62">
        <f t="shared" si="11"/>
        <v>4308</v>
      </c>
      <c r="AA26" s="58">
        <f t="shared" si="12"/>
        <v>773.9849083722601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11877.800000000001</v>
      </c>
      <c r="AU26" s="94">
        <f t="shared" si="23"/>
        <v>11625.7</v>
      </c>
      <c r="AV26" s="58">
        <f t="shared" si="17"/>
        <v>97.87755308222062</v>
      </c>
      <c r="AW26" s="62">
        <f t="shared" si="22"/>
        <v>252.10000000000036</v>
      </c>
      <c r="AX26" s="63">
        <f t="shared" si="18"/>
        <v>1101.8999999999996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-35.5</v>
      </c>
      <c r="D30" s="108">
        <f>SUM(D31:D38)</f>
        <v>13363.2</v>
      </c>
      <c r="E30" s="108">
        <f>SUM(E31:E38)</f>
        <v>4315.4</v>
      </c>
      <c r="F30" s="92">
        <f t="shared" si="2"/>
        <v>32.29316331417624</v>
      </c>
      <c r="G30" s="108">
        <f>SUM(G31:G38)</f>
        <v>13287.999999999998</v>
      </c>
      <c r="H30" s="108">
        <f>SUM(H31:H38)</f>
        <v>11924.5</v>
      </c>
      <c r="I30" s="92">
        <f t="shared" si="3"/>
        <v>89.73886213124625</v>
      </c>
      <c r="J30" s="108">
        <f>SUM(J31:J38)</f>
        <v>11777.599999999999</v>
      </c>
      <c r="K30" s="108">
        <f>SUM(K31:K38)</f>
        <v>11649.7</v>
      </c>
      <c r="L30" s="56">
        <f t="shared" si="30"/>
        <v>98.91404021192774</v>
      </c>
      <c r="M30" s="56">
        <f t="shared" si="5"/>
        <v>38428.799999999996</v>
      </c>
      <c r="N30" s="56">
        <f t="shared" si="6"/>
        <v>27889.6</v>
      </c>
      <c r="O30" s="56">
        <f t="shared" si="7"/>
        <v>72.57473561495546</v>
      </c>
      <c r="P30" s="108">
        <f aca="true" t="shared" si="32" ref="P30:W30">SUM(P31:P38)</f>
        <v>833.8</v>
      </c>
      <c r="Q30" s="108">
        <f t="shared" si="32"/>
        <v>7770.4</v>
      </c>
      <c r="R30" s="108" t="e">
        <f t="shared" si="32"/>
        <v>#DIV/0!</v>
      </c>
      <c r="S30" s="108">
        <f t="shared" si="32"/>
        <v>0</v>
      </c>
      <c r="T30" s="108">
        <f t="shared" si="32"/>
        <v>3159.8</v>
      </c>
      <c r="U30" s="108" t="e">
        <f t="shared" si="32"/>
        <v>#DIV/0!</v>
      </c>
      <c r="V30" s="108">
        <f t="shared" si="32"/>
        <v>0</v>
      </c>
      <c r="W30" s="108">
        <f t="shared" si="32"/>
        <v>27.4</v>
      </c>
      <c r="X30" s="56" t="e">
        <f t="shared" si="31"/>
        <v>#DIV/0!</v>
      </c>
      <c r="Y30" s="56">
        <f t="shared" si="10"/>
        <v>833.8</v>
      </c>
      <c r="Z30" s="56">
        <f t="shared" si="11"/>
        <v>10957.6</v>
      </c>
      <c r="AA30" s="56">
        <f t="shared" si="12"/>
        <v>1314.176061405613</v>
      </c>
      <c r="AB30" s="108">
        <f aca="true" t="shared" si="33" ref="AB30:AI30">SUM(AB31:AB38)</f>
        <v>0</v>
      </c>
      <c r="AC30" s="108">
        <f t="shared" si="33"/>
        <v>0</v>
      </c>
      <c r="AD30" s="108">
        <f t="shared" si="33"/>
        <v>0</v>
      </c>
      <c r="AE30" s="108">
        <f t="shared" si="33"/>
        <v>0</v>
      </c>
      <c r="AF30" s="108">
        <f t="shared" si="33"/>
        <v>0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0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39262.6</v>
      </c>
      <c r="AU30" s="57">
        <f t="shared" si="23"/>
        <v>38847.2</v>
      </c>
      <c r="AV30" s="56">
        <f t="shared" si="17"/>
        <v>98.94199569055539</v>
      </c>
      <c r="AW30" s="56">
        <f>AT30-AU30</f>
        <v>415.40000000000146</v>
      </c>
      <c r="AX30" s="55">
        <f t="shared" si="18"/>
        <v>379.90000000000146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811.3</v>
      </c>
      <c r="E31" s="61"/>
      <c r="F31" s="59">
        <f t="shared" si="2"/>
        <v>0</v>
      </c>
      <c r="G31" s="61">
        <v>956.2</v>
      </c>
      <c r="H31" s="61">
        <v>851.9</v>
      </c>
      <c r="I31" s="59">
        <f t="shared" si="3"/>
        <v>89.0922401171303</v>
      </c>
      <c r="J31" s="61">
        <v>798.8</v>
      </c>
      <c r="K31" s="61">
        <v>956.2</v>
      </c>
      <c r="L31" s="56">
        <f t="shared" si="30"/>
        <v>119.7045568352529</v>
      </c>
      <c r="M31" s="62">
        <f t="shared" si="5"/>
        <v>2566.3</v>
      </c>
      <c r="N31" s="62">
        <f t="shared" si="6"/>
        <v>1808.1</v>
      </c>
      <c r="O31" s="58">
        <f t="shared" si="7"/>
        <v>70.45551961968593</v>
      </c>
      <c r="P31" s="65">
        <v>212.6</v>
      </c>
      <c r="Q31" s="65">
        <v>970.8</v>
      </c>
      <c r="R31" s="58">
        <f t="shared" si="19"/>
        <v>456.6321730950141</v>
      </c>
      <c r="S31" s="61"/>
      <c r="T31" s="61"/>
      <c r="U31" s="64" t="e">
        <f t="shared" si="20"/>
        <v>#DIV/0!</v>
      </c>
      <c r="V31" s="61"/>
      <c r="W31" s="61"/>
      <c r="X31" s="64" t="e">
        <f t="shared" si="31"/>
        <v>#DIV/0!</v>
      </c>
      <c r="Y31" s="62">
        <f t="shared" si="10"/>
        <v>212.6</v>
      </c>
      <c r="Z31" s="62">
        <f t="shared" si="11"/>
        <v>970.8</v>
      </c>
      <c r="AA31" s="58">
        <f t="shared" si="12"/>
        <v>456.6321730950141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2778.9</v>
      </c>
      <c r="AU31" s="94">
        <f t="shared" si="23"/>
        <v>2778.8999999999996</v>
      </c>
      <c r="AV31" s="58">
        <f>AU31/AT31*100</f>
        <v>99.99999999999999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-65.8</v>
      </c>
      <c r="D33" s="61">
        <v>1193</v>
      </c>
      <c r="E33" s="61"/>
      <c r="F33" s="59">
        <f t="shared" si="2"/>
        <v>0</v>
      </c>
      <c r="G33" s="61">
        <v>1707.5</v>
      </c>
      <c r="H33" s="61">
        <v>809.1</v>
      </c>
      <c r="I33" s="59">
        <f t="shared" si="3"/>
        <v>47.38506588579795</v>
      </c>
      <c r="J33" s="61">
        <v>1556.8</v>
      </c>
      <c r="K33" s="61">
        <v>1987</v>
      </c>
      <c r="L33" s="58">
        <f t="shared" si="36"/>
        <v>127.63360739979446</v>
      </c>
      <c r="M33" s="62">
        <f t="shared" si="5"/>
        <v>4457.3</v>
      </c>
      <c r="N33" s="62">
        <f t="shared" si="6"/>
        <v>2796.1</v>
      </c>
      <c r="O33" s="58">
        <f t="shared" si="7"/>
        <v>62.730801157651484</v>
      </c>
      <c r="P33" s="61">
        <v>53.6</v>
      </c>
      <c r="Q33" s="61">
        <v>1562.9</v>
      </c>
      <c r="R33" s="58">
        <f t="shared" si="19"/>
        <v>2915.858208955224</v>
      </c>
      <c r="S33" s="61"/>
      <c r="T33" s="61">
        <v>86.1</v>
      </c>
      <c r="U33" s="58" t="e">
        <f t="shared" si="20"/>
        <v>#DIV/0!</v>
      </c>
      <c r="V33" s="61"/>
      <c r="W33" s="61"/>
      <c r="X33" s="66" t="e">
        <f t="shared" si="31"/>
        <v>#DIV/0!</v>
      </c>
      <c r="Y33" s="62">
        <f t="shared" si="10"/>
        <v>53.6</v>
      </c>
      <c r="Z33" s="62">
        <f t="shared" si="11"/>
        <v>1649</v>
      </c>
      <c r="AA33" s="58">
        <f t="shared" si="12"/>
        <v>3076.492537313433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4510.900000000001</v>
      </c>
      <c r="AU33" s="94">
        <f t="shared" si="23"/>
        <v>4445.1</v>
      </c>
      <c r="AV33" s="58">
        <f t="shared" si="37"/>
        <v>98.54131104657607</v>
      </c>
      <c r="AW33" s="62">
        <f t="shared" si="38"/>
        <v>65.80000000000018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-95.8+6.6</f>
        <v>-89.2</v>
      </c>
      <c r="D35" s="61">
        <f>3630.2+2446.4</f>
        <v>6076.6</v>
      </c>
      <c r="E35" s="61">
        <f>3110.4+1205</f>
        <v>4315.4</v>
      </c>
      <c r="F35" s="59">
        <f t="shared" si="2"/>
        <v>71.01668696310436</v>
      </c>
      <c r="G35" s="61">
        <f>3713.7+2477.2</f>
        <v>6190.9</v>
      </c>
      <c r="H35" s="61">
        <f>2829.8+2674.8</f>
        <v>5504.6</v>
      </c>
      <c r="I35" s="59">
        <f t="shared" si="3"/>
        <v>88.91437432360401</v>
      </c>
      <c r="J35" s="61">
        <f>2240.1+3580.1</f>
        <v>5820.2</v>
      </c>
      <c r="K35" s="61">
        <f>1919.7+2484.6</f>
        <v>4404.3</v>
      </c>
      <c r="L35" s="58">
        <f t="shared" si="36"/>
        <v>75.67265729700011</v>
      </c>
      <c r="M35" s="62">
        <f t="shared" si="5"/>
        <v>18087.7</v>
      </c>
      <c r="N35" s="62">
        <f t="shared" si="6"/>
        <v>14224.3</v>
      </c>
      <c r="O35" s="58">
        <f t="shared" si="7"/>
        <v>78.64073375829983</v>
      </c>
      <c r="P35" s="61">
        <f>36.5+111.4</f>
        <v>147.9</v>
      </c>
      <c r="Q35" s="61">
        <f>1044.3+1471.1</f>
        <v>2515.3999999999996</v>
      </c>
      <c r="R35" s="58">
        <f t="shared" si="19"/>
        <v>1700.7437457741717</v>
      </c>
      <c r="S35" s="61"/>
      <c r="T35" s="61">
        <f>1368.2+11.2</f>
        <v>1379.4</v>
      </c>
      <c r="U35" s="58" t="e">
        <f t="shared" si="20"/>
        <v>#DIV/0!</v>
      </c>
      <c r="V35" s="61"/>
      <c r="W35" s="61">
        <f>27.4</f>
        <v>27.4</v>
      </c>
      <c r="X35" s="58" t="e">
        <f t="shared" si="31"/>
        <v>#DIV/0!</v>
      </c>
      <c r="Y35" s="62">
        <f t="shared" si="10"/>
        <v>147.9</v>
      </c>
      <c r="Z35" s="62">
        <f t="shared" si="11"/>
        <v>3922.2</v>
      </c>
      <c r="AA35" s="58">
        <f t="shared" si="12"/>
        <v>2651.9269776876263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18235.600000000002</v>
      </c>
      <c r="AU35" s="94">
        <f t="shared" si="23"/>
        <v>18146.5</v>
      </c>
      <c r="AV35" s="58">
        <f t="shared" si="37"/>
        <v>99.51139529272412</v>
      </c>
      <c r="AW35" s="62">
        <f t="shared" si="38"/>
        <v>89.10000000000218</v>
      </c>
      <c r="AX35" s="63">
        <f t="shared" si="18"/>
        <v>-0.09999999999854481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100.3</v>
      </c>
      <c r="D36" s="61">
        <v>1762.4</v>
      </c>
      <c r="E36" s="61"/>
      <c r="F36" s="59">
        <f t="shared" si="2"/>
        <v>0</v>
      </c>
      <c r="G36" s="61">
        <v>1342.4</v>
      </c>
      <c r="H36" s="61">
        <v>1762</v>
      </c>
      <c r="I36" s="59">
        <f t="shared" si="3"/>
        <v>131.25744934445768</v>
      </c>
      <c r="J36" s="61">
        <v>899.8</v>
      </c>
      <c r="K36" s="61">
        <v>1123.1</v>
      </c>
      <c r="L36" s="58">
        <f t="shared" si="36"/>
        <v>124.81662591687042</v>
      </c>
      <c r="M36" s="62">
        <f t="shared" si="5"/>
        <v>4004.6000000000004</v>
      </c>
      <c r="N36" s="62">
        <f t="shared" si="6"/>
        <v>2885.1</v>
      </c>
      <c r="O36" s="58">
        <f t="shared" si="7"/>
        <v>72.04464865404783</v>
      </c>
      <c r="P36" s="61">
        <v>43.8</v>
      </c>
      <c r="Q36" s="61">
        <v>899.8</v>
      </c>
      <c r="R36" s="58">
        <f t="shared" si="19"/>
        <v>2054.337899543379</v>
      </c>
      <c r="S36" s="61"/>
      <c r="T36" s="61">
        <v>43.8</v>
      </c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43.8</v>
      </c>
      <c r="Z36" s="62">
        <f t="shared" si="11"/>
        <v>943.5999999999999</v>
      </c>
      <c r="AA36" s="58">
        <f t="shared" si="12"/>
        <v>2154.3378995433786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4048.4000000000005</v>
      </c>
      <c r="AU36" s="94">
        <f t="shared" si="23"/>
        <v>3828.7</v>
      </c>
      <c r="AV36" s="58">
        <f t="shared" si="37"/>
        <v>94.57316470704474</v>
      </c>
      <c r="AW36" s="62">
        <f t="shared" si="38"/>
        <v>219.70000000000073</v>
      </c>
      <c r="AX36" s="63">
        <f t="shared" si="18"/>
        <v>320.0000000000009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19.2</v>
      </c>
      <c r="D38" s="61">
        <v>3519.9</v>
      </c>
      <c r="E38" s="61">
        <v>0</v>
      </c>
      <c r="F38" s="59">
        <f t="shared" si="2"/>
        <v>0</v>
      </c>
      <c r="G38" s="61">
        <v>3091</v>
      </c>
      <c r="H38" s="61">
        <v>2996.9</v>
      </c>
      <c r="I38" s="59">
        <f t="shared" si="3"/>
        <v>96.95567777418312</v>
      </c>
      <c r="J38" s="61">
        <v>2702</v>
      </c>
      <c r="K38" s="61">
        <v>3179.1</v>
      </c>
      <c r="L38" s="58">
        <f t="shared" si="36"/>
        <v>117.65729089563285</v>
      </c>
      <c r="M38" s="62">
        <f t="shared" si="5"/>
        <v>9312.9</v>
      </c>
      <c r="N38" s="62">
        <f t="shared" si="6"/>
        <v>6176</v>
      </c>
      <c r="O38" s="58">
        <f t="shared" si="7"/>
        <v>66.31661458836668</v>
      </c>
      <c r="P38" s="61">
        <v>375.9</v>
      </c>
      <c r="Q38" s="61">
        <v>1821.5</v>
      </c>
      <c r="R38" s="58">
        <f t="shared" si="19"/>
        <v>484.5703644586327</v>
      </c>
      <c r="S38" s="61"/>
      <c r="T38" s="61">
        <v>1650.5</v>
      </c>
      <c r="U38" s="58" t="e">
        <f t="shared" si="20"/>
        <v>#DIV/0!</v>
      </c>
      <c r="V38" s="61"/>
      <c r="W38" s="61"/>
      <c r="X38" s="58" t="e">
        <f t="shared" si="31"/>
        <v>#DIV/0!</v>
      </c>
      <c r="Y38" s="62">
        <f t="shared" si="10"/>
        <v>375.9</v>
      </c>
      <c r="Z38" s="62">
        <f t="shared" si="11"/>
        <v>3472</v>
      </c>
      <c r="AA38" s="58">
        <f t="shared" si="12"/>
        <v>923.6499068901304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9688.8</v>
      </c>
      <c r="AU38" s="94">
        <f t="shared" si="23"/>
        <v>9648</v>
      </c>
      <c r="AV38" s="58">
        <f t="shared" si="37"/>
        <v>99.5788952192222</v>
      </c>
      <c r="AW38" s="62">
        <f t="shared" si="38"/>
        <v>40.79999999999927</v>
      </c>
      <c r="AX38" s="63">
        <f t="shared" si="18"/>
        <v>60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617.4000000000001</v>
      </c>
      <c r="D39" s="75">
        <f>SUM(D40:D44)</f>
        <v>11251.3</v>
      </c>
      <c r="E39" s="75">
        <f>SUM(E40:E44)</f>
        <v>0</v>
      </c>
      <c r="F39" s="59">
        <f t="shared" si="2"/>
        <v>0</v>
      </c>
      <c r="G39" s="75">
        <f>SUM(G40:G44)</f>
        <v>12008.2</v>
      </c>
      <c r="H39" s="75">
        <f>SUM(H40:H44)</f>
        <v>11879.5</v>
      </c>
      <c r="I39" s="59">
        <f t="shared" si="3"/>
        <v>98.92823237454405</v>
      </c>
      <c r="J39" s="75">
        <f>SUM(J40:J44)</f>
        <v>9638</v>
      </c>
      <c r="K39" s="75">
        <f>SUM(K40:K44)</f>
        <v>6389.1</v>
      </c>
      <c r="L39" s="58">
        <f t="shared" si="36"/>
        <v>66.29072421664246</v>
      </c>
      <c r="M39" s="58">
        <f t="shared" si="5"/>
        <v>32897.5</v>
      </c>
      <c r="N39" s="58">
        <f t="shared" si="6"/>
        <v>18268.6</v>
      </c>
      <c r="O39" s="58">
        <f t="shared" si="7"/>
        <v>55.53187932213694</v>
      </c>
      <c r="P39" s="75">
        <f aca="true" t="shared" si="39" ref="P39:W39">SUM(P40:P44)</f>
        <v>1957.2</v>
      </c>
      <c r="Q39" s="75">
        <f t="shared" si="39"/>
        <v>4246.5</v>
      </c>
      <c r="R39" s="75" t="e">
        <f t="shared" si="39"/>
        <v>#DIV/0!</v>
      </c>
      <c r="S39" s="75">
        <f t="shared" si="39"/>
        <v>0</v>
      </c>
      <c r="T39" s="75">
        <f t="shared" si="39"/>
        <v>3159.9</v>
      </c>
      <c r="U39" s="75" t="e">
        <f t="shared" si="39"/>
        <v>#DIV/0!</v>
      </c>
      <c r="V39" s="75">
        <f t="shared" si="39"/>
        <v>0</v>
      </c>
      <c r="W39" s="75">
        <f t="shared" si="39"/>
        <v>2509.3</v>
      </c>
      <c r="X39" s="58" t="e">
        <f t="shared" si="31"/>
        <v>#DIV/0!</v>
      </c>
      <c r="Y39" s="58">
        <f t="shared" si="10"/>
        <v>1957.2</v>
      </c>
      <c r="Z39" s="58">
        <f t="shared" si="11"/>
        <v>9915.7</v>
      </c>
      <c r="AA39" s="58">
        <f t="shared" si="12"/>
        <v>506.626813815655</v>
      </c>
      <c r="AB39" s="75">
        <f aca="true" t="shared" si="40" ref="AB39:AI39">SUM(AB40:AB44)</f>
        <v>0</v>
      </c>
      <c r="AC39" s="75">
        <f t="shared" si="40"/>
        <v>0</v>
      </c>
      <c r="AD39" s="75">
        <f t="shared" si="40"/>
        <v>0</v>
      </c>
      <c r="AE39" s="75">
        <f t="shared" si="40"/>
        <v>0</v>
      </c>
      <c r="AF39" s="75">
        <f t="shared" si="40"/>
        <v>0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0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34854.7</v>
      </c>
      <c r="AU39" s="57">
        <f t="shared" si="23"/>
        <v>28184.3</v>
      </c>
      <c r="AV39" s="58">
        <f t="shared" si="37"/>
        <v>80.86226534728459</v>
      </c>
      <c r="AW39" s="58">
        <f t="shared" si="38"/>
        <v>6670.399999999998</v>
      </c>
      <c r="AX39" s="79">
        <f t="shared" si="18"/>
        <v>7287.799999999999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1161.9</v>
      </c>
      <c r="D42" s="61">
        <f>8087.7+1385.1</f>
        <v>9472.8</v>
      </c>
      <c r="E42" s="61">
        <v>0</v>
      </c>
      <c r="F42" s="59">
        <f t="shared" si="2"/>
        <v>0</v>
      </c>
      <c r="G42" s="61">
        <f>8775.2+1460</f>
        <v>10235.2</v>
      </c>
      <c r="H42" s="61">
        <f>9290.5+1361</f>
        <v>10651.5</v>
      </c>
      <c r="I42" s="59">
        <f t="shared" si="3"/>
        <v>104.06733625136782</v>
      </c>
      <c r="J42" s="61">
        <f>6923+1282.8</f>
        <v>8205.8</v>
      </c>
      <c r="K42" s="61">
        <f>3201.3+1441</f>
        <v>4642.3</v>
      </c>
      <c r="L42" s="58">
        <f t="shared" si="36"/>
        <v>56.57339930293208</v>
      </c>
      <c r="M42" s="62">
        <f t="shared" si="42"/>
        <v>27913.8</v>
      </c>
      <c r="N42" s="62">
        <f t="shared" si="43"/>
        <v>15293.8</v>
      </c>
      <c r="O42" s="58">
        <f t="shared" si="7"/>
        <v>54.7893873281316</v>
      </c>
      <c r="P42" s="61">
        <f>1443.8+302.2</f>
        <v>1746</v>
      </c>
      <c r="Q42" s="61">
        <f>2406.9+377.4</f>
        <v>2784.3</v>
      </c>
      <c r="R42" s="58">
        <f t="shared" si="19"/>
        <v>159.46735395189003</v>
      </c>
      <c r="S42" s="61"/>
      <c r="T42" s="61">
        <f>2660.4+289.6</f>
        <v>2950</v>
      </c>
      <c r="U42" s="58" t="e">
        <f t="shared" si="20"/>
        <v>#DIV/0!</v>
      </c>
      <c r="V42" s="61"/>
      <c r="W42" s="61">
        <f>216.8+2292.5</f>
        <v>2509.3</v>
      </c>
      <c r="X42" s="58" t="e">
        <f t="shared" si="31"/>
        <v>#DIV/0!</v>
      </c>
      <c r="Y42" s="62">
        <f t="shared" si="44"/>
        <v>1746</v>
      </c>
      <c r="Z42" s="62">
        <f t="shared" si="45"/>
        <v>8243.6</v>
      </c>
      <c r="AA42" s="58">
        <f t="shared" si="12"/>
        <v>472.14203894616264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29659.8</v>
      </c>
      <c r="AU42" s="94">
        <f t="shared" si="23"/>
        <v>23537.4</v>
      </c>
      <c r="AV42" s="58">
        <f t="shared" si="37"/>
        <v>79.35791879918274</v>
      </c>
      <c r="AW42" s="62">
        <f t="shared" si="38"/>
        <v>6122.399999999998</v>
      </c>
      <c r="AX42" s="63">
        <f t="shared" si="46"/>
        <v>7284.299999999999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f>-509.8-34.7</f>
        <v>-544.5</v>
      </c>
      <c r="D44" s="61">
        <f>1712.2+66.3</f>
        <v>1778.5</v>
      </c>
      <c r="E44" s="61">
        <v>0</v>
      </c>
      <c r="F44" s="59">
        <f t="shared" si="2"/>
        <v>0</v>
      </c>
      <c r="G44" s="61">
        <f>1705.4+67.6</f>
        <v>1773</v>
      </c>
      <c r="H44" s="61">
        <f>1179.5+48.5</f>
        <v>1228</v>
      </c>
      <c r="I44" s="59">
        <f t="shared" si="3"/>
        <v>69.26113931190073</v>
      </c>
      <c r="J44" s="61">
        <f>1394.8+37.4</f>
        <v>1432.2</v>
      </c>
      <c r="K44" s="61">
        <f>1682.6+64.2</f>
        <v>1746.8</v>
      </c>
      <c r="L44" s="71">
        <f t="shared" si="36"/>
        <v>121.96620583717358</v>
      </c>
      <c r="M44" s="62">
        <f t="shared" si="42"/>
        <v>4983.7</v>
      </c>
      <c r="N44" s="62">
        <f t="shared" si="43"/>
        <v>2974.8</v>
      </c>
      <c r="O44" s="58">
        <f t="shared" si="7"/>
        <v>59.690591327728406</v>
      </c>
      <c r="P44" s="61">
        <v>211.2</v>
      </c>
      <c r="Q44" s="61">
        <v>1462.2</v>
      </c>
      <c r="R44" s="58">
        <f t="shared" si="19"/>
        <v>692.3295454545455</v>
      </c>
      <c r="S44" s="61"/>
      <c r="T44" s="61">
        <f>204.7+5.2</f>
        <v>209.89999999999998</v>
      </c>
      <c r="U44" s="58" t="e">
        <f t="shared" si="20"/>
        <v>#DIV/0!</v>
      </c>
      <c r="V44" s="61"/>
      <c r="W44" s="61"/>
      <c r="X44" s="72" t="e">
        <f t="shared" si="31"/>
        <v>#DIV/0!</v>
      </c>
      <c r="Y44" s="62">
        <f t="shared" si="44"/>
        <v>211.2</v>
      </c>
      <c r="Z44" s="62">
        <f t="shared" si="45"/>
        <v>1672.1</v>
      </c>
      <c r="AA44" s="58">
        <f t="shared" si="12"/>
        <v>791.7140151515151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5194.9</v>
      </c>
      <c r="AU44" s="94">
        <f t="shared" si="23"/>
        <v>4646.9</v>
      </c>
      <c r="AV44" s="58">
        <f t="shared" si="37"/>
        <v>89.4511925157366</v>
      </c>
      <c r="AW44" s="62">
        <f t="shared" si="38"/>
        <v>548</v>
      </c>
      <c r="AX44" s="63">
        <f t="shared" si="46"/>
        <v>3.5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-858.2</v>
      </c>
      <c r="D45" s="75">
        <f>SUM(D46:D60)</f>
        <v>11588.800000000001</v>
      </c>
      <c r="E45" s="75">
        <f>SUM(E46:E60)</f>
        <v>248.3</v>
      </c>
      <c r="F45" s="59">
        <f t="shared" si="2"/>
        <v>2.1425859450503935</v>
      </c>
      <c r="G45" s="75">
        <f>SUM(G46:G50)</f>
        <v>279.6</v>
      </c>
      <c r="H45" s="75">
        <f>SUM(H46:H50)</f>
        <v>0</v>
      </c>
      <c r="I45" s="59">
        <f t="shared" si="3"/>
        <v>0</v>
      </c>
      <c r="J45" s="75">
        <f>SUM(J46:J50)</f>
        <v>231.5</v>
      </c>
      <c r="K45" s="75">
        <f>SUM(K46:K50)</f>
        <v>0</v>
      </c>
      <c r="L45" s="58">
        <f t="shared" si="36"/>
        <v>0</v>
      </c>
      <c r="M45" s="58">
        <f t="shared" si="42"/>
        <v>12099.900000000001</v>
      </c>
      <c r="N45" s="58">
        <f t="shared" si="43"/>
        <v>248.3</v>
      </c>
      <c r="O45" s="58">
        <f t="shared" si="7"/>
        <v>2.052083075066736</v>
      </c>
      <c r="P45" s="75">
        <f aca="true" t="shared" si="47" ref="P45:W45">SUM(P46:P50)</f>
        <v>37.4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811.5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37.4</v>
      </c>
      <c r="Z45" s="58">
        <f t="shared" si="45"/>
        <v>811.5</v>
      </c>
      <c r="AA45" s="58">
        <f t="shared" si="12"/>
        <v>2169.7860962566847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12137.300000000001</v>
      </c>
      <c r="AU45" s="57">
        <f t="shared" si="23"/>
        <v>1059.8</v>
      </c>
      <c r="AV45" s="58">
        <f t="shared" si="37"/>
        <v>8.73176077051733</v>
      </c>
      <c r="AW45" s="58">
        <f t="shared" si="38"/>
        <v>11077.500000000002</v>
      </c>
      <c r="AX45" s="79">
        <f t="shared" si="46"/>
        <v>10219.300000000001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139</v>
      </c>
      <c r="C50" s="60">
        <v>0</v>
      </c>
      <c r="D50" s="61">
        <v>263</v>
      </c>
      <c r="E50" s="61"/>
      <c r="F50" s="59">
        <f t="shared" si="2"/>
        <v>0</v>
      </c>
      <c r="G50" s="61">
        <v>279.6</v>
      </c>
      <c r="H50" s="61"/>
      <c r="I50" s="59">
        <f t="shared" si="3"/>
        <v>0</v>
      </c>
      <c r="J50" s="61">
        <v>231.5</v>
      </c>
      <c r="K50" s="61"/>
      <c r="L50" s="67">
        <f aca="true" t="shared" si="50" ref="L50:L76">K50/J50*100</f>
        <v>0</v>
      </c>
      <c r="M50" s="62">
        <f t="shared" si="42"/>
        <v>774.1</v>
      </c>
      <c r="N50" s="62">
        <f t="shared" si="43"/>
        <v>0</v>
      </c>
      <c r="O50" s="58">
        <f t="shared" si="7"/>
        <v>0</v>
      </c>
      <c r="P50" s="61">
        <v>37.4</v>
      </c>
      <c r="Q50" s="61"/>
      <c r="R50" s="58">
        <f t="shared" si="19"/>
        <v>0</v>
      </c>
      <c r="S50" s="61"/>
      <c r="T50" s="61">
        <v>811.5</v>
      </c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37.4</v>
      </c>
      <c r="Z50" s="62">
        <f t="shared" si="45"/>
        <v>811.5</v>
      </c>
      <c r="AA50" s="58">
        <f t="shared" si="12"/>
        <v>2169.7860962566847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811.5</v>
      </c>
      <c r="AU50" s="94">
        <f t="shared" si="23"/>
        <v>811.5</v>
      </c>
      <c r="AV50" s="58">
        <f t="shared" si="17"/>
        <v>100</v>
      </c>
      <c r="AW50" s="62">
        <f t="shared" si="22"/>
        <v>0</v>
      </c>
      <c r="AX50" s="63">
        <f t="shared" si="46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f>-409.7</f>
        <v>-409.7</v>
      </c>
      <c r="D57" s="61">
        <f>939.4+42.2</f>
        <v>981.6</v>
      </c>
      <c r="E57" s="61">
        <v>248.3</v>
      </c>
      <c r="F57" s="59">
        <f t="shared" si="52"/>
        <v>25.295436022819885</v>
      </c>
      <c r="G57" s="61">
        <f>878.8+40.8</f>
        <v>919.5999999999999</v>
      </c>
      <c r="H57" s="61">
        <f>586.4</f>
        <v>586.4</v>
      </c>
      <c r="I57" s="59">
        <f t="shared" si="53"/>
        <v>63.76685515441497</v>
      </c>
      <c r="J57" s="61">
        <v>755.4</v>
      </c>
      <c r="K57" s="61">
        <v>573.7</v>
      </c>
      <c r="L57" s="58">
        <f t="shared" si="50"/>
        <v>75.94651840084724</v>
      </c>
      <c r="M57" s="62">
        <f t="shared" si="42"/>
        <v>2656.6</v>
      </c>
      <c r="N57" s="62">
        <f t="shared" si="43"/>
        <v>1408.4</v>
      </c>
      <c r="O57" s="58">
        <f t="shared" si="7"/>
        <v>53.01513212376723</v>
      </c>
      <c r="P57" s="61">
        <v>1.6</v>
      </c>
      <c r="Q57" s="61">
        <f>716.8+79.4</f>
        <v>796.1999999999999</v>
      </c>
      <c r="R57" s="58">
        <f t="shared" si="19"/>
        <v>49762.49999999999</v>
      </c>
      <c r="S57" s="61"/>
      <c r="T57" s="61">
        <v>1.5</v>
      </c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1.6</v>
      </c>
      <c r="Z57" s="62">
        <f t="shared" si="45"/>
        <v>797.6999999999999</v>
      </c>
      <c r="AA57" s="58">
        <f t="shared" si="12"/>
        <v>49856.24999999999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2658.2</v>
      </c>
      <c r="AU57" s="94">
        <f t="shared" si="23"/>
        <v>2206.1</v>
      </c>
      <c r="AV57" s="58">
        <f t="shared" si="17"/>
        <v>82.99225039500413</v>
      </c>
      <c r="AW57" s="62">
        <f t="shared" si="22"/>
        <v>452.0999999999999</v>
      </c>
      <c r="AX57" s="63">
        <f t="shared" si="46"/>
        <v>42.40000000000009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-448.5</v>
      </c>
      <c r="D60" s="61">
        <v>10344.2</v>
      </c>
      <c r="E60" s="61">
        <v>0</v>
      </c>
      <c r="F60" s="59">
        <f t="shared" si="52"/>
        <v>0</v>
      </c>
      <c r="G60" s="61">
        <v>9441.4</v>
      </c>
      <c r="H60" s="61">
        <v>4497.2</v>
      </c>
      <c r="I60" s="59">
        <f t="shared" si="53"/>
        <v>47.63276632702777</v>
      </c>
      <c r="J60" s="61">
        <v>7753.2</v>
      </c>
      <c r="K60" s="61">
        <v>13136.3</v>
      </c>
      <c r="L60" s="58">
        <f t="shared" si="50"/>
        <v>169.43068668420779</v>
      </c>
      <c r="M60" s="62">
        <f t="shared" si="42"/>
        <v>27538.8</v>
      </c>
      <c r="N60" s="62">
        <f t="shared" si="43"/>
        <v>17633.5</v>
      </c>
      <c r="O60" s="58">
        <f t="shared" si="7"/>
        <v>64.0314755908028</v>
      </c>
      <c r="P60" s="61">
        <v>1029.7</v>
      </c>
      <c r="Q60" s="61">
        <v>7427.5</v>
      </c>
      <c r="R60" s="58">
        <f t="shared" si="19"/>
        <v>721.3265999805768</v>
      </c>
      <c r="S60" s="61"/>
      <c r="T60" s="61">
        <v>952.7</v>
      </c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1029.7</v>
      </c>
      <c r="Z60" s="62">
        <f t="shared" si="45"/>
        <v>8380.2</v>
      </c>
      <c r="AA60" s="58">
        <f t="shared" si="12"/>
        <v>813.848693794309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28568.5</v>
      </c>
      <c r="AU60" s="94">
        <f t="shared" si="23"/>
        <v>26013.7</v>
      </c>
      <c r="AV60" s="58">
        <f t="shared" si="17"/>
        <v>91.05728337154558</v>
      </c>
      <c r="AW60" s="62">
        <f t="shared" si="22"/>
        <v>2554.7999999999993</v>
      </c>
      <c r="AX60" s="63">
        <f t="shared" si="46"/>
        <v>2106.2999999999993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2513.8</v>
      </c>
      <c r="D61" s="109">
        <f>SUM(D62:D71)</f>
        <v>9658</v>
      </c>
      <c r="E61" s="109">
        <f>SUM(E62:E71)</f>
        <v>961.6</v>
      </c>
      <c r="F61" s="59">
        <f t="shared" si="52"/>
        <v>9.956512735556016</v>
      </c>
      <c r="G61" s="109">
        <f>SUM(G62:G71)</f>
        <v>10391.3</v>
      </c>
      <c r="H61" s="109">
        <f>SUM(H62:H71)</f>
        <v>8243.3</v>
      </c>
      <c r="I61" s="59">
        <f t="shared" si="53"/>
        <v>79.32886164387516</v>
      </c>
      <c r="J61" s="109">
        <f>SUM(J62:J71)</f>
        <v>11858.7</v>
      </c>
      <c r="K61" s="109">
        <f>SUM(K62:K71)</f>
        <v>9335.1</v>
      </c>
      <c r="L61" s="58">
        <f t="shared" si="50"/>
        <v>78.71942118444686</v>
      </c>
      <c r="M61" s="58">
        <f t="shared" si="42"/>
        <v>31908</v>
      </c>
      <c r="N61" s="58">
        <f t="shared" si="43"/>
        <v>18540</v>
      </c>
      <c r="O61" s="58">
        <f t="shared" si="7"/>
        <v>58.10455058292591</v>
      </c>
      <c r="P61" s="109">
        <f aca="true" t="shared" si="54" ref="P61:W61">SUM(P62:P71)</f>
        <v>3033.8</v>
      </c>
      <c r="Q61" s="109">
        <f t="shared" si="54"/>
        <v>13328.399999999998</v>
      </c>
      <c r="R61" s="109" t="e">
        <f t="shared" si="54"/>
        <v>#DIV/0!</v>
      </c>
      <c r="S61" s="109">
        <f t="shared" si="54"/>
        <v>-8</v>
      </c>
      <c r="T61" s="109">
        <f t="shared" si="54"/>
        <v>1704.1</v>
      </c>
      <c r="U61" s="109" t="e">
        <f t="shared" si="54"/>
        <v>#DIV/0!</v>
      </c>
      <c r="V61" s="109">
        <f t="shared" si="54"/>
        <v>6.6</v>
      </c>
      <c r="W61" s="109">
        <f t="shared" si="54"/>
        <v>387.4</v>
      </c>
      <c r="X61" s="58">
        <f t="shared" si="51"/>
        <v>5869.69696969697</v>
      </c>
      <c r="Y61" s="58">
        <f t="shared" si="44"/>
        <v>3032.4</v>
      </c>
      <c r="Z61" s="58">
        <f t="shared" si="45"/>
        <v>15419.899999999998</v>
      </c>
      <c r="AA61" s="58">
        <f t="shared" si="12"/>
        <v>508.5048146682495</v>
      </c>
      <c r="AB61" s="109">
        <f aca="true" t="shared" si="55" ref="AB61:AI61">SUM(AB62:AB71)</f>
        <v>0</v>
      </c>
      <c r="AC61" s="109">
        <f t="shared" si="55"/>
        <v>0</v>
      </c>
      <c r="AD61" s="109">
        <f t="shared" si="55"/>
        <v>0</v>
      </c>
      <c r="AE61" s="109">
        <f t="shared" si="55"/>
        <v>0</v>
      </c>
      <c r="AF61" s="109">
        <f t="shared" si="55"/>
        <v>0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34940.4</v>
      </c>
      <c r="AU61" s="57">
        <f t="shared" si="23"/>
        <v>33959.899999999994</v>
      </c>
      <c r="AV61" s="58">
        <f t="shared" si="17"/>
        <v>97.1937928586965</v>
      </c>
      <c r="AW61" s="58">
        <f t="shared" si="22"/>
        <v>980.5000000000073</v>
      </c>
      <c r="AX61" s="79">
        <f t="shared" si="46"/>
        <v>3494.30000000001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f>38.7+622</f>
        <v>660.7</v>
      </c>
      <c r="D62" s="61">
        <f>270.4+4554.8</f>
        <v>4825.2</v>
      </c>
      <c r="E62" s="61">
        <v>0</v>
      </c>
      <c r="F62" s="59">
        <f t="shared" si="52"/>
        <v>0</v>
      </c>
      <c r="G62" s="61">
        <f>313.4+4692.6</f>
        <v>5006</v>
      </c>
      <c r="H62" s="61">
        <f>183.6+5176.7</f>
        <v>5360.3</v>
      </c>
      <c r="I62" s="59">
        <f t="shared" si="53"/>
        <v>107.07750699161008</v>
      </c>
      <c r="J62" s="61">
        <f>706.7+4525.2</f>
        <v>5231.9</v>
      </c>
      <c r="K62" s="61">
        <f>816.8+4189.8</f>
        <v>5006.6</v>
      </c>
      <c r="L62" s="58">
        <f t="shared" si="50"/>
        <v>95.69372503297082</v>
      </c>
      <c r="M62" s="62">
        <f t="shared" si="42"/>
        <v>15063.1</v>
      </c>
      <c r="N62" s="62">
        <f t="shared" si="43"/>
        <v>10366.900000000001</v>
      </c>
      <c r="O62" s="58">
        <f t="shared" si="7"/>
        <v>68.82315061308762</v>
      </c>
      <c r="P62" s="61">
        <f>174.3+1155.8</f>
        <v>1330.1</v>
      </c>
      <c r="Q62" s="61">
        <f>730.6+5237.8</f>
        <v>5968.400000000001</v>
      </c>
      <c r="R62" s="58">
        <f t="shared" si="19"/>
        <v>448.7181414931209</v>
      </c>
      <c r="S62" s="61"/>
      <c r="T62" s="61">
        <v>600.5</v>
      </c>
      <c r="U62" s="58" t="e">
        <f t="shared" si="20"/>
        <v>#DIV/0!</v>
      </c>
      <c r="V62" s="61"/>
      <c r="W62" s="61">
        <v>291.1</v>
      </c>
      <c r="X62" s="58" t="e">
        <f t="shared" si="51"/>
        <v>#DIV/0!</v>
      </c>
      <c r="Y62" s="62">
        <f t="shared" si="44"/>
        <v>1330.1</v>
      </c>
      <c r="Z62" s="62">
        <f t="shared" si="45"/>
        <v>6860.000000000001</v>
      </c>
      <c r="AA62" s="58">
        <f t="shared" si="12"/>
        <v>515.7506954364335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16393.2</v>
      </c>
      <c r="AU62" s="94">
        <f t="shared" si="23"/>
        <v>17226.9</v>
      </c>
      <c r="AV62" s="58">
        <f t="shared" si="17"/>
        <v>105.08564526754995</v>
      </c>
      <c r="AW62" s="62">
        <f t="shared" si="22"/>
        <v>-833.7000000000007</v>
      </c>
      <c r="AX62" s="63">
        <f t="shared" si="46"/>
        <v>-173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f>1515.8+12.1</f>
        <v>1527.8999999999999</v>
      </c>
      <c r="E63" s="70">
        <v>0</v>
      </c>
      <c r="F63" s="59">
        <f t="shared" si="52"/>
        <v>0</v>
      </c>
      <c r="G63" s="70">
        <f>16.6+1605.5</f>
        <v>1622.1</v>
      </c>
      <c r="H63" s="70">
        <f>12.1+406.2</f>
        <v>418.3</v>
      </c>
      <c r="I63" s="59">
        <f t="shared" si="53"/>
        <v>25.78755933666235</v>
      </c>
      <c r="J63" s="61">
        <f>1235.1+13.4</f>
        <v>1248.5</v>
      </c>
      <c r="K63" s="61">
        <f>1525+16.6</f>
        <v>1541.6</v>
      </c>
      <c r="L63" s="58">
        <f t="shared" si="50"/>
        <v>123.47617140568681</v>
      </c>
      <c r="M63" s="62">
        <f t="shared" si="42"/>
        <v>4398.5</v>
      </c>
      <c r="N63" s="62">
        <f t="shared" si="43"/>
        <v>1959.8999999999999</v>
      </c>
      <c r="O63" s="58">
        <f t="shared" si="7"/>
        <v>44.558372172331474</v>
      </c>
      <c r="P63" s="61">
        <f>524.9</f>
        <v>524.9</v>
      </c>
      <c r="Q63" s="61">
        <f>2939.7+13.4</f>
        <v>2953.1</v>
      </c>
      <c r="R63" s="58">
        <f t="shared" si="19"/>
        <v>562.6024004572299</v>
      </c>
      <c r="S63" s="61">
        <v>-26.1</v>
      </c>
      <c r="T63" s="61">
        <f>3-18.7</f>
        <v>-15.7</v>
      </c>
      <c r="U63" s="58">
        <f t="shared" si="20"/>
        <v>60.15325670498084</v>
      </c>
      <c r="V63" s="61"/>
      <c r="W63" s="61"/>
      <c r="X63" s="58" t="e">
        <f t="shared" si="51"/>
        <v>#DIV/0!</v>
      </c>
      <c r="Y63" s="62">
        <f t="shared" si="44"/>
        <v>498.79999999999995</v>
      </c>
      <c r="Z63" s="62">
        <f t="shared" si="45"/>
        <v>2937.4</v>
      </c>
      <c r="AA63" s="58">
        <f t="shared" si="12"/>
        <v>588.8933440256617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4897.3</v>
      </c>
      <c r="AU63" s="94">
        <f t="shared" si="23"/>
        <v>4897.3</v>
      </c>
      <c r="AV63" s="58">
        <f t="shared" si="17"/>
        <v>100</v>
      </c>
      <c r="AW63" s="62">
        <f t="shared" si="22"/>
        <v>0</v>
      </c>
      <c r="AX63" s="63">
        <f t="shared" si="46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0</v>
      </c>
      <c r="D64" s="61">
        <v>132</v>
      </c>
      <c r="E64" s="61">
        <v>0</v>
      </c>
      <c r="F64" s="59">
        <f aca="true" t="shared" si="58" ref="F64:F71">E64/D64*100</f>
        <v>0</v>
      </c>
      <c r="G64" s="61">
        <v>116.2</v>
      </c>
      <c r="H64" s="61">
        <v>132</v>
      </c>
      <c r="I64" s="59">
        <f aca="true" t="shared" si="59" ref="I64:I72">H64/G64*100</f>
        <v>113.59724612736662</v>
      </c>
      <c r="J64" s="61">
        <v>106.8</v>
      </c>
      <c r="K64" s="61">
        <v>155.6</v>
      </c>
      <c r="L64" s="58">
        <f t="shared" si="50"/>
        <v>145.69288389513108</v>
      </c>
      <c r="M64" s="62">
        <f t="shared" si="42"/>
        <v>355</v>
      </c>
      <c r="N64" s="62">
        <f t="shared" si="43"/>
        <v>287.6</v>
      </c>
      <c r="O64" s="58">
        <f t="shared" si="7"/>
        <v>81.01408450704226</v>
      </c>
      <c r="P64" s="61">
        <v>32.8</v>
      </c>
      <c r="Q64" s="61">
        <v>83.8</v>
      </c>
      <c r="R64" s="58">
        <f t="shared" si="19"/>
        <v>255.48780487804882</v>
      </c>
      <c r="S64" s="61"/>
      <c r="T64" s="61">
        <v>16.4</v>
      </c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32.8</v>
      </c>
      <c r="Z64" s="62">
        <f t="shared" si="45"/>
        <v>100.19999999999999</v>
      </c>
      <c r="AA64" s="58">
        <f t="shared" si="12"/>
        <v>305.4878048780488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387.8</v>
      </c>
      <c r="AU64" s="94">
        <f t="shared" si="23"/>
        <v>387.8</v>
      </c>
      <c r="AV64" s="58">
        <f t="shared" si="17"/>
        <v>100</v>
      </c>
      <c r="AW64" s="62">
        <f t="shared" si="22"/>
        <v>0</v>
      </c>
      <c r="AX64" s="63">
        <f t="shared" si="46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</v>
      </c>
      <c r="D67" s="61">
        <v>0</v>
      </c>
      <c r="E67" s="61">
        <v>0</v>
      </c>
      <c r="F67" s="64" t="e">
        <f t="shared" si="58"/>
        <v>#DIV/0!</v>
      </c>
      <c r="G67" s="61">
        <v>358.7</v>
      </c>
      <c r="H67" s="61">
        <v>0</v>
      </c>
      <c r="I67" s="59">
        <f t="shared" si="59"/>
        <v>0</v>
      </c>
      <c r="J67" s="61">
        <v>915</v>
      </c>
      <c r="K67" s="61">
        <v>377.2</v>
      </c>
      <c r="L67" s="58">
        <f t="shared" si="50"/>
        <v>41.22404371584699</v>
      </c>
      <c r="M67" s="62">
        <f t="shared" si="42"/>
        <v>1273.7</v>
      </c>
      <c r="N67" s="62">
        <f t="shared" si="43"/>
        <v>377.2</v>
      </c>
      <c r="O67" s="58">
        <f t="shared" si="7"/>
        <v>29.614508911046556</v>
      </c>
      <c r="P67" s="61">
        <v>383.9</v>
      </c>
      <c r="Q67" s="61">
        <v>693</v>
      </c>
      <c r="R67" s="58">
        <f t="shared" si="19"/>
        <v>180.51575931232094</v>
      </c>
      <c r="S67" s="61">
        <v>18.1</v>
      </c>
      <c r="T67" s="61">
        <v>599.5</v>
      </c>
      <c r="U67" s="58">
        <f t="shared" si="20"/>
        <v>3312.154696132596</v>
      </c>
      <c r="V67" s="61">
        <v>6.6</v>
      </c>
      <c r="W67" s="61">
        <v>11.7</v>
      </c>
      <c r="X67" s="58">
        <f t="shared" si="51"/>
        <v>177.27272727272728</v>
      </c>
      <c r="Y67" s="62">
        <f t="shared" si="44"/>
        <v>408.6</v>
      </c>
      <c r="Z67" s="62">
        <f t="shared" si="45"/>
        <v>1304.2</v>
      </c>
      <c r="AA67" s="58">
        <f t="shared" si="12"/>
        <v>319.1874694077337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7"/>
        <v>0</v>
      </c>
      <c r="AL67" s="62">
        <f t="shared" si="57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1682.3000000000002</v>
      </c>
      <c r="AU67" s="94">
        <f t="shared" si="23"/>
        <v>1681.4</v>
      </c>
      <c r="AV67" s="58">
        <f t="shared" si="17"/>
        <v>99.94650181299411</v>
      </c>
      <c r="AW67" s="62">
        <f t="shared" si="22"/>
        <v>0.900000000000091</v>
      </c>
      <c r="AX67" s="63">
        <f t="shared" si="46"/>
        <v>0.900000000000091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336.5</v>
      </c>
      <c r="D69" s="61">
        <v>314.9</v>
      </c>
      <c r="E69" s="61">
        <v>12.4</v>
      </c>
      <c r="F69" s="59">
        <f t="shared" si="58"/>
        <v>3.937758018418546</v>
      </c>
      <c r="G69" s="61">
        <v>251.5</v>
      </c>
      <c r="H69" s="61">
        <v>540.9</v>
      </c>
      <c r="I69" s="59">
        <f t="shared" si="59"/>
        <v>215.06958250497016</v>
      </c>
      <c r="J69" s="61">
        <v>188.1</v>
      </c>
      <c r="K69" s="61">
        <v>211.4</v>
      </c>
      <c r="L69" s="58">
        <f t="shared" si="50"/>
        <v>112.38702817650186</v>
      </c>
      <c r="M69" s="62">
        <f t="shared" si="42"/>
        <v>754.5</v>
      </c>
      <c r="N69" s="62">
        <f t="shared" si="43"/>
        <v>764.6999999999999</v>
      </c>
      <c r="O69" s="58">
        <f t="shared" si="7"/>
        <v>101.35188866799203</v>
      </c>
      <c r="P69" s="61">
        <v>0</v>
      </c>
      <c r="Q69" s="61">
        <v>326.3</v>
      </c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326.3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754.5</v>
      </c>
      <c r="AU69" s="94">
        <f t="shared" si="23"/>
        <v>1091</v>
      </c>
      <c r="AV69" s="58">
        <f t="shared" si="17"/>
        <v>144.59907223326707</v>
      </c>
      <c r="AW69" s="62">
        <f t="shared" si="22"/>
        <v>-336.5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93.2</v>
      </c>
      <c r="E70" s="61">
        <v>0</v>
      </c>
      <c r="F70" s="59">
        <f>E70/D70*100</f>
        <v>0</v>
      </c>
      <c r="G70" s="61">
        <v>129.3</v>
      </c>
      <c r="H70" s="61">
        <v>93.2</v>
      </c>
      <c r="I70" s="59">
        <f>H70/G70*100</f>
        <v>72.08043310131477</v>
      </c>
      <c r="J70" s="61">
        <v>113.9</v>
      </c>
      <c r="K70" s="61">
        <v>129.3</v>
      </c>
      <c r="L70" s="58">
        <f>K70/J70*100</f>
        <v>113.5206321334504</v>
      </c>
      <c r="M70" s="62">
        <f>D70+G70+J70</f>
        <v>336.4</v>
      </c>
      <c r="N70" s="62">
        <f>E70+H70+K70</f>
        <v>222.5</v>
      </c>
      <c r="O70" s="58">
        <f>N70/M70*100</f>
        <v>66.14149821640905</v>
      </c>
      <c r="P70" s="61">
        <v>99.4</v>
      </c>
      <c r="Q70" s="61">
        <v>113.9</v>
      </c>
      <c r="R70" s="58">
        <f>Q70/P70*100</f>
        <v>114.58752515090542</v>
      </c>
      <c r="S70" s="61"/>
      <c r="T70" s="61">
        <v>99.4</v>
      </c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99.4</v>
      </c>
      <c r="Z70" s="62">
        <f>Q70+T70+W70</f>
        <v>213.3</v>
      </c>
      <c r="AA70" s="58">
        <f>Z70/Y70*100</f>
        <v>214.58752515090544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435.79999999999995</v>
      </c>
      <c r="AU70" s="94">
        <f>N70+Z70+AL70+AO70+AQ70+AS70</f>
        <v>435.8</v>
      </c>
      <c r="AV70" s="58">
        <f>AU70/AT70*100</f>
        <v>100.00000000000003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f>923.5+593.1</f>
        <v>1516.6</v>
      </c>
      <c r="D71" s="61">
        <v>2764.8</v>
      </c>
      <c r="E71" s="61">
        <v>949.2</v>
      </c>
      <c r="F71" s="59">
        <f t="shared" si="58"/>
        <v>34.33159722222222</v>
      </c>
      <c r="G71" s="61">
        <v>2907.5</v>
      </c>
      <c r="H71" s="61">
        <v>1698.6</v>
      </c>
      <c r="I71" s="59">
        <f t="shared" si="59"/>
        <v>58.4213241616509</v>
      </c>
      <c r="J71" s="61">
        <f>3897.6+156.9</f>
        <v>4054.5</v>
      </c>
      <c r="K71" s="61">
        <f>1770.3+143.1</f>
        <v>1913.3999999999999</v>
      </c>
      <c r="L71" s="58">
        <f t="shared" si="50"/>
        <v>47.192008879023305</v>
      </c>
      <c r="M71" s="62">
        <f t="shared" si="42"/>
        <v>9726.8</v>
      </c>
      <c r="N71" s="62">
        <f>E71+H71+K71</f>
        <v>4561.2</v>
      </c>
      <c r="O71" s="58">
        <f t="shared" si="7"/>
        <v>46.89312003947855</v>
      </c>
      <c r="P71" s="61">
        <f>615+47.7</f>
        <v>662.7</v>
      </c>
      <c r="Q71" s="61">
        <f>3016.2+173.7</f>
        <v>3189.8999999999996</v>
      </c>
      <c r="R71" s="58">
        <f t="shared" si="19"/>
        <v>481.349026708918</v>
      </c>
      <c r="S71" s="61"/>
      <c r="T71" s="61">
        <f>367.5+36.5</f>
        <v>404</v>
      </c>
      <c r="U71" s="58" t="e">
        <f t="shared" si="20"/>
        <v>#DIV/0!</v>
      </c>
      <c r="V71" s="61"/>
      <c r="W71" s="61">
        <v>84.6</v>
      </c>
      <c r="X71" s="58" t="e">
        <f t="shared" si="51"/>
        <v>#DIV/0!</v>
      </c>
      <c r="Y71" s="62">
        <f t="shared" si="44"/>
        <v>662.7</v>
      </c>
      <c r="Z71" s="62">
        <f t="shared" si="45"/>
        <v>3678.4999999999995</v>
      </c>
      <c r="AA71" s="58">
        <f t="shared" si="12"/>
        <v>555.0777123887127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7"/>
        <v>0</v>
      </c>
      <c r="AL71" s="62">
        <f t="shared" si="57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10389.5</v>
      </c>
      <c r="AU71" s="94">
        <f t="shared" si="23"/>
        <v>8239.699999999999</v>
      </c>
      <c r="AV71" s="58">
        <f t="shared" si="17"/>
        <v>79.30795514702342</v>
      </c>
      <c r="AW71" s="62">
        <f t="shared" si="22"/>
        <v>2149.800000000001</v>
      </c>
      <c r="AX71" s="63">
        <f t="shared" si="46"/>
        <v>3666.4000000000015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61049</v>
      </c>
      <c r="D72" s="75">
        <f>SUM(D73:D75)</f>
        <v>125085.2</v>
      </c>
      <c r="E72" s="75">
        <f>SUM(E73:E75)</f>
        <v>12522.2</v>
      </c>
      <c r="F72" s="59">
        <f>E72/D72*100</f>
        <v>10.010936545650486</v>
      </c>
      <c r="G72" s="75">
        <f>SUM(G73:G75)</f>
        <v>85014.59999999999</v>
      </c>
      <c r="H72" s="75">
        <f>SUM(H73:H75)</f>
        <v>74557.40000000001</v>
      </c>
      <c r="I72" s="59">
        <f t="shared" si="59"/>
        <v>87.6995245522534</v>
      </c>
      <c r="J72" s="75">
        <f>SUM(J73:J75)</f>
        <v>78829.7</v>
      </c>
      <c r="K72" s="75">
        <f>SUM(K73:K75)</f>
        <v>134287</v>
      </c>
      <c r="L72" s="58">
        <f t="shared" si="50"/>
        <v>170.35076880921784</v>
      </c>
      <c r="M72" s="58">
        <f t="shared" si="42"/>
        <v>288929.5</v>
      </c>
      <c r="N72" s="58">
        <f t="shared" si="43"/>
        <v>221366.6</v>
      </c>
      <c r="O72" s="58">
        <f t="shared" si="7"/>
        <v>76.61612954025117</v>
      </c>
      <c r="P72" s="75">
        <f aca="true" t="shared" si="60" ref="P72:W72">SUM(P73:P75)</f>
        <v>41582</v>
      </c>
      <c r="Q72" s="75">
        <f t="shared" si="60"/>
        <v>77773.90000000001</v>
      </c>
      <c r="R72" s="75">
        <f t="shared" si="60"/>
        <v>649.593628502926</v>
      </c>
      <c r="S72" s="75">
        <f t="shared" si="60"/>
        <v>2309.5</v>
      </c>
      <c r="T72" s="75">
        <f t="shared" si="60"/>
        <v>37516.9</v>
      </c>
      <c r="U72" s="75">
        <f t="shared" si="60"/>
        <v>2777.150211926359</v>
      </c>
      <c r="V72" s="75">
        <f t="shared" si="60"/>
        <v>1080.3</v>
      </c>
      <c r="W72" s="75">
        <f t="shared" si="60"/>
        <v>6115.900000000001</v>
      </c>
      <c r="X72" s="58">
        <f t="shared" si="51"/>
        <v>566.1297787651579</v>
      </c>
      <c r="Y72" s="58">
        <f t="shared" si="44"/>
        <v>44971.8</v>
      </c>
      <c r="Z72" s="58">
        <f t="shared" si="45"/>
        <v>121406.70000000001</v>
      </c>
      <c r="AA72" s="58">
        <f t="shared" si="12"/>
        <v>269.961842754793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7"/>
        <v>0</v>
      </c>
      <c r="AL72" s="58">
        <f t="shared" si="57"/>
        <v>0</v>
      </c>
      <c r="AM72" s="58" t="e">
        <f t="shared" si="15"/>
        <v>#DIV/0!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333901.3</v>
      </c>
      <c r="AU72" s="57">
        <f t="shared" si="23"/>
        <v>342773.30000000005</v>
      </c>
      <c r="AV72" s="58">
        <f t="shared" si="17"/>
        <v>102.65707261397307</v>
      </c>
      <c r="AW72" s="79">
        <f>SUM(AW73:AW75)</f>
        <v>-8872</v>
      </c>
      <c r="AX72" s="79">
        <f>SUM(AX73:AX75)</f>
        <v>52177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1288+59761</f>
        <v>61049</v>
      </c>
      <c r="D73" s="61">
        <f>20611+101617</f>
        <v>122228</v>
      </c>
      <c r="E73" s="61">
        <f>462+11349</f>
        <v>11811</v>
      </c>
      <c r="F73" s="59">
        <f>E73/D73*100</f>
        <v>9.663088653990902</v>
      </c>
      <c r="G73" s="61">
        <f>18806+62793</f>
        <v>81599</v>
      </c>
      <c r="H73" s="61">
        <f>14258+56277</f>
        <v>70535</v>
      </c>
      <c r="I73" s="59">
        <f>H73/G73*100</f>
        <v>86.44101030649885</v>
      </c>
      <c r="J73" s="61">
        <f>17005+59263</f>
        <v>76268</v>
      </c>
      <c r="K73" s="61">
        <f>24291+106956</f>
        <v>131247</v>
      </c>
      <c r="L73" s="58">
        <f t="shared" si="50"/>
        <v>172.0865893952903</v>
      </c>
      <c r="M73" s="62">
        <f t="shared" si="42"/>
        <v>280095</v>
      </c>
      <c r="N73" s="62">
        <f t="shared" si="43"/>
        <v>213593</v>
      </c>
      <c r="O73" s="58">
        <f t="shared" si="7"/>
        <v>76.25734125921562</v>
      </c>
      <c r="P73" s="61">
        <f>8963+30527</f>
        <v>39490</v>
      </c>
      <c r="Q73" s="61">
        <f>16871+58873</f>
        <v>75744</v>
      </c>
      <c r="R73" s="58">
        <f t="shared" si="19"/>
        <v>191.80552038490757</v>
      </c>
      <c r="S73" s="61">
        <f>631+1182</f>
        <v>1813</v>
      </c>
      <c r="T73" s="61">
        <f>6660+29433</f>
        <v>36093</v>
      </c>
      <c r="U73" s="58">
        <f t="shared" si="20"/>
        <v>1990.7887479316053</v>
      </c>
      <c r="V73" s="61">
        <f>202+570</f>
        <v>772</v>
      </c>
      <c r="W73" s="61">
        <f>2101+3667</f>
        <v>5768</v>
      </c>
      <c r="X73" s="58">
        <f>W73/V73*100</f>
        <v>747.1502590673575</v>
      </c>
      <c r="Y73" s="62">
        <f t="shared" si="44"/>
        <v>42075</v>
      </c>
      <c r="Z73" s="62">
        <f t="shared" si="45"/>
        <v>117605</v>
      </c>
      <c r="AA73" s="58">
        <f t="shared" si="12"/>
        <v>279.5127748068924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2" ref="AK73:AL75">AB73+AE73+AH73</f>
        <v>0</v>
      </c>
      <c r="AL73" s="62">
        <f t="shared" si="62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322170</v>
      </c>
      <c r="AU73" s="94">
        <f t="shared" si="23"/>
        <v>331198</v>
      </c>
      <c r="AV73" s="58">
        <f t="shared" si="17"/>
        <v>102.80224726076295</v>
      </c>
      <c r="AW73" s="62">
        <f>AT73-AU73</f>
        <v>-9028</v>
      </c>
      <c r="AX73" s="63">
        <f>C73+AT73-AU73</f>
        <v>52021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1904.8</v>
      </c>
      <c r="E74" s="61">
        <v>711.2</v>
      </c>
      <c r="F74" s="59">
        <f>E74/D74*100</f>
        <v>37.33725325493491</v>
      </c>
      <c r="G74" s="61">
        <v>2165.9</v>
      </c>
      <c r="H74" s="61">
        <v>3231.3</v>
      </c>
      <c r="I74" s="59">
        <f>H74/G74*100</f>
        <v>149.18971328316172</v>
      </c>
      <c r="J74" s="61">
        <v>1639.7</v>
      </c>
      <c r="K74" s="61">
        <v>1629</v>
      </c>
      <c r="L74" s="58">
        <f t="shared" si="50"/>
        <v>99.34744160517167</v>
      </c>
      <c r="M74" s="62">
        <f t="shared" si="42"/>
        <v>5710.4</v>
      </c>
      <c r="N74" s="62">
        <f t="shared" si="43"/>
        <v>5571.5</v>
      </c>
      <c r="O74" s="58">
        <f t="shared" si="7"/>
        <v>97.56759596525639</v>
      </c>
      <c r="P74" s="61">
        <v>1846.2</v>
      </c>
      <c r="Q74" s="61">
        <v>1043.6</v>
      </c>
      <c r="R74" s="58">
        <f t="shared" si="19"/>
        <v>56.52692016032932</v>
      </c>
      <c r="S74" s="61">
        <v>461.4</v>
      </c>
      <c r="T74" s="61">
        <v>1242.4</v>
      </c>
      <c r="U74" s="58">
        <f t="shared" si="20"/>
        <v>269.2674469007369</v>
      </c>
      <c r="V74" s="61">
        <v>295.5</v>
      </c>
      <c r="W74" s="61">
        <v>312.8</v>
      </c>
      <c r="X74" s="58">
        <f>W74/V74*100</f>
        <v>105.85448392554993</v>
      </c>
      <c r="Y74" s="62">
        <f t="shared" si="44"/>
        <v>2603.1</v>
      </c>
      <c r="Z74" s="62">
        <f t="shared" si="45"/>
        <v>2598.8</v>
      </c>
      <c r="AA74" s="58">
        <f>Z74/Y74*100</f>
        <v>99.83481233913412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2"/>
        <v>0</v>
      </c>
      <c r="AL74" s="62">
        <f t="shared" si="62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8313.5</v>
      </c>
      <c r="AU74" s="94">
        <f t="shared" si="23"/>
        <v>8170.3</v>
      </c>
      <c r="AV74" s="58">
        <f t="shared" si="17"/>
        <v>98.27750045107355</v>
      </c>
      <c r="AW74" s="62">
        <f>AT74-AU74</f>
        <v>143.19999999999982</v>
      </c>
      <c r="AX74" s="63">
        <f>C74+AT74-AU74</f>
        <v>143.19999999999982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f>316.2+636.2</f>
        <v>952.4000000000001</v>
      </c>
      <c r="E75" s="61">
        <v>0</v>
      </c>
      <c r="F75" s="59">
        <f>E75/D75*100</f>
        <v>0</v>
      </c>
      <c r="G75" s="61">
        <f>351.6+898.1</f>
        <v>1249.7</v>
      </c>
      <c r="H75" s="61">
        <f>154.9+636.2</f>
        <v>791.1</v>
      </c>
      <c r="I75" s="59">
        <f>H75/G75*100</f>
        <v>63.303192766263905</v>
      </c>
      <c r="J75" s="61">
        <v>922</v>
      </c>
      <c r="K75" s="61">
        <f>512.9+898.1</f>
        <v>1411</v>
      </c>
      <c r="L75" s="58">
        <f t="shared" si="50"/>
        <v>153.03687635574838</v>
      </c>
      <c r="M75" s="62">
        <f t="shared" si="42"/>
        <v>3124.1000000000004</v>
      </c>
      <c r="N75" s="62">
        <f t="shared" si="43"/>
        <v>2202.1</v>
      </c>
      <c r="O75" s="58">
        <f t="shared" si="7"/>
        <v>70.48750040011522</v>
      </c>
      <c r="P75" s="61">
        <v>245.8</v>
      </c>
      <c r="Q75" s="61">
        <f>373.3+613</f>
        <v>986.3</v>
      </c>
      <c r="R75" s="58">
        <f t="shared" si="19"/>
        <v>401.2611879576891</v>
      </c>
      <c r="S75" s="61">
        <f>4.4+30.7</f>
        <v>35.1</v>
      </c>
      <c r="T75" s="61">
        <f>36.6+144.9</f>
        <v>181.5</v>
      </c>
      <c r="U75" s="58">
        <f t="shared" si="20"/>
        <v>517.0940170940171</v>
      </c>
      <c r="V75" s="61">
        <v>12.8</v>
      </c>
      <c r="W75" s="61">
        <v>35.1</v>
      </c>
      <c r="X75" s="58">
        <f>W75/V75*100</f>
        <v>274.21875</v>
      </c>
      <c r="Y75" s="62">
        <f t="shared" si="44"/>
        <v>293.70000000000005</v>
      </c>
      <c r="Z75" s="62">
        <f t="shared" si="45"/>
        <v>1202.8999999999999</v>
      </c>
      <c r="AA75" s="58">
        <f>Z75/Y75*100</f>
        <v>409.5675859720802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2"/>
        <v>0</v>
      </c>
      <c r="AL75" s="62">
        <f t="shared" si="62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3417.8</v>
      </c>
      <c r="AU75" s="94">
        <f t="shared" si="23"/>
        <v>3405</v>
      </c>
      <c r="AV75" s="58">
        <f t="shared" si="17"/>
        <v>99.62549008133887</v>
      </c>
      <c r="AW75" s="62">
        <f t="shared" si="22"/>
        <v>12.800000000000182</v>
      </c>
      <c r="AX75" s="63">
        <f>C75+AT75-AU75</f>
        <v>12.800000000000182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64986.5</v>
      </c>
      <c r="D76" s="79">
        <f>D72+D7</f>
        <v>191638.5</v>
      </c>
      <c r="E76" s="79">
        <f>E72+E7</f>
        <v>18872.8</v>
      </c>
      <c r="F76" s="59">
        <f>E76/D76*100</f>
        <v>9.848125507139745</v>
      </c>
      <c r="G76" s="79">
        <f>G72+G7</f>
        <v>153287.3</v>
      </c>
      <c r="H76" s="79">
        <f>H72+H7</f>
        <v>127209.6</v>
      </c>
      <c r="I76" s="59">
        <f>H76/G76*100</f>
        <v>82.98769695858692</v>
      </c>
      <c r="J76" s="79">
        <f>J72+J7</f>
        <v>139339.9</v>
      </c>
      <c r="K76" s="79">
        <f>K72+K7</f>
        <v>198182.60000000003</v>
      </c>
      <c r="L76" s="58">
        <f t="shared" si="50"/>
        <v>142.22961262351993</v>
      </c>
      <c r="M76" s="79">
        <f>M72+M7</f>
        <v>484265.69999999995</v>
      </c>
      <c r="N76" s="79">
        <f>N72+N7</f>
        <v>344265</v>
      </c>
      <c r="O76" s="58">
        <f t="shared" si="7"/>
        <v>71.09010611323495</v>
      </c>
      <c r="P76" s="79">
        <f>P72+P7</f>
        <v>52657.4</v>
      </c>
      <c r="Q76" s="79">
        <f>Q72+Q7</f>
        <v>124079.1</v>
      </c>
      <c r="R76" s="58">
        <f t="shared" si="19"/>
        <v>235.63468762225256</v>
      </c>
      <c r="S76" s="79">
        <f>S72+S7</f>
        <v>3310.9</v>
      </c>
      <c r="T76" s="79">
        <f>T72+T7</f>
        <v>52640.00000000001</v>
      </c>
      <c r="U76" s="58">
        <f t="shared" si="20"/>
        <v>1589.9000271829414</v>
      </c>
      <c r="V76" s="79">
        <f>V72+V7</f>
        <v>2096.4999999999995</v>
      </c>
      <c r="W76" s="79">
        <f>W72+W7</f>
        <v>11688.9</v>
      </c>
      <c r="X76" s="58">
        <f>W76/V76*100</f>
        <v>557.54352492249</v>
      </c>
      <c r="Y76" s="79">
        <f>Y72+Y7</f>
        <v>58064.8</v>
      </c>
      <c r="Z76" s="79">
        <f>Z72+Z7</f>
        <v>188408</v>
      </c>
      <c r="AA76" s="58">
        <f>Z76/Y76*100</f>
        <v>324.4788581033604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542330.5</v>
      </c>
      <c r="AU76" s="57">
        <f t="shared" si="23"/>
        <v>532673</v>
      </c>
      <c r="AV76" s="58">
        <f>AU76/AT76*100</f>
        <v>98.2192592893079</v>
      </c>
      <c r="AW76" s="79">
        <f>AW72+AW7</f>
        <v>9657.500000000007</v>
      </c>
      <c r="AX76" s="79">
        <f>AX72+AX7</f>
        <v>74644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autoFilter ref="AV1:AV91"/>
  <mergeCells count="21">
    <mergeCell ref="J5:L5"/>
    <mergeCell ref="AK5:AM5"/>
    <mergeCell ref="I1:AX1"/>
    <mergeCell ref="B2:AX3"/>
    <mergeCell ref="G5:I5"/>
    <mergeCell ref="AX5:AX6"/>
    <mergeCell ref="S5:U5"/>
    <mergeCell ref="B4:F4"/>
    <mergeCell ref="D5:F5"/>
    <mergeCell ref="AH5:AJ5"/>
    <mergeCell ref="AE5:AG5"/>
    <mergeCell ref="AW5:AW6"/>
    <mergeCell ref="AN5:AO5"/>
    <mergeCell ref="M5:O5"/>
    <mergeCell ref="V5:X5"/>
    <mergeCell ref="AT5:AV5"/>
    <mergeCell ref="AB5:AD5"/>
    <mergeCell ref="AP5:AQ5"/>
    <mergeCell ref="Y5:AA5"/>
    <mergeCell ref="P5:R5"/>
    <mergeCell ref="AR5:AS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1">
      <pane xSplit="2" ySplit="6" topLeftCell="C6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Y76" sqref="AY76"/>
    </sheetView>
  </sheetViews>
  <sheetFormatPr defaultColWidth="5.75390625" defaultRowHeight="12.75"/>
  <cols>
    <col min="1" max="1" width="5.00390625" style="1" hidden="1" customWidth="1"/>
    <col min="2" max="2" width="70.2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5" t="s">
        <v>42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s="31" customFormat="1" ht="60" customHeight="1" hidden="1">
      <c r="A2" s="30"/>
      <c r="B2" s="122" t="s">
        <v>180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</row>
    <row r="3" spans="1:50" s="44" customFormat="1" ht="60" customHeight="1">
      <c r="A3" s="4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</row>
    <row r="4" spans="2:50" ht="35.25" customHeight="1">
      <c r="B4" s="127"/>
      <c r="C4" s="127"/>
      <c r="D4" s="127"/>
      <c r="E4" s="127"/>
      <c r="F4" s="12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6" t="s">
        <v>59</v>
      </c>
      <c r="E5" s="117"/>
      <c r="F5" s="118"/>
      <c r="G5" s="116" t="s">
        <v>60</v>
      </c>
      <c r="H5" s="117"/>
      <c r="I5" s="118"/>
      <c r="J5" s="112" t="s">
        <v>61</v>
      </c>
      <c r="K5" s="113"/>
      <c r="L5" s="114"/>
      <c r="M5" s="112" t="s">
        <v>72</v>
      </c>
      <c r="N5" s="113"/>
      <c r="O5" s="114"/>
      <c r="P5" s="112" t="s">
        <v>62</v>
      </c>
      <c r="Q5" s="113"/>
      <c r="R5" s="114"/>
      <c r="S5" s="119" t="s">
        <v>63</v>
      </c>
      <c r="T5" s="120"/>
      <c r="U5" s="121"/>
      <c r="V5" s="119" t="s">
        <v>64</v>
      </c>
      <c r="W5" s="120"/>
      <c r="X5" s="121"/>
      <c r="Y5" s="112" t="s">
        <v>73</v>
      </c>
      <c r="Z5" s="113"/>
      <c r="AA5" s="114"/>
      <c r="AB5" s="112" t="s">
        <v>65</v>
      </c>
      <c r="AC5" s="113"/>
      <c r="AD5" s="114"/>
      <c r="AE5" s="112" t="s">
        <v>66</v>
      </c>
      <c r="AF5" s="113"/>
      <c r="AG5" s="114"/>
      <c r="AH5" s="112" t="s">
        <v>67</v>
      </c>
      <c r="AI5" s="113"/>
      <c r="AJ5" s="114"/>
      <c r="AK5" s="112" t="s">
        <v>68</v>
      </c>
      <c r="AL5" s="113"/>
      <c r="AM5" s="114"/>
      <c r="AN5" s="112" t="s">
        <v>69</v>
      </c>
      <c r="AO5" s="114"/>
      <c r="AP5" s="112" t="s">
        <v>70</v>
      </c>
      <c r="AQ5" s="114"/>
      <c r="AR5" s="112" t="s">
        <v>71</v>
      </c>
      <c r="AS5" s="114"/>
      <c r="AT5" s="116" t="s">
        <v>130</v>
      </c>
      <c r="AU5" s="117"/>
      <c r="AV5" s="118"/>
      <c r="AW5" s="125" t="s">
        <v>172</v>
      </c>
      <c r="AX5" s="123" t="s">
        <v>173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26"/>
      <c r="AX6" s="124"/>
    </row>
    <row r="7" spans="1:61" s="9" customFormat="1" ht="34.5" customHeight="1">
      <c r="A7" s="8"/>
      <c r="B7" s="107" t="s">
        <v>135</v>
      </c>
      <c r="C7" s="58">
        <f>SUM(C8:C71)-C8-C14-C23-C30-C39-C45-C61</f>
        <v>-1546.8000000000002</v>
      </c>
      <c r="D7" s="58">
        <f aca="true" t="shared" si="0" ref="D7:AX7">SUM(D8:D71)-D8-D14-D23-D30-D39-D45-D61</f>
        <v>10879.500000000002</v>
      </c>
      <c r="E7" s="58">
        <f t="shared" si="0"/>
        <v>1343.0999999999997</v>
      </c>
      <c r="F7" s="56">
        <f>E7/D7*100</f>
        <v>12.345236453881148</v>
      </c>
      <c r="G7" s="58">
        <f t="shared" si="0"/>
        <v>11842.4</v>
      </c>
      <c r="H7" s="58">
        <f t="shared" si="0"/>
        <v>9832.7</v>
      </c>
      <c r="I7" s="56">
        <f>H7/G7*100</f>
        <v>83.02962237384315</v>
      </c>
      <c r="J7" s="58">
        <f t="shared" si="0"/>
        <v>10409.500000000002</v>
      </c>
      <c r="K7" s="58">
        <f t="shared" si="0"/>
        <v>9565</v>
      </c>
      <c r="L7" s="56">
        <f>K7/J7*100</f>
        <v>91.8872184062635</v>
      </c>
      <c r="M7" s="58">
        <f t="shared" si="0"/>
        <v>33131.4</v>
      </c>
      <c r="N7" s="58">
        <f t="shared" si="0"/>
        <v>20740.800000000003</v>
      </c>
      <c r="O7" s="56">
        <f>N7/M7*100</f>
        <v>62.601640739600505</v>
      </c>
      <c r="P7" s="58">
        <f t="shared" si="0"/>
        <v>3237.200000000001</v>
      </c>
      <c r="Q7" s="58">
        <f t="shared" si="0"/>
        <v>8675.900000000001</v>
      </c>
      <c r="R7" s="56">
        <f>Q7/P7*100</f>
        <v>268.0063017422463</v>
      </c>
      <c r="S7" s="58">
        <f t="shared" si="0"/>
        <v>525.3000000000001</v>
      </c>
      <c r="T7" s="58">
        <f t="shared" si="0"/>
        <v>3107.200000000002</v>
      </c>
      <c r="U7" s="56">
        <f>T7/S7*100</f>
        <v>591.5096135541598</v>
      </c>
      <c r="V7" s="58">
        <f t="shared" si="0"/>
        <v>448.0999999999999</v>
      </c>
      <c r="W7" s="58">
        <f t="shared" si="0"/>
        <v>1145.8000000000002</v>
      </c>
      <c r="X7" s="56">
        <f>W7/V7*100</f>
        <v>255.7018522651195</v>
      </c>
      <c r="Y7" s="58">
        <f t="shared" si="0"/>
        <v>4210.6</v>
      </c>
      <c r="Z7" s="58">
        <f t="shared" si="0"/>
        <v>12928.900000000003</v>
      </c>
      <c r="AA7" s="56">
        <f>Z7/Y7*100</f>
        <v>307.05600151997345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37342</v>
      </c>
      <c r="AU7" s="57">
        <f t="shared" si="1"/>
        <v>33669.700000000004</v>
      </c>
      <c r="AV7" s="56">
        <f>AU7/AT7*100</f>
        <v>90.16576509024692</v>
      </c>
      <c r="AW7" s="58">
        <f t="shared" si="0"/>
        <v>3672.2999999999984</v>
      </c>
      <c r="AX7" s="58">
        <f t="shared" si="0"/>
        <v>2125.5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154.6</v>
      </c>
      <c r="D8" s="75">
        <f>SUM(D9:D13)</f>
        <v>230.60000000000002</v>
      </c>
      <c r="E8" s="75">
        <f>SUM(E9:E13)</f>
        <v>0</v>
      </c>
      <c r="F8" s="59">
        <f aca="true" t="shared" si="2" ref="F8:F51">E8/D8*100</f>
        <v>0</v>
      </c>
      <c r="G8" s="75">
        <f>SUM(G9:G13)</f>
        <v>251.79999999999998</v>
      </c>
      <c r="H8" s="75">
        <f>SUM(H9:H13)</f>
        <v>130.9</v>
      </c>
      <c r="I8" s="59">
        <f aca="true" t="shared" si="3" ref="I8:I51">H8/G8*100</f>
        <v>51.98570293884035</v>
      </c>
      <c r="J8" s="75">
        <f>SUM(J9:J13)</f>
        <v>491.7</v>
      </c>
      <c r="K8" s="75">
        <f>SUM(K9:K13)</f>
        <v>268.1</v>
      </c>
      <c r="L8" s="58">
        <f aca="true" t="shared" si="4" ref="L8:L25">K8/J8*100</f>
        <v>54.525116941224326</v>
      </c>
      <c r="M8" s="58">
        <f aca="true" t="shared" si="5" ref="M8:M39">D8+G8+J8</f>
        <v>974.0999999999999</v>
      </c>
      <c r="N8" s="58">
        <f aca="true" t="shared" si="6" ref="N8:N39">E8+H8+K8</f>
        <v>399</v>
      </c>
      <c r="O8" s="58">
        <f aca="true" t="shared" si="7" ref="O8:O76">N8/M8*100</f>
        <v>40.96088697259009</v>
      </c>
      <c r="P8" s="75">
        <f aca="true" t="shared" si="8" ref="P8:W8">SUM(P9:P13)</f>
        <v>177.20000000000002</v>
      </c>
      <c r="Q8" s="75">
        <f t="shared" si="8"/>
        <v>193</v>
      </c>
      <c r="R8" s="75" t="e">
        <f t="shared" si="8"/>
        <v>#DIV/0!</v>
      </c>
      <c r="S8" s="75">
        <f t="shared" si="8"/>
        <v>0</v>
      </c>
      <c r="T8" s="75">
        <f t="shared" si="8"/>
        <v>175.3</v>
      </c>
      <c r="U8" s="75" t="e">
        <f t="shared" si="8"/>
        <v>#DIV/0!</v>
      </c>
      <c r="V8" s="75">
        <f t="shared" si="8"/>
        <v>0</v>
      </c>
      <c r="W8" s="75">
        <f t="shared" si="8"/>
        <v>412.1</v>
      </c>
      <c r="X8" s="58" t="e">
        <f aca="true" t="shared" si="9" ref="X8:X24">W8/V8*100</f>
        <v>#DIV/0!</v>
      </c>
      <c r="Y8" s="58">
        <f aca="true" t="shared" si="10" ref="Y8:Y39">P8+S8+V8</f>
        <v>177.20000000000002</v>
      </c>
      <c r="Z8" s="58">
        <f aca="true" t="shared" si="11" ref="Z8:Z39">Q8+T8+W8</f>
        <v>780.4000000000001</v>
      </c>
      <c r="AA8" s="58">
        <f aca="true" t="shared" si="12" ref="AA8:AA73">Z8/Y8*100</f>
        <v>440.4063205417607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1151.3</v>
      </c>
      <c r="AU8" s="57">
        <f t="shared" si="1"/>
        <v>1179.4</v>
      </c>
      <c r="AV8" s="58">
        <f aca="true" t="shared" si="17" ref="AV8:AV75">AU8/AT8*100</f>
        <v>102.44071918700601</v>
      </c>
      <c r="AW8" s="58">
        <f>AT8-AU8</f>
        <v>-28.100000000000136</v>
      </c>
      <c r="AX8" s="79">
        <f aca="true" t="shared" si="18" ref="AX8:AX39">C8+AT8-AU8</f>
        <v>126.49999999999977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8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154.6</v>
      </c>
      <c r="D10" s="61">
        <v>99.7</v>
      </c>
      <c r="E10" s="61">
        <v>0</v>
      </c>
      <c r="F10" s="59">
        <f t="shared" si="2"/>
        <v>0</v>
      </c>
      <c r="G10" s="61">
        <v>83.6</v>
      </c>
      <c r="H10" s="61"/>
      <c r="I10" s="59">
        <f t="shared" si="3"/>
        <v>0</v>
      </c>
      <c r="J10" s="61">
        <v>100.5</v>
      </c>
      <c r="K10" s="61">
        <v>99.9</v>
      </c>
      <c r="L10" s="58">
        <f t="shared" si="4"/>
        <v>99.40298507462687</v>
      </c>
      <c r="M10" s="62">
        <f t="shared" si="5"/>
        <v>283.8</v>
      </c>
      <c r="N10" s="62">
        <f t="shared" si="6"/>
        <v>99.9</v>
      </c>
      <c r="O10" s="58">
        <f t="shared" si="7"/>
        <v>35.20084566596194</v>
      </c>
      <c r="P10" s="65">
        <v>14.3</v>
      </c>
      <c r="Q10" s="65">
        <v>71.5</v>
      </c>
      <c r="R10" s="58">
        <f t="shared" si="19"/>
        <v>500</v>
      </c>
      <c r="S10" s="61"/>
      <c r="T10" s="61">
        <v>119.2</v>
      </c>
      <c r="U10" s="64" t="e">
        <f t="shared" si="20"/>
        <v>#DIV/0!</v>
      </c>
      <c r="V10" s="61"/>
      <c r="W10" s="61">
        <v>35.6</v>
      </c>
      <c r="X10" s="64" t="e">
        <f t="shared" si="9"/>
        <v>#DIV/0!</v>
      </c>
      <c r="Y10" s="62">
        <f t="shared" si="10"/>
        <v>14.3</v>
      </c>
      <c r="Z10" s="62">
        <f t="shared" si="11"/>
        <v>226.29999999999998</v>
      </c>
      <c r="AA10" s="58">
        <f t="shared" si="12"/>
        <v>1582.5174825174822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298.1</v>
      </c>
      <c r="AU10" s="94">
        <f t="shared" si="23"/>
        <v>326.2</v>
      </c>
      <c r="AV10" s="58">
        <f>AU10/AT10*100</f>
        <v>109.42636699094261</v>
      </c>
      <c r="AW10" s="62">
        <f>AT10-AU10</f>
        <v>-28.099999999999966</v>
      </c>
      <c r="AX10" s="63">
        <f t="shared" si="18"/>
        <v>126.50000000000006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130.9</v>
      </c>
      <c r="E13" s="61"/>
      <c r="F13" s="59">
        <f t="shared" si="2"/>
        <v>0</v>
      </c>
      <c r="G13" s="61">
        <v>168.2</v>
      </c>
      <c r="H13" s="61">
        <v>130.9</v>
      </c>
      <c r="I13" s="59">
        <f t="shared" si="3"/>
        <v>77.82401902497028</v>
      </c>
      <c r="J13" s="61">
        <v>391.2</v>
      </c>
      <c r="K13" s="61">
        <v>168.2</v>
      </c>
      <c r="L13" s="58">
        <f t="shared" si="4"/>
        <v>42.9959100204499</v>
      </c>
      <c r="M13" s="62">
        <f t="shared" si="5"/>
        <v>690.3</v>
      </c>
      <c r="N13" s="62">
        <f t="shared" si="6"/>
        <v>299.1</v>
      </c>
      <c r="O13" s="58">
        <f t="shared" si="7"/>
        <v>43.328987396784015</v>
      </c>
      <c r="P13" s="61">
        <v>162.9</v>
      </c>
      <c r="Q13" s="61">
        <v>121.5</v>
      </c>
      <c r="R13" s="58">
        <f t="shared" si="19"/>
        <v>74.58563535911603</v>
      </c>
      <c r="S13" s="61"/>
      <c r="T13" s="61">
        <v>56.1</v>
      </c>
      <c r="U13" s="58" t="e">
        <f t="shared" si="20"/>
        <v>#DIV/0!</v>
      </c>
      <c r="V13" s="61"/>
      <c r="W13" s="61">
        <v>376.5</v>
      </c>
      <c r="X13" s="58" t="e">
        <f t="shared" si="9"/>
        <v>#DIV/0!</v>
      </c>
      <c r="Y13" s="62">
        <f t="shared" si="10"/>
        <v>162.9</v>
      </c>
      <c r="Z13" s="62">
        <f t="shared" si="11"/>
        <v>554.1</v>
      </c>
      <c r="AA13" s="58">
        <f t="shared" si="12"/>
        <v>340.1473296500921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853.1999999999999</v>
      </c>
      <c r="AU13" s="94">
        <f t="shared" si="23"/>
        <v>853.2</v>
      </c>
      <c r="AV13" s="58">
        <f t="shared" si="17"/>
        <v>100.00000000000003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-856.1</v>
      </c>
      <c r="D14" s="75">
        <f>SUM(D15:D22)</f>
        <v>1868.1000000000001</v>
      </c>
      <c r="E14" s="75">
        <f>SUM(E15:E22)</f>
        <v>610.3</v>
      </c>
      <c r="F14" s="59">
        <f t="shared" si="2"/>
        <v>32.66955730421283</v>
      </c>
      <c r="G14" s="75">
        <f>SUM(G15:G22)</f>
        <v>2055.2</v>
      </c>
      <c r="H14" s="75">
        <f>SUM(H15:H22)</f>
        <v>772.8</v>
      </c>
      <c r="I14" s="59">
        <f t="shared" si="3"/>
        <v>37.60217983651226</v>
      </c>
      <c r="J14" s="75">
        <f>SUM(J15:J22)</f>
        <v>1771.6</v>
      </c>
      <c r="K14" s="75">
        <f>SUM(K15:K22)</f>
        <v>1801.3</v>
      </c>
      <c r="L14" s="58">
        <f t="shared" si="4"/>
        <v>101.67645066606457</v>
      </c>
      <c r="M14" s="58">
        <f t="shared" si="5"/>
        <v>5694.9</v>
      </c>
      <c r="N14" s="58">
        <f t="shared" si="6"/>
        <v>3184.3999999999996</v>
      </c>
      <c r="O14" s="58">
        <f t="shared" si="7"/>
        <v>55.91669739591564</v>
      </c>
      <c r="P14" s="75">
        <f aca="true" t="shared" si="24" ref="P14:W14">SUM(P15:P22)</f>
        <v>742</v>
      </c>
      <c r="Q14" s="75">
        <f t="shared" si="24"/>
        <v>1471.4</v>
      </c>
      <c r="R14" s="75" t="e">
        <f t="shared" si="24"/>
        <v>#DIV/0!</v>
      </c>
      <c r="S14" s="75">
        <f t="shared" si="24"/>
        <v>354.1</v>
      </c>
      <c r="T14" s="75">
        <f t="shared" si="24"/>
        <v>757.5999999999999</v>
      </c>
      <c r="U14" s="75" t="e">
        <f t="shared" si="24"/>
        <v>#DIV/0!</v>
      </c>
      <c r="V14" s="75">
        <f t="shared" si="24"/>
        <v>354.1</v>
      </c>
      <c r="W14" s="75">
        <f t="shared" si="24"/>
        <v>479.3</v>
      </c>
      <c r="X14" s="58">
        <f t="shared" si="9"/>
        <v>135.35724371646427</v>
      </c>
      <c r="Y14" s="58">
        <f t="shared" si="10"/>
        <v>1450.1999999999998</v>
      </c>
      <c r="Z14" s="58">
        <f t="shared" si="11"/>
        <v>2708.3</v>
      </c>
      <c r="AA14" s="58">
        <f t="shared" si="12"/>
        <v>186.75355123431254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7145.099999999999</v>
      </c>
      <c r="AU14" s="57">
        <f t="shared" si="23"/>
        <v>5892.7</v>
      </c>
      <c r="AV14" s="58">
        <f t="shared" si="17"/>
        <v>82.47190382219983</v>
      </c>
      <c r="AW14" s="58">
        <f t="shared" si="22"/>
        <v>1252.3999999999996</v>
      </c>
      <c r="AX14" s="79">
        <f t="shared" si="18"/>
        <v>396.2999999999993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-291.1</v>
      </c>
      <c r="D15" s="61">
        <v>439.1</v>
      </c>
      <c r="E15" s="61">
        <v>176.2</v>
      </c>
      <c r="F15" s="59">
        <f t="shared" si="2"/>
        <v>40.12753359143703</v>
      </c>
      <c r="G15" s="61">
        <v>477.9</v>
      </c>
      <c r="H15" s="61">
        <v>280.4</v>
      </c>
      <c r="I15" s="59">
        <f t="shared" si="3"/>
        <v>58.67336262816488</v>
      </c>
      <c r="J15" s="61">
        <v>428.6</v>
      </c>
      <c r="K15" s="61">
        <v>133.1</v>
      </c>
      <c r="L15" s="58">
        <f t="shared" si="4"/>
        <v>31.05459636024265</v>
      </c>
      <c r="M15" s="62">
        <f t="shared" si="5"/>
        <v>1345.6</v>
      </c>
      <c r="N15" s="62">
        <f t="shared" si="6"/>
        <v>589.6999999999999</v>
      </c>
      <c r="O15" s="58">
        <f t="shared" si="7"/>
        <v>43.824316290130795</v>
      </c>
      <c r="P15" s="61">
        <v>92.7</v>
      </c>
      <c r="Q15" s="61">
        <v>458</v>
      </c>
      <c r="R15" s="58">
        <f t="shared" si="19"/>
        <v>494.06688241639694</v>
      </c>
      <c r="S15" s="61"/>
      <c r="T15" s="61">
        <v>20.4</v>
      </c>
      <c r="U15" s="58" t="e">
        <f t="shared" si="20"/>
        <v>#DIV/0!</v>
      </c>
      <c r="V15" s="61"/>
      <c r="W15" s="61">
        <v>79.1</v>
      </c>
      <c r="X15" s="58" t="e">
        <f t="shared" si="9"/>
        <v>#DIV/0!</v>
      </c>
      <c r="Y15" s="62">
        <f t="shared" si="10"/>
        <v>92.7</v>
      </c>
      <c r="Z15" s="62">
        <f t="shared" si="11"/>
        <v>557.5</v>
      </c>
      <c r="AA15" s="58">
        <f t="shared" si="12"/>
        <v>601.4023732470334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1438.3</v>
      </c>
      <c r="AU15" s="94">
        <f t="shared" si="23"/>
        <v>1147.1999999999998</v>
      </c>
      <c r="AV15" s="58">
        <f t="shared" si="17"/>
        <v>79.76082875617047</v>
      </c>
      <c r="AW15" s="62">
        <f t="shared" si="22"/>
        <v>291.10000000000014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-198.7</v>
      </c>
      <c r="D16" s="61">
        <v>343.5</v>
      </c>
      <c r="E16" s="61">
        <v>0</v>
      </c>
      <c r="F16" s="59">
        <f t="shared" si="2"/>
        <v>0</v>
      </c>
      <c r="G16" s="61">
        <v>383.2</v>
      </c>
      <c r="H16" s="61">
        <v>300</v>
      </c>
      <c r="I16" s="59">
        <f t="shared" si="3"/>
        <v>78.28810020876827</v>
      </c>
      <c r="J16" s="61">
        <v>156.4</v>
      </c>
      <c r="K16" s="61">
        <v>300</v>
      </c>
      <c r="L16" s="58">
        <f t="shared" si="4"/>
        <v>191.8158567774936</v>
      </c>
      <c r="M16" s="62">
        <f t="shared" si="5"/>
        <v>883.1</v>
      </c>
      <c r="N16" s="62">
        <f t="shared" si="6"/>
        <v>600</v>
      </c>
      <c r="O16" s="58">
        <f t="shared" si="7"/>
        <v>67.94247537085268</v>
      </c>
      <c r="P16" s="61">
        <v>0</v>
      </c>
      <c r="Q16" s="61">
        <v>84.4</v>
      </c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84.4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883.1</v>
      </c>
      <c r="AU16" s="94">
        <f t="shared" si="23"/>
        <v>684.4</v>
      </c>
      <c r="AV16" s="58">
        <f t="shared" si="17"/>
        <v>77.49971690635262</v>
      </c>
      <c r="AW16" s="62">
        <f t="shared" si="22"/>
        <v>198.70000000000005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 hidden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-195.7</v>
      </c>
      <c r="D19" s="61">
        <v>480.8</v>
      </c>
      <c r="E19" s="61"/>
      <c r="F19" s="59">
        <f t="shared" si="2"/>
        <v>0</v>
      </c>
      <c r="G19" s="61">
        <v>524.8</v>
      </c>
      <c r="H19" s="61">
        <v>192.4</v>
      </c>
      <c r="I19" s="59">
        <f t="shared" si="3"/>
        <v>36.66158536585366</v>
      </c>
      <c r="J19" s="61">
        <f>1186.6-715</f>
        <v>471.5999999999999</v>
      </c>
      <c r="K19" s="61">
        <f>1368.2-669.3</f>
        <v>698.9000000000001</v>
      </c>
      <c r="L19" s="67">
        <f t="shared" si="4"/>
        <v>148.1976251060221</v>
      </c>
      <c r="M19" s="62">
        <f t="shared" si="5"/>
        <v>1477.1999999999998</v>
      </c>
      <c r="N19" s="62">
        <f t="shared" si="6"/>
        <v>891.3000000000001</v>
      </c>
      <c r="O19" s="58">
        <f t="shared" si="7"/>
        <v>60.337124289195785</v>
      </c>
      <c r="P19" s="61">
        <v>219.9</v>
      </c>
      <c r="Q19" s="61">
        <f>214</f>
        <v>214</v>
      </c>
      <c r="R19" s="58">
        <f t="shared" si="19"/>
        <v>97.31696225557072</v>
      </c>
      <c r="S19" s="61">
        <v>124.7</v>
      </c>
      <c r="T19" s="61">
        <v>307.8</v>
      </c>
      <c r="U19" s="58">
        <f t="shared" si="20"/>
        <v>246.83239775461107</v>
      </c>
      <c r="V19" s="61">
        <v>124.7</v>
      </c>
      <c r="W19" s="61">
        <v>170.8</v>
      </c>
      <c r="X19" s="66">
        <f t="shared" si="9"/>
        <v>136.96872493985566</v>
      </c>
      <c r="Y19" s="62">
        <f t="shared" si="10"/>
        <v>469.3</v>
      </c>
      <c r="Z19" s="62">
        <f t="shared" si="11"/>
        <v>692.5999999999999</v>
      </c>
      <c r="AA19" s="58">
        <f t="shared" si="12"/>
        <v>147.58150436820793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1946.4999999999998</v>
      </c>
      <c r="AU19" s="94">
        <f t="shared" si="23"/>
        <v>1583.9</v>
      </c>
      <c r="AV19" s="58">
        <f t="shared" si="17"/>
        <v>81.37169278191627</v>
      </c>
      <c r="AW19" s="62">
        <f t="shared" si="22"/>
        <v>362.5999999999997</v>
      </c>
      <c r="AX19" s="63">
        <f t="shared" si="18"/>
        <v>166.89999999999964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>
        <v>-170.6</v>
      </c>
      <c r="D21" s="61">
        <v>604.7</v>
      </c>
      <c r="E21" s="61">
        <v>434.1</v>
      </c>
      <c r="F21" s="59">
        <f t="shared" si="2"/>
        <v>71.78766330411774</v>
      </c>
      <c r="G21" s="61">
        <v>669.3</v>
      </c>
      <c r="H21" s="61"/>
      <c r="I21" s="59">
        <f t="shared" si="3"/>
        <v>0</v>
      </c>
      <c r="J21" s="61">
        <v>715</v>
      </c>
      <c r="K21" s="61">
        <v>669.3</v>
      </c>
      <c r="L21" s="58">
        <f t="shared" si="4"/>
        <v>93.6083916083916</v>
      </c>
      <c r="M21" s="62">
        <f t="shared" si="5"/>
        <v>1989</v>
      </c>
      <c r="N21" s="62">
        <f t="shared" si="6"/>
        <v>1103.4</v>
      </c>
      <c r="O21" s="58">
        <f t="shared" si="7"/>
        <v>55.47511312217195</v>
      </c>
      <c r="P21" s="61">
        <v>429.4</v>
      </c>
      <c r="Q21" s="61">
        <v>715</v>
      </c>
      <c r="R21" s="58">
        <f t="shared" si="19"/>
        <v>166.5114112715417</v>
      </c>
      <c r="S21" s="61">
        <v>229.4</v>
      </c>
      <c r="T21" s="61">
        <v>429.4</v>
      </c>
      <c r="U21" s="58">
        <f t="shared" si="20"/>
        <v>187.18395815170007</v>
      </c>
      <c r="V21" s="61">
        <v>229.4</v>
      </c>
      <c r="W21" s="61">
        <v>229.4</v>
      </c>
      <c r="X21" s="58">
        <f t="shared" si="9"/>
        <v>100</v>
      </c>
      <c r="Y21" s="62">
        <f t="shared" si="10"/>
        <v>888.1999999999999</v>
      </c>
      <c r="Z21" s="62">
        <f t="shared" si="11"/>
        <v>1373.8000000000002</v>
      </c>
      <c r="AA21" s="58">
        <f t="shared" si="12"/>
        <v>154.67237108759292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2877.2</v>
      </c>
      <c r="AU21" s="94">
        <f t="shared" si="23"/>
        <v>2477.2000000000003</v>
      </c>
      <c r="AV21" s="58">
        <f t="shared" si="17"/>
        <v>86.09759488391492</v>
      </c>
      <c r="AW21" s="62">
        <f t="shared" si="22"/>
        <v>399.99999999999955</v>
      </c>
      <c r="AX21" s="63">
        <f t="shared" si="18"/>
        <v>229.39999999999964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-315.5</v>
      </c>
      <c r="D23" s="75">
        <f>SUM(D24:D29)</f>
        <v>1180.6</v>
      </c>
      <c r="E23" s="75">
        <f>SUM(E24:E29)</f>
        <v>0</v>
      </c>
      <c r="F23" s="59">
        <f t="shared" si="2"/>
        <v>0</v>
      </c>
      <c r="G23" s="75">
        <f>SUM(G24:G29)</f>
        <v>1057.9</v>
      </c>
      <c r="H23" s="75">
        <f>SUM(H24:H29)</f>
        <v>1013</v>
      </c>
      <c r="I23" s="59">
        <f t="shared" si="3"/>
        <v>95.75574250874372</v>
      </c>
      <c r="J23" s="75">
        <f>SUM(J24:J29)</f>
        <v>819.5</v>
      </c>
      <c r="K23" s="75">
        <f>SUM(K24:K29)</f>
        <v>548.2</v>
      </c>
      <c r="L23" s="71">
        <f t="shared" si="4"/>
        <v>66.89444783404515</v>
      </c>
      <c r="M23" s="58">
        <f t="shared" si="5"/>
        <v>3058</v>
      </c>
      <c r="N23" s="58">
        <f t="shared" si="6"/>
        <v>1561.2</v>
      </c>
      <c r="O23" s="58">
        <f t="shared" si="7"/>
        <v>51.05297580117723</v>
      </c>
      <c r="P23" s="75">
        <f aca="true" t="shared" si="27" ref="P23:W23">SUM(P24:P29)</f>
        <v>111.8</v>
      </c>
      <c r="Q23" s="75">
        <f t="shared" si="27"/>
        <v>793.9</v>
      </c>
      <c r="R23" s="75" t="e">
        <f t="shared" si="27"/>
        <v>#DIV/0!</v>
      </c>
      <c r="S23" s="75">
        <f t="shared" si="27"/>
        <v>0</v>
      </c>
      <c r="T23" s="75">
        <f t="shared" si="27"/>
        <v>292.4</v>
      </c>
      <c r="U23" s="75" t="e">
        <f t="shared" si="27"/>
        <v>#DIV/0!</v>
      </c>
      <c r="V23" s="75">
        <f t="shared" si="27"/>
        <v>0</v>
      </c>
      <c r="W23" s="75">
        <f t="shared" si="27"/>
        <v>68.1</v>
      </c>
      <c r="X23" s="72" t="e">
        <f t="shared" si="9"/>
        <v>#DIV/0!</v>
      </c>
      <c r="Y23" s="58">
        <f t="shared" si="10"/>
        <v>111.8</v>
      </c>
      <c r="Z23" s="58">
        <f t="shared" si="11"/>
        <v>1154.3999999999999</v>
      </c>
      <c r="AA23" s="58">
        <f t="shared" si="12"/>
        <v>1032.5581395348836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3169.8</v>
      </c>
      <c r="AU23" s="57">
        <f t="shared" si="23"/>
        <v>2715.6</v>
      </c>
      <c r="AV23" s="58">
        <f t="shared" si="17"/>
        <v>85.67102025364376</v>
      </c>
      <c r="AW23" s="58">
        <f t="shared" si="22"/>
        <v>454.2000000000003</v>
      </c>
      <c r="AX23" s="79">
        <f t="shared" si="18"/>
        <v>138.70000000000027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-315.5</v>
      </c>
      <c r="D26" s="61">
        <v>1180.6</v>
      </c>
      <c r="E26" s="61">
        <v>0</v>
      </c>
      <c r="F26" s="59">
        <f t="shared" si="2"/>
        <v>0</v>
      </c>
      <c r="G26" s="61">
        <v>1057.9</v>
      </c>
      <c r="H26" s="61">
        <v>1013</v>
      </c>
      <c r="I26" s="59">
        <f t="shared" si="3"/>
        <v>95.75574250874372</v>
      </c>
      <c r="J26" s="61">
        <v>819.5</v>
      </c>
      <c r="K26" s="61">
        <v>548.2</v>
      </c>
      <c r="L26" s="58">
        <f>K26/J26*100</f>
        <v>66.89444783404515</v>
      </c>
      <c r="M26" s="62">
        <f t="shared" si="5"/>
        <v>3058</v>
      </c>
      <c r="N26" s="62">
        <f t="shared" si="6"/>
        <v>1561.2</v>
      </c>
      <c r="O26" s="58">
        <f t="shared" si="7"/>
        <v>51.05297580117723</v>
      </c>
      <c r="P26" s="61">
        <v>111.8</v>
      </c>
      <c r="Q26" s="61">
        <v>793.9</v>
      </c>
      <c r="R26" s="58">
        <f t="shared" si="19"/>
        <v>710.1073345259392</v>
      </c>
      <c r="S26" s="61"/>
      <c r="T26" s="61">
        <v>292.4</v>
      </c>
      <c r="U26" s="58" t="e">
        <f t="shared" si="20"/>
        <v>#DIV/0!</v>
      </c>
      <c r="V26" s="61"/>
      <c r="W26" s="61">
        <v>68.1</v>
      </c>
      <c r="X26" s="58" t="e">
        <f>W26/V26*100</f>
        <v>#DIV/0!</v>
      </c>
      <c r="Y26" s="62">
        <f t="shared" si="10"/>
        <v>111.8</v>
      </c>
      <c r="Z26" s="62">
        <f t="shared" si="11"/>
        <v>1154.3999999999999</v>
      </c>
      <c r="AA26" s="58">
        <f t="shared" si="12"/>
        <v>1032.5581395348836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3169.8</v>
      </c>
      <c r="AU26" s="94">
        <f t="shared" si="23"/>
        <v>2715.6</v>
      </c>
      <c r="AV26" s="58">
        <f t="shared" si="17"/>
        <v>85.67102025364376</v>
      </c>
      <c r="AW26" s="62">
        <f t="shared" si="22"/>
        <v>454.2000000000003</v>
      </c>
      <c r="AX26" s="63">
        <f t="shared" si="18"/>
        <v>138.70000000000027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-117.00000000000001</v>
      </c>
      <c r="D30" s="108">
        <f>SUM(D31:D38)</f>
        <v>1566.3</v>
      </c>
      <c r="E30" s="108">
        <f>SUM(E31:E38)</f>
        <v>732.8</v>
      </c>
      <c r="F30" s="92">
        <f t="shared" si="2"/>
        <v>46.78541786375535</v>
      </c>
      <c r="G30" s="108">
        <f>SUM(G31:G38)</f>
        <v>1833</v>
      </c>
      <c r="H30" s="108">
        <f>SUM(H31:H38)</f>
        <v>1453.9</v>
      </c>
      <c r="I30" s="92">
        <f t="shared" si="3"/>
        <v>79.31805782869613</v>
      </c>
      <c r="J30" s="108">
        <f>SUM(J31:J38)</f>
        <v>1740.6</v>
      </c>
      <c r="K30" s="108">
        <f>SUM(K31:K38)</f>
        <v>1695.6</v>
      </c>
      <c r="L30" s="56">
        <f>K30/J30*100</f>
        <v>97.41468459152016</v>
      </c>
      <c r="M30" s="56">
        <f t="shared" si="5"/>
        <v>5139.9</v>
      </c>
      <c r="N30" s="56">
        <f t="shared" si="6"/>
        <v>3882.2999999999997</v>
      </c>
      <c r="O30" s="56">
        <f t="shared" si="7"/>
        <v>75.53259791046519</v>
      </c>
      <c r="P30" s="108">
        <f aca="true" t="shared" si="31" ref="P30:W30">SUM(P31:P38)</f>
        <v>319.4</v>
      </c>
      <c r="Q30" s="108">
        <f t="shared" si="31"/>
        <v>1394.6</v>
      </c>
      <c r="R30" s="108" t="e">
        <f t="shared" si="31"/>
        <v>#DIV/0!</v>
      </c>
      <c r="S30" s="108">
        <f t="shared" si="31"/>
        <v>53.1</v>
      </c>
      <c r="T30" s="108">
        <f t="shared" si="31"/>
        <v>69.9</v>
      </c>
      <c r="U30" s="108" t="e">
        <f t="shared" si="31"/>
        <v>#DIV/0!</v>
      </c>
      <c r="V30" s="108">
        <f t="shared" si="31"/>
        <v>55.8</v>
      </c>
      <c r="W30" s="108">
        <f t="shared" si="31"/>
        <v>53.1</v>
      </c>
      <c r="X30" s="56">
        <f t="shared" si="30"/>
        <v>95.16129032258065</v>
      </c>
      <c r="Y30" s="56">
        <f t="shared" si="10"/>
        <v>428.3</v>
      </c>
      <c r="Z30" s="56">
        <f t="shared" si="11"/>
        <v>1517.6</v>
      </c>
      <c r="AA30" s="56">
        <f t="shared" si="12"/>
        <v>354.3310763483539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5568.2</v>
      </c>
      <c r="AU30" s="57">
        <f t="shared" si="23"/>
        <v>5399.9</v>
      </c>
      <c r="AV30" s="56">
        <f t="shared" si="17"/>
        <v>96.97747925721059</v>
      </c>
      <c r="AW30" s="56">
        <f>AT30-AU30</f>
        <v>168.30000000000018</v>
      </c>
      <c r="AX30" s="55">
        <f t="shared" si="18"/>
        <v>51.30000000000018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-116.9+17.6</f>
        <v>-99.30000000000001</v>
      </c>
      <c r="D35" s="61">
        <f>282.1+571.3</f>
        <v>853.4</v>
      </c>
      <c r="E35" s="61">
        <f>111.3+621.5</f>
        <v>732.8</v>
      </c>
      <c r="F35" s="59">
        <f t="shared" si="2"/>
        <v>85.86829153972346</v>
      </c>
      <c r="G35" s="61">
        <f>354.9+514.7</f>
        <v>869.6</v>
      </c>
      <c r="H35" s="61">
        <f>240.4+500.6</f>
        <v>741</v>
      </c>
      <c r="I35" s="59">
        <f t="shared" si="3"/>
        <v>85.21159153633855</v>
      </c>
      <c r="J35" s="61">
        <f>497.6+373.2</f>
        <v>870.8</v>
      </c>
      <c r="K35" s="61">
        <f>479.1+253.1</f>
        <v>732.2</v>
      </c>
      <c r="L35" s="58">
        <f t="shared" si="35"/>
        <v>84.08360128617365</v>
      </c>
      <c r="M35" s="62">
        <f t="shared" si="5"/>
        <v>2593.8</v>
      </c>
      <c r="N35" s="62">
        <f t="shared" si="6"/>
        <v>2206</v>
      </c>
      <c r="O35" s="58">
        <f t="shared" si="7"/>
        <v>85.04896291155832</v>
      </c>
      <c r="P35" s="61">
        <f>31.9+62.2</f>
        <v>94.1</v>
      </c>
      <c r="Q35" s="61">
        <f>324.9+62.2</f>
        <v>387.09999999999997</v>
      </c>
      <c r="R35" s="58">
        <f t="shared" si="19"/>
        <v>411.3708820403826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94.1</v>
      </c>
      <c r="Z35" s="62">
        <f t="shared" si="11"/>
        <v>387.09999999999997</v>
      </c>
      <c r="AA35" s="58">
        <f t="shared" si="12"/>
        <v>411.3708820403826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2687.9</v>
      </c>
      <c r="AU35" s="94">
        <f t="shared" si="23"/>
        <v>2593.1</v>
      </c>
      <c r="AV35" s="58">
        <f t="shared" si="36"/>
        <v>96.47308307600728</v>
      </c>
      <c r="AW35" s="62">
        <f t="shared" si="37"/>
        <v>94.80000000000018</v>
      </c>
      <c r="AX35" s="63">
        <f t="shared" si="18"/>
        <v>-4.5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-17.7</v>
      </c>
      <c r="D38" s="61">
        <v>712.9</v>
      </c>
      <c r="E38" s="61">
        <v>0</v>
      </c>
      <c r="F38" s="59">
        <f t="shared" si="2"/>
        <v>0</v>
      </c>
      <c r="G38" s="61">
        <v>963.4</v>
      </c>
      <c r="H38" s="61">
        <v>712.9</v>
      </c>
      <c r="I38" s="59">
        <f t="shared" si="3"/>
        <v>73.99833921527922</v>
      </c>
      <c r="J38" s="61">
        <v>869.8</v>
      </c>
      <c r="K38" s="61">
        <v>963.4</v>
      </c>
      <c r="L38" s="58">
        <f t="shared" si="35"/>
        <v>110.7610945044838</v>
      </c>
      <c r="M38" s="62">
        <f t="shared" si="5"/>
        <v>2546.1</v>
      </c>
      <c r="N38" s="62">
        <f t="shared" si="6"/>
        <v>1676.3</v>
      </c>
      <c r="O38" s="58">
        <f t="shared" si="7"/>
        <v>65.83794823455482</v>
      </c>
      <c r="P38" s="61">
        <v>225.3</v>
      </c>
      <c r="Q38" s="61">
        <v>1007.5</v>
      </c>
      <c r="R38" s="58">
        <f t="shared" si="19"/>
        <v>447.18153573013757</v>
      </c>
      <c r="S38" s="61">
        <v>53.1</v>
      </c>
      <c r="T38" s="61">
        <v>69.9</v>
      </c>
      <c r="U38" s="58">
        <f t="shared" si="20"/>
        <v>131.63841807909606</v>
      </c>
      <c r="V38" s="61">
        <v>55.8</v>
      </c>
      <c r="W38" s="61">
        <v>53.1</v>
      </c>
      <c r="X38" s="58">
        <f t="shared" si="30"/>
        <v>95.16129032258065</v>
      </c>
      <c r="Y38" s="62">
        <f t="shared" si="10"/>
        <v>334.20000000000005</v>
      </c>
      <c r="Z38" s="62">
        <f t="shared" si="11"/>
        <v>1130.5</v>
      </c>
      <c r="AA38" s="58">
        <f t="shared" si="12"/>
        <v>338.2704967085577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2880.3</v>
      </c>
      <c r="AU38" s="94">
        <f t="shared" si="23"/>
        <v>2806.8</v>
      </c>
      <c r="AV38" s="58">
        <f t="shared" si="36"/>
        <v>97.44818248099156</v>
      </c>
      <c r="AW38" s="62">
        <f t="shared" si="37"/>
        <v>73.5</v>
      </c>
      <c r="AX38" s="63">
        <f t="shared" si="18"/>
        <v>55.80000000000018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-246.4</v>
      </c>
      <c r="D39" s="75">
        <f>SUM(D40:D44)</f>
        <v>1161.5</v>
      </c>
      <c r="E39" s="75">
        <f>SUM(E40:E44)</f>
        <v>0</v>
      </c>
      <c r="F39" s="59">
        <f t="shared" si="2"/>
        <v>0</v>
      </c>
      <c r="G39" s="75">
        <f>SUM(G40:G44)</f>
        <v>1210.4</v>
      </c>
      <c r="H39" s="75">
        <f>SUM(H40:H44)</f>
        <v>1278.3</v>
      </c>
      <c r="I39" s="59">
        <f t="shared" si="3"/>
        <v>105.60971579643092</v>
      </c>
      <c r="J39" s="75">
        <f>SUM(J40:J44)</f>
        <v>1039.9</v>
      </c>
      <c r="K39" s="75">
        <f>SUM(K40:K44)</f>
        <v>871.3</v>
      </c>
      <c r="L39" s="58">
        <f t="shared" si="35"/>
        <v>83.78690258678718</v>
      </c>
      <c r="M39" s="58">
        <f t="shared" si="5"/>
        <v>3411.8</v>
      </c>
      <c r="N39" s="58">
        <f t="shared" si="6"/>
        <v>2149.6</v>
      </c>
      <c r="O39" s="58">
        <f t="shared" si="7"/>
        <v>63.00486546690895</v>
      </c>
      <c r="P39" s="75">
        <f aca="true" t="shared" si="38" ref="P39:W39">SUM(P40:P44)</f>
        <v>258.5</v>
      </c>
      <c r="Q39" s="75">
        <f t="shared" si="38"/>
        <v>708.6</v>
      </c>
      <c r="R39" s="75" t="e">
        <f t="shared" si="38"/>
        <v>#DIV/0!</v>
      </c>
      <c r="S39" s="75">
        <f t="shared" si="38"/>
        <v>0</v>
      </c>
      <c r="T39" s="75">
        <f t="shared" si="38"/>
        <v>172.2</v>
      </c>
      <c r="U39" s="75" t="e">
        <f t="shared" si="38"/>
        <v>#DIV/0!</v>
      </c>
      <c r="V39" s="75">
        <f t="shared" si="38"/>
        <v>0</v>
      </c>
      <c r="W39" s="75">
        <f t="shared" si="38"/>
        <v>78.4</v>
      </c>
      <c r="X39" s="58" t="e">
        <f t="shared" si="30"/>
        <v>#DIV/0!</v>
      </c>
      <c r="Y39" s="58">
        <f t="shared" si="10"/>
        <v>258.5</v>
      </c>
      <c r="Z39" s="58">
        <f t="shared" si="11"/>
        <v>959.1999999999999</v>
      </c>
      <c r="AA39" s="58">
        <f t="shared" si="12"/>
        <v>371.063829787234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3670.3</v>
      </c>
      <c r="AU39" s="57">
        <f t="shared" si="23"/>
        <v>3108.7999999999997</v>
      </c>
      <c r="AV39" s="58">
        <f t="shared" si="36"/>
        <v>84.70152303626406</v>
      </c>
      <c r="AW39" s="58">
        <f t="shared" si="37"/>
        <v>561.5000000000005</v>
      </c>
      <c r="AX39" s="79">
        <f t="shared" si="18"/>
        <v>315.10000000000036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-246.4</v>
      </c>
      <c r="D42" s="61">
        <v>1161.5</v>
      </c>
      <c r="E42" s="61"/>
      <c r="F42" s="59">
        <f t="shared" si="2"/>
        <v>0</v>
      </c>
      <c r="G42" s="61">
        <v>1210.4</v>
      </c>
      <c r="H42" s="61">
        <v>1278.3</v>
      </c>
      <c r="I42" s="59">
        <f t="shared" si="3"/>
        <v>105.60971579643092</v>
      </c>
      <c r="J42" s="61">
        <v>1039.9</v>
      </c>
      <c r="K42" s="61">
        <v>871.3</v>
      </c>
      <c r="L42" s="58">
        <f t="shared" si="35"/>
        <v>83.78690258678718</v>
      </c>
      <c r="M42" s="62">
        <f t="shared" si="41"/>
        <v>3411.8</v>
      </c>
      <c r="N42" s="62">
        <f t="shared" si="42"/>
        <v>2149.6</v>
      </c>
      <c r="O42" s="58">
        <f t="shared" si="7"/>
        <v>63.00486546690895</v>
      </c>
      <c r="P42" s="61">
        <v>258.5</v>
      </c>
      <c r="Q42" s="61">
        <v>708.6</v>
      </c>
      <c r="R42" s="58">
        <f t="shared" si="19"/>
        <v>274.11992263056095</v>
      </c>
      <c r="S42" s="61"/>
      <c r="T42" s="61">
        <v>172.2</v>
      </c>
      <c r="U42" s="58" t="e">
        <f t="shared" si="20"/>
        <v>#DIV/0!</v>
      </c>
      <c r="V42" s="61"/>
      <c r="W42" s="61">
        <v>78.4</v>
      </c>
      <c r="X42" s="58" t="e">
        <f t="shared" si="30"/>
        <v>#DIV/0!</v>
      </c>
      <c r="Y42" s="62">
        <f t="shared" si="43"/>
        <v>258.5</v>
      </c>
      <c r="Z42" s="62">
        <f t="shared" si="44"/>
        <v>959.1999999999999</v>
      </c>
      <c r="AA42" s="58">
        <f t="shared" si="12"/>
        <v>371.063829787234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3670.3</v>
      </c>
      <c r="AU42" s="94">
        <f t="shared" si="23"/>
        <v>3108.7999999999997</v>
      </c>
      <c r="AV42" s="58">
        <f t="shared" si="36"/>
        <v>84.70152303626406</v>
      </c>
      <c r="AW42" s="62">
        <f t="shared" si="37"/>
        <v>561.5000000000005</v>
      </c>
      <c r="AX42" s="63">
        <f t="shared" si="45"/>
        <v>315.10000000000036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 hidden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28.6</v>
      </c>
      <c r="D45" s="75">
        <f>SUM(D46:D60)</f>
        <v>2433.8</v>
      </c>
      <c r="E45" s="75">
        <f>SUM(E46:E60)</f>
        <v>0</v>
      </c>
      <c r="F45" s="59">
        <f t="shared" si="2"/>
        <v>0</v>
      </c>
      <c r="G45" s="75">
        <f>SUM(G46:G50)</f>
        <v>1698.7</v>
      </c>
      <c r="H45" s="75">
        <f>SUM(H46:H50)</f>
        <v>1545.2</v>
      </c>
      <c r="I45" s="59">
        <f t="shared" si="3"/>
        <v>90.96367810678755</v>
      </c>
      <c r="J45" s="75">
        <f>SUM(J46:J50)</f>
        <v>1355.2</v>
      </c>
      <c r="K45" s="75">
        <f>SUM(K46:K50)</f>
        <v>1698.7</v>
      </c>
      <c r="L45" s="58">
        <f t="shared" si="35"/>
        <v>125.34681227863047</v>
      </c>
      <c r="M45" s="58">
        <f t="shared" si="41"/>
        <v>5487.7</v>
      </c>
      <c r="N45" s="58">
        <f t="shared" si="42"/>
        <v>3243.9</v>
      </c>
      <c r="O45" s="58">
        <f t="shared" si="7"/>
        <v>59.112196366419454</v>
      </c>
      <c r="P45" s="75">
        <f aca="true" t="shared" si="46" ref="P45:W45">SUM(P46:P50)</f>
        <v>440</v>
      </c>
      <c r="Q45" s="75">
        <f t="shared" si="46"/>
        <v>1355.2</v>
      </c>
      <c r="R45" s="75" t="e">
        <f t="shared" si="46"/>
        <v>#DIV/0!</v>
      </c>
      <c r="S45" s="75">
        <f t="shared" si="46"/>
        <v>34.6</v>
      </c>
      <c r="T45" s="75">
        <f t="shared" si="46"/>
        <v>440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474.6</v>
      </c>
      <c r="Z45" s="58">
        <f t="shared" si="44"/>
        <v>1795.2</v>
      </c>
      <c r="AA45" s="58">
        <f t="shared" si="12"/>
        <v>378.25537294563844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5962.3</v>
      </c>
      <c r="AU45" s="57">
        <f t="shared" si="23"/>
        <v>5039.1</v>
      </c>
      <c r="AV45" s="58">
        <f t="shared" si="36"/>
        <v>84.51604246683327</v>
      </c>
      <c r="AW45" s="58">
        <f t="shared" si="37"/>
        <v>923.1999999999998</v>
      </c>
      <c r="AX45" s="79">
        <f t="shared" si="45"/>
        <v>951.8000000000002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138</v>
      </c>
      <c r="C50" s="60">
        <v>0</v>
      </c>
      <c r="D50" s="61">
        <v>1545.2</v>
      </c>
      <c r="E50" s="61"/>
      <c r="F50" s="59">
        <f t="shared" si="2"/>
        <v>0</v>
      </c>
      <c r="G50" s="61">
        <v>1698.7</v>
      </c>
      <c r="H50" s="61">
        <v>1545.2</v>
      </c>
      <c r="I50" s="59">
        <f t="shared" si="3"/>
        <v>90.96367810678755</v>
      </c>
      <c r="J50" s="61">
        <v>1355.2</v>
      </c>
      <c r="K50" s="61">
        <v>1698.7</v>
      </c>
      <c r="L50" s="67">
        <f aca="true" t="shared" si="49" ref="L50:L76">K50/J50*100</f>
        <v>125.34681227863047</v>
      </c>
      <c r="M50" s="62">
        <f t="shared" si="41"/>
        <v>4599.1</v>
      </c>
      <c r="N50" s="62">
        <f t="shared" si="42"/>
        <v>3243.9</v>
      </c>
      <c r="O50" s="58">
        <f t="shared" si="7"/>
        <v>70.53336522363071</v>
      </c>
      <c r="P50" s="61">
        <v>440</v>
      </c>
      <c r="Q50" s="61">
        <v>1355.2</v>
      </c>
      <c r="R50" s="58">
        <f t="shared" si="19"/>
        <v>308</v>
      </c>
      <c r="S50" s="61">
        <v>34.6</v>
      </c>
      <c r="T50" s="61">
        <v>440</v>
      </c>
      <c r="U50" s="58">
        <f t="shared" si="20"/>
        <v>1271.6763005780347</v>
      </c>
      <c r="V50" s="61"/>
      <c r="W50" s="61"/>
      <c r="X50" s="66" t="e">
        <f aca="true" t="shared" si="50" ref="X50:X72">W50/V50*100</f>
        <v>#DIV/0!</v>
      </c>
      <c r="Y50" s="62">
        <f t="shared" si="43"/>
        <v>474.6</v>
      </c>
      <c r="Z50" s="62">
        <f t="shared" si="44"/>
        <v>1795.2</v>
      </c>
      <c r="AA50" s="58">
        <f t="shared" si="12"/>
        <v>378.25537294563844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5073.700000000001</v>
      </c>
      <c r="AU50" s="94">
        <f t="shared" si="23"/>
        <v>5039.1</v>
      </c>
      <c r="AV50" s="58">
        <f t="shared" si="17"/>
        <v>99.31805191477619</v>
      </c>
      <c r="AW50" s="62">
        <f t="shared" si="22"/>
        <v>34.600000000000364</v>
      </c>
      <c r="AX50" s="63">
        <f t="shared" si="45"/>
        <v>34.600000000000364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 hidden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28.6</v>
      </c>
      <c r="D60" s="61">
        <v>888.6</v>
      </c>
      <c r="E60" s="61">
        <v>0</v>
      </c>
      <c r="F60" s="59">
        <f t="shared" si="51"/>
        <v>0</v>
      </c>
      <c r="G60" s="61">
        <v>855.5</v>
      </c>
      <c r="H60" s="61">
        <v>1260</v>
      </c>
      <c r="I60" s="59">
        <f t="shared" si="52"/>
        <v>147.2822910578609</v>
      </c>
      <c r="J60" s="61">
        <v>741.9</v>
      </c>
      <c r="K60" s="61">
        <v>83.2</v>
      </c>
      <c r="L60" s="58">
        <f t="shared" si="49"/>
        <v>11.2144493867098</v>
      </c>
      <c r="M60" s="62">
        <f t="shared" si="41"/>
        <v>2486</v>
      </c>
      <c r="N60" s="62">
        <f t="shared" si="42"/>
        <v>1343.2</v>
      </c>
      <c r="O60" s="58">
        <f t="shared" si="7"/>
        <v>54.03057119871279</v>
      </c>
      <c r="P60" s="61">
        <v>340.7</v>
      </c>
      <c r="Q60" s="61">
        <v>926.7</v>
      </c>
      <c r="R60" s="58">
        <f t="shared" si="19"/>
        <v>271.9988259465806</v>
      </c>
      <c r="S60" s="61">
        <v>47.1</v>
      </c>
      <c r="T60" s="61">
        <v>552.7</v>
      </c>
      <c r="U60" s="58">
        <f t="shared" si="20"/>
        <v>1173.4607218683652</v>
      </c>
      <c r="V60" s="61"/>
      <c r="W60" s="61"/>
      <c r="X60" s="58" t="e">
        <f t="shared" si="50"/>
        <v>#DIV/0!</v>
      </c>
      <c r="Y60" s="62">
        <f t="shared" si="43"/>
        <v>387.8</v>
      </c>
      <c r="Z60" s="62">
        <f t="shared" si="44"/>
        <v>1479.4</v>
      </c>
      <c r="AA60" s="58">
        <f t="shared" si="12"/>
        <v>381.4853017019082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2873.8</v>
      </c>
      <c r="AU60" s="94">
        <f t="shared" si="23"/>
        <v>2822.6000000000004</v>
      </c>
      <c r="AV60" s="58">
        <f t="shared" si="17"/>
        <v>98.21838680492728</v>
      </c>
      <c r="AW60" s="62">
        <f t="shared" si="22"/>
        <v>51.19999999999982</v>
      </c>
      <c r="AX60" s="63">
        <f t="shared" si="45"/>
        <v>79.79999999999973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-195</v>
      </c>
      <c r="D61" s="109">
        <f>SUM(D62:D71)</f>
        <v>2438.6</v>
      </c>
      <c r="E61" s="109">
        <f>SUM(E62:E71)</f>
        <v>0</v>
      </c>
      <c r="F61" s="59">
        <f t="shared" si="51"/>
        <v>0</v>
      </c>
      <c r="G61" s="109">
        <f>SUM(G62:G71)</f>
        <v>2879.9</v>
      </c>
      <c r="H61" s="109">
        <f>SUM(H62:H71)</f>
        <v>2378.6</v>
      </c>
      <c r="I61" s="59">
        <f t="shared" si="52"/>
        <v>82.59314559533316</v>
      </c>
      <c r="J61" s="109">
        <f>SUM(J62:J71)</f>
        <v>2449.1000000000004</v>
      </c>
      <c r="K61" s="109">
        <f>SUM(K62:K71)</f>
        <v>2598.6</v>
      </c>
      <c r="L61" s="58">
        <f t="shared" si="49"/>
        <v>106.10428320607568</v>
      </c>
      <c r="M61" s="58">
        <f t="shared" si="41"/>
        <v>7767.6</v>
      </c>
      <c r="N61" s="58">
        <f t="shared" si="42"/>
        <v>4977.2</v>
      </c>
      <c r="O61" s="58">
        <f t="shared" si="7"/>
        <v>64.07642000102992</v>
      </c>
      <c r="P61" s="109">
        <f aca="true" t="shared" si="53" ref="P61:W61">SUM(P62:P71)</f>
        <v>847.6</v>
      </c>
      <c r="Q61" s="109">
        <f t="shared" si="53"/>
        <v>1832.5</v>
      </c>
      <c r="R61" s="109" t="e">
        <f t="shared" si="53"/>
        <v>#DIV/0!</v>
      </c>
      <c r="S61" s="109">
        <f t="shared" si="53"/>
        <v>36.4</v>
      </c>
      <c r="T61" s="109">
        <f t="shared" si="53"/>
        <v>647.1</v>
      </c>
      <c r="U61" s="109" t="e">
        <f t="shared" si="53"/>
        <v>#DIV/0!</v>
      </c>
      <c r="V61" s="109">
        <f t="shared" si="53"/>
        <v>38.199999999999996</v>
      </c>
      <c r="W61" s="109">
        <f t="shared" si="53"/>
        <v>54.8</v>
      </c>
      <c r="X61" s="58">
        <f t="shared" si="50"/>
        <v>143.45549738219896</v>
      </c>
      <c r="Y61" s="58">
        <f t="shared" si="43"/>
        <v>922.2</v>
      </c>
      <c r="Z61" s="58">
        <f t="shared" si="44"/>
        <v>2534.4</v>
      </c>
      <c r="AA61" s="58">
        <f t="shared" si="12"/>
        <v>274.82108002602473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8689.800000000001</v>
      </c>
      <c r="AU61" s="57">
        <f t="shared" si="23"/>
        <v>7511.6</v>
      </c>
      <c r="AV61" s="58">
        <f t="shared" si="17"/>
        <v>86.4415751800962</v>
      </c>
      <c r="AW61" s="58">
        <f t="shared" si="22"/>
        <v>1178.2000000000007</v>
      </c>
      <c r="AX61" s="79">
        <f t="shared" si="45"/>
        <v>983.2000000000007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-184.8</v>
      </c>
      <c r="D62" s="61">
        <v>873.3</v>
      </c>
      <c r="E62" s="61">
        <v>0</v>
      </c>
      <c r="F62" s="59">
        <f t="shared" si="51"/>
        <v>0</v>
      </c>
      <c r="G62" s="61">
        <v>874.2</v>
      </c>
      <c r="H62" s="61">
        <v>813.3</v>
      </c>
      <c r="I62" s="59">
        <f t="shared" si="52"/>
        <v>93.03363074811256</v>
      </c>
      <c r="J62" s="61">
        <v>777.5</v>
      </c>
      <c r="K62" s="61">
        <v>493.8</v>
      </c>
      <c r="L62" s="58">
        <f t="shared" si="49"/>
        <v>63.51125401929261</v>
      </c>
      <c r="M62" s="62">
        <f t="shared" si="41"/>
        <v>2525</v>
      </c>
      <c r="N62" s="62">
        <f t="shared" si="42"/>
        <v>1307.1</v>
      </c>
      <c r="O62" s="58">
        <f t="shared" si="7"/>
        <v>51.76633663366337</v>
      </c>
      <c r="P62" s="61">
        <v>164.2</v>
      </c>
      <c r="Q62" s="61">
        <v>252.6</v>
      </c>
      <c r="R62" s="58">
        <f t="shared" si="19"/>
        <v>153.836784409257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164.2</v>
      </c>
      <c r="Z62" s="62">
        <f t="shared" si="44"/>
        <v>252.6</v>
      </c>
      <c r="AA62" s="58">
        <f t="shared" si="12"/>
        <v>153.836784409257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2689.2</v>
      </c>
      <c r="AU62" s="94">
        <f t="shared" si="23"/>
        <v>1559.6999999999998</v>
      </c>
      <c r="AV62" s="58">
        <f t="shared" si="17"/>
        <v>57.998661311914326</v>
      </c>
      <c r="AW62" s="62">
        <f t="shared" si="22"/>
        <v>1129.5</v>
      </c>
      <c r="AX62" s="63">
        <f t="shared" si="45"/>
        <v>944.6999999999998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v>673.7</v>
      </c>
      <c r="E63" s="70">
        <v>0</v>
      </c>
      <c r="F63" s="59">
        <f t="shared" si="51"/>
        <v>0</v>
      </c>
      <c r="G63" s="70">
        <v>899.8</v>
      </c>
      <c r="H63" s="70">
        <v>673.7</v>
      </c>
      <c r="I63" s="59">
        <f t="shared" si="52"/>
        <v>74.87219382084909</v>
      </c>
      <c r="J63" s="61">
        <v>761</v>
      </c>
      <c r="K63" s="61">
        <v>899.8</v>
      </c>
      <c r="L63" s="58">
        <f t="shared" si="49"/>
        <v>118.23915900131405</v>
      </c>
      <c r="M63" s="62">
        <f t="shared" si="41"/>
        <v>2334.5</v>
      </c>
      <c r="N63" s="62">
        <f t="shared" si="42"/>
        <v>1573.5</v>
      </c>
      <c r="O63" s="58">
        <f t="shared" si="7"/>
        <v>67.40201327907475</v>
      </c>
      <c r="P63" s="61">
        <v>526.3</v>
      </c>
      <c r="Q63" s="61">
        <v>761</v>
      </c>
      <c r="R63" s="58">
        <f t="shared" si="19"/>
        <v>144.59433783013492</v>
      </c>
      <c r="S63" s="61">
        <v>35.9</v>
      </c>
      <c r="T63" s="61">
        <v>526.2</v>
      </c>
      <c r="U63" s="58">
        <f t="shared" si="20"/>
        <v>1465.7381615598888</v>
      </c>
      <c r="V63" s="61">
        <v>37.8</v>
      </c>
      <c r="W63" s="61">
        <v>35.9</v>
      </c>
      <c r="X63" s="58">
        <f t="shared" si="50"/>
        <v>94.97354497354497</v>
      </c>
      <c r="Y63" s="62">
        <f t="shared" si="43"/>
        <v>599.9999999999999</v>
      </c>
      <c r="Z63" s="62">
        <f t="shared" si="44"/>
        <v>1323.1000000000001</v>
      </c>
      <c r="AA63" s="58">
        <f t="shared" si="12"/>
        <v>220.51666666666674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2934.5</v>
      </c>
      <c r="AU63" s="94">
        <f t="shared" si="23"/>
        <v>2896.6000000000004</v>
      </c>
      <c r="AV63" s="58">
        <f t="shared" si="17"/>
        <v>98.70846822286592</v>
      </c>
      <c r="AW63" s="62">
        <f t="shared" si="22"/>
        <v>37.899999999999636</v>
      </c>
      <c r="AX63" s="63">
        <f t="shared" si="45"/>
        <v>37.899999999999636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>
        <v>0</v>
      </c>
      <c r="D64" s="61"/>
      <c r="E64" s="61">
        <v>0</v>
      </c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0.8</v>
      </c>
      <c r="D67" s="61">
        <v>0</v>
      </c>
      <c r="E67" s="61">
        <v>0</v>
      </c>
      <c r="F67" s="64" t="e">
        <f t="shared" si="57"/>
        <v>#DIV/0!</v>
      </c>
      <c r="G67" s="61">
        <v>175.9</v>
      </c>
      <c r="H67" s="61">
        <v>0</v>
      </c>
      <c r="I67" s="59">
        <f t="shared" si="58"/>
        <v>0</v>
      </c>
      <c r="J67" s="61">
        <v>93.4</v>
      </c>
      <c r="K67" s="61">
        <v>176.8</v>
      </c>
      <c r="L67" s="58">
        <f t="shared" si="49"/>
        <v>189.29336188436832</v>
      </c>
      <c r="M67" s="62">
        <f t="shared" si="41"/>
        <v>269.3</v>
      </c>
      <c r="N67" s="62">
        <f t="shared" si="42"/>
        <v>176.8</v>
      </c>
      <c r="O67" s="58">
        <f t="shared" si="7"/>
        <v>65.6516895655403</v>
      </c>
      <c r="P67" s="61">
        <v>41.5</v>
      </c>
      <c r="Q67" s="61">
        <v>93</v>
      </c>
      <c r="R67" s="58">
        <f t="shared" si="19"/>
        <v>224.09638554216866</v>
      </c>
      <c r="S67" s="61">
        <v>0.5</v>
      </c>
      <c r="T67" s="61">
        <v>41.5</v>
      </c>
      <c r="U67" s="58">
        <f t="shared" si="20"/>
        <v>8300</v>
      </c>
      <c r="V67" s="61">
        <v>0.4</v>
      </c>
      <c r="W67" s="61">
        <v>0.4</v>
      </c>
      <c r="X67" s="58">
        <f t="shared" si="50"/>
        <v>100</v>
      </c>
      <c r="Y67" s="62">
        <f t="shared" si="43"/>
        <v>42.4</v>
      </c>
      <c r="Z67" s="62">
        <f t="shared" si="44"/>
        <v>134.9</v>
      </c>
      <c r="AA67" s="58">
        <f t="shared" si="12"/>
        <v>318.16037735849056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311.7</v>
      </c>
      <c r="AU67" s="94">
        <f t="shared" si="23"/>
        <v>311.70000000000005</v>
      </c>
      <c r="AV67" s="58">
        <f t="shared" si="17"/>
        <v>100.00000000000003</v>
      </c>
      <c r="AW67" s="62">
        <f t="shared" si="22"/>
        <v>0</v>
      </c>
      <c r="AX67" s="63">
        <f t="shared" si="45"/>
        <v>0.7999999999999545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0</v>
      </c>
      <c r="D69" s="61"/>
      <c r="E69" s="61">
        <v>0</v>
      </c>
      <c r="F69" s="59" t="e">
        <f t="shared" si="57"/>
        <v>#DIV/0!</v>
      </c>
      <c r="G69" s="61"/>
      <c r="H69" s="61"/>
      <c r="I69" s="64" t="e">
        <f t="shared" si="58"/>
        <v>#DIV/0!</v>
      </c>
      <c r="J69" s="61">
        <v>4.5</v>
      </c>
      <c r="K69" s="61">
        <v>0</v>
      </c>
      <c r="L69" s="58">
        <f t="shared" si="49"/>
        <v>0</v>
      </c>
      <c r="M69" s="62">
        <f t="shared" si="41"/>
        <v>4.5</v>
      </c>
      <c r="N69" s="62">
        <f t="shared" si="42"/>
        <v>0</v>
      </c>
      <c r="O69" s="58">
        <f t="shared" si="7"/>
        <v>0</v>
      </c>
      <c r="P69" s="61"/>
      <c r="Q69" s="61">
        <v>2.4</v>
      </c>
      <c r="R69" s="58" t="e">
        <f t="shared" si="19"/>
        <v>#DIV/0!</v>
      </c>
      <c r="S69" s="61"/>
      <c r="T69" s="61">
        <v>2.1</v>
      </c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4.5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4.5</v>
      </c>
      <c r="AU69" s="94">
        <f t="shared" si="23"/>
        <v>4.5</v>
      </c>
      <c r="AV69" s="58">
        <f t="shared" si="17"/>
        <v>100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169</v>
      </c>
      <c r="C71" s="60">
        <v>-11</v>
      </c>
      <c r="D71" s="61">
        <f>578.9+312.7</f>
        <v>891.5999999999999</v>
      </c>
      <c r="E71" s="61">
        <v>0</v>
      </c>
      <c r="F71" s="59">
        <f t="shared" si="57"/>
        <v>0</v>
      </c>
      <c r="G71" s="61">
        <f>578.1+351.9</f>
        <v>930</v>
      </c>
      <c r="H71" s="61">
        <f>578.9+312.7</f>
        <v>891.5999999999999</v>
      </c>
      <c r="I71" s="59">
        <f t="shared" si="58"/>
        <v>95.87096774193547</v>
      </c>
      <c r="J71" s="61">
        <f>481.6+331.1</f>
        <v>812.7</v>
      </c>
      <c r="K71" s="61">
        <f>568.5+459.7</f>
        <v>1028.2</v>
      </c>
      <c r="L71" s="58">
        <f t="shared" si="49"/>
        <v>126.51654977236373</v>
      </c>
      <c r="M71" s="62">
        <f t="shared" si="41"/>
        <v>2634.3</v>
      </c>
      <c r="N71" s="62">
        <f t="shared" si="42"/>
        <v>1919.8</v>
      </c>
      <c r="O71" s="58">
        <f t="shared" si="7"/>
        <v>72.87704513533006</v>
      </c>
      <c r="P71" s="61">
        <f>34.8+80.8</f>
        <v>115.6</v>
      </c>
      <c r="Q71" s="61">
        <f>419.3+304.2</f>
        <v>723.5</v>
      </c>
      <c r="R71" s="58">
        <f t="shared" si="19"/>
        <v>625.8650519031141</v>
      </c>
      <c r="S71" s="61"/>
      <c r="T71" s="61">
        <f>77.3</f>
        <v>77.3</v>
      </c>
      <c r="U71" s="58" t="e">
        <f t="shared" si="20"/>
        <v>#DIV/0!</v>
      </c>
      <c r="V71" s="61"/>
      <c r="W71" s="61">
        <v>18.5</v>
      </c>
      <c r="X71" s="58" t="e">
        <f t="shared" si="50"/>
        <v>#DIV/0!</v>
      </c>
      <c r="Y71" s="62">
        <f t="shared" si="43"/>
        <v>115.6</v>
      </c>
      <c r="Z71" s="62">
        <f t="shared" si="44"/>
        <v>819.3</v>
      </c>
      <c r="AA71" s="58">
        <f t="shared" si="12"/>
        <v>708.7370242214533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2749.9</v>
      </c>
      <c r="AU71" s="94">
        <f t="shared" si="23"/>
        <v>2739.1</v>
      </c>
      <c r="AV71" s="58">
        <f t="shared" si="17"/>
        <v>99.60725844576166</v>
      </c>
      <c r="AW71" s="62">
        <f t="shared" si="22"/>
        <v>10.800000000000182</v>
      </c>
      <c r="AX71" s="63">
        <f t="shared" si="45"/>
        <v>-0.1999999999998181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-4101</v>
      </c>
      <c r="D72" s="75">
        <f>SUM(D73:D75)</f>
        <v>19380</v>
      </c>
      <c r="E72" s="75">
        <f>SUM(E73:E75)</f>
        <v>116</v>
      </c>
      <c r="F72" s="59">
        <f>E72/D72*100</f>
        <v>0.5985552115583075</v>
      </c>
      <c r="G72" s="75">
        <f>SUM(G73:G75)</f>
        <v>22024.4</v>
      </c>
      <c r="H72" s="75">
        <f>SUM(H73:H75)</f>
        <v>13499.5</v>
      </c>
      <c r="I72" s="59">
        <f t="shared" si="58"/>
        <v>61.29338370171264</v>
      </c>
      <c r="J72" s="75">
        <f>SUM(J73:J75)</f>
        <v>19790.4</v>
      </c>
      <c r="K72" s="75">
        <f>SUM(K73:K75)</f>
        <v>17143.3</v>
      </c>
      <c r="L72" s="58">
        <f t="shared" si="49"/>
        <v>86.62432290403427</v>
      </c>
      <c r="M72" s="58">
        <f t="shared" si="41"/>
        <v>61194.8</v>
      </c>
      <c r="N72" s="58">
        <f t="shared" si="42"/>
        <v>30758.8</v>
      </c>
      <c r="O72" s="58">
        <f t="shared" si="7"/>
        <v>50.26374790014837</v>
      </c>
      <c r="P72" s="75">
        <f aca="true" t="shared" si="59" ref="P72:W72">SUM(P73:P75)</f>
        <v>11438.4</v>
      </c>
      <c r="Q72" s="75">
        <f t="shared" si="59"/>
        <v>15549.9</v>
      </c>
      <c r="R72" s="75" t="e">
        <f t="shared" si="59"/>
        <v>#DIV/0!</v>
      </c>
      <c r="S72" s="75">
        <f t="shared" si="59"/>
        <v>957.4</v>
      </c>
      <c r="T72" s="75">
        <f t="shared" si="59"/>
        <v>13361.4</v>
      </c>
      <c r="U72" s="75" t="e">
        <f t="shared" si="59"/>
        <v>#DIV/0!</v>
      </c>
      <c r="V72" s="75">
        <f t="shared" si="59"/>
        <v>372.9</v>
      </c>
      <c r="W72" s="75">
        <f t="shared" si="59"/>
        <v>5024.4</v>
      </c>
      <c r="X72" s="58">
        <f t="shared" si="50"/>
        <v>1347.3853580048271</v>
      </c>
      <c r="Y72" s="58">
        <f t="shared" si="43"/>
        <v>12768.699999999999</v>
      </c>
      <c r="Z72" s="58">
        <f t="shared" si="44"/>
        <v>33935.7</v>
      </c>
      <c r="AA72" s="58">
        <f t="shared" si="12"/>
        <v>265.7725531964883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73963.5</v>
      </c>
      <c r="AU72" s="57">
        <f t="shared" si="23"/>
        <v>64694.5</v>
      </c>
      <c r="AV72" s="58">
        <f t="shared" si="17"/>
        <v>87.46814307056859</v>
      </c>
      <c r="AW72" s="79">
        <f>SUM(AW73:AW75)</f>
        <v>9269</v>
      </c>
      <c r="AX72" s="79">
        <f>SUM(AX73:AX75)</f>
        <v>5168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-4101</v>
      </c>
      <c r="D73" s="61">
        <v>18077</v>
      </c>
      <c r="E73" s="61">
        <v>116</v>
      </c>
      <c r="F73" s="59">
        <f>E73/D73*100</f>
        <v>0.6416993970238425</v>
      </c>
      <c r="G73" s="61">
        <v>20535</v>
      </c>
      <c r="H73" s="61">
        <v>12178</v>
      </c>
      <c r="I73" s="59">
        <f>H73/G73*100</f>
        <v>59.30362795227661</v>
      </c>
      <c r="J73" s="61">
        <v>18408</v>
      </c>
      <c r="K73" s="61">
        <v>15660</v>
      </c>
      <c r="L73" s="58">
        <f t="shared" si="49"/>
        <v>85.07170795306388</v>
      </c>
      <c r="M73" s="62">
        <f t="shared" si="41"/>
        <v>57020</v>
      </c>
      <c r="N73" s="62">
        <f t="shared" si="42"/>
        <v>27954</v>
      </c>
      <c r="O73" s="58">
        <f t="shared" si="7"/>
        <v>49.02490354261663</v>
      </c>
      <c r="P73" s="61">
        <v>10834</v>
      </c>
      <c r="Q73" s="61">
        <v>14264</v>
      </c>
      <c r="R73" s="58">
        <f t="shared" si="19"/>
        <v>131.6595901790659</v>
      </c>
      <c r="S73" s="61">
        <v>867</v>
      </c>
      <c r="T73" s="61">
        <v>12673</v>
      </c>
      <c r="U73" s="58">
        <f t="shared" si="20"/>
        <v>1461.7070357554785</v>
      </c>
      <c r="V73" s="61">
        <v>323</v>
      </c>
      <c r="W73" s="61">
        <v>4946</v>
      </c>
      <c r="X73" s="58">
        <f>W73/V73*100</f>
        <v>1531.269349845201</v>
      </c>
      <c r="Y73" s="62">
        <f t="shared" si="43"/>
        <v>12024</v>
      </c>
      <c r="Z73" s="62">
        <f t="shared" si="44"/>
        <v>31883</v>
      </c>
      <c r="AA73" s="58">
        <f t="shared" si="12"/>
        <v>265.1613439787092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69044</v>
      </c>
      <c r="AU73" s="94">
        <f t="shared" si="23"/>
        <v>59837</v>
      </c>
      <c r="AV73" s="58">
        <f t="shared" si="17"/>
        <v>86.6650252013209</v>
      </c>
      <c r="AW73" s="62">
        <f>AT73-AU73</f>
        <v>9207</v>
      </c>
      <c r="AX73" s="63">
        <f>C73+AT73-AU73</f>
        <v>5106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1303</v>
      </c>
      <c r="E74" s="61"/>
      <c r="F74" s="59">
        <f>E74/D74*100</f>
        <v>0</v>
      </c>
      <c r="G74" s="61">
        <v>1489.4</v>
      </c>
      <c r="H74" s="61">
        <v>1321.5</v>
      </c>
      <c r="I74" s="59">
        <f>H74/G74*100</f>
        <v>88.7270041627501</v>
      </c>
      <c r="J74" s="61">
        <v>1382.4</v>
      </c>
      <c r="K74" s="61">
        <v>1483.3</v>
      </c>
      <c r="L74" s="58">
        <f t="shared" si="49"/>
        <v>107.29890046296295</v>
      </c>
      <c r="M74" s="62">
        <f t="shared" si="41"/>
        <v>4174.8</v>
      </c>
      <c r="N74" s="62">
        <f t="shared" si="42"/>
        <v>2804.8</v>
      </c>
      <c r="O74" s="58">
        <f t="shared" si="7"/>
        <v>67.18405672128006</v>
      </c>
      <c r="P74" s="61">
        <v>604.4</v>
      </c>
      <c r="Q74" s="61">
        <v>1285.9</v>
      </c>
      <c r="R74" s="58">
        <f t="shared" si="19"/>
        <v>212.75645268034418</v>
      </c>
      <c r="S74" s="61">
        <v>90.4</v>
      </c>
      <c r="T74" s="61">
        <v>688.4</v>
      </c>
      <c r="U74" s="58">
        <f t="shared" si="20"/>
        <v>761.5044247787611</v>
      </c>
      <c r="V74" s="61">
        <v>49.9</v>
      </c>
      <c r="W74" s="61">
        <v>78.4</v>
      </c>
      <c r="X74" s="58">
        <f>W74/V74*100</f>
        <v>157.11422845691385</v>
      </c>
      <c r="Y74" s="62">
        <f t="shared" si="43"/>
        <v>744.6999999999999</v>
      </c>
      <c r="Z74" s="62">
        <f t="shared" si="44"/>
        <v>2052.7000000000003</v>
      </c>
      <c r="AA74" s="58">
        <f>Z74/Y74*100</f>
        <v>275.641197797771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4919.5</v>
      </c>
      <c r="AU74" s="94">
        <f t="shared" si="23"/>
        <v>4857.5</v>
      </c>
      <c r="AV74" s="58">
        <f t="shared" si="17"/>
        <v>98.73970932005285</v>
      </c>
      <c r="AW74" s="62">
        <f>AT74-AU74</f>
        <v>62</v>
      </c>
      <c r="AX74" s="63">
        <f>C74+AT74-AU74</f>
        <v>62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 hidden="1">
      <c r="A75" s="34"/>
      <c r="B75" s="102" t="s">
        <v>133</v>
      </c>
      <c r="C75" s="60">
        <v>0</v>
      </c>
      <c r="D75" s="61">
        <v>0</v>
      </c>
      <c r="E75" s="61">
        <v>0</v>
      </c>
      <c r="F75" s="59" t="e">
        <f>E75/D75*100</f>
        <v>#DIV/0!</v>
      </c>
      <c r="G75" s="61">
        <v>0</v>
      </c>
      <c r="H75" s="61">
        <v>0</v>
      </c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-5647.8</v>
      </c>
      <c r="D76" s="79">
        <f>D72+D7</f>
        <v>30259.5</v>
      </c>
      <c r="E76" s="79">
        <f>E72+E7</f>
        <v>1459.0999999999997</v>
      </c>
      <c r="F76" s="59">
        <f>E76/D76*100</f>
        <v>4.8219567408582416</v>
      </c>
      <c r="G76" s="79">
        <f>G72+G7</f>
        <v>33866.8</v>
      </c>
      <c r="H76" s="79">
        <f>H72+H7</f>
        <v>23332.2</v>
      </c>
      <c r="I76" s="59">
        <f>H76/G76*100</f>
        <v>68.89402010228306</v>
      </c>
      <c r="J76" s="79">
        <f>J72+J7</f>
        <v>30199.9</v>
      </c>
      <c r="K76" s="79">
        <f>K72+K7</f>
        <v>26708.3</v>
      </c>
      <c r="L76" s="58">
        <f t="shared" si="49"/>
        <v>88.4383723124911</v>
      </c>
      <c r="M76" s="79">
        <f>M72+M7</f>
        <v>94326.20000000001</v>
      </c>
      <c r="N76" s="79">
        <f>N72+N7</f>
        <v>51499.600000000006</v>
      </c>
      <c r="O76" s="58">
        <f t="shared" si="7"/>
        <v>54.597344110119984</v>
      </c>
      <c r="P76" s="79">
        <f>P72+P7</f>
        <v>14675.6</v>
      </c>
      <c r="Q76" s="79">
        <f>Q72+Q7</f>
        <v>24225.800000000003</v>
      </c>
      <c r="R76" s="58">
        <f t="shared" si="19"/>
        <v>165.0753631878765</v>
      </c>
      <c r="S76" s="79">
        <f>S72+S7</f>
        <v>1482.7</v>
      </c>
      <c r="T76" s="79">
        <f>T72+T7</f>
        <v>16468.600000000002</v>
      </c>
      <c r="U76" s="58">
        <f t="shared" si="20"/>
        <v>1110.716935320699</v>
      </c>
      <c r="V76" s="79">
        <f>V72+V7</f>
        <v>820.9999999999999</v>
      </c>
      <c r="W76" s="79">
        <f>W72+W7</f>
        <v>6170.2</v>
      </c>
      <c r="X76" s="58">
        <f>W76/V76*100</f>
        <v>751.5468940316688</v>
      </c>
      <c r="Y76" s="79">
        <f>Y72+Y7</f>
        <v>16979.3</v>
      </c>
      <c r="Z76" s="79">
        <f>Z72+Z7</f>
        <v>46864.6</v>
      </c>
      <c r="AA76" s="58">
        <f>Z76/Y76*100</f>
        <v>276.01020065609305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111305.50000000001</v>
      </c>
      <c r="AU76" s="57">
        <f t="shared" si="23"/>
        <v>98364.20000000001</v>
      </c>
      <c r="AV76" s="58">
        <f>AU76/AT76*100</f>
        <v>88.37317113709565</v>
      </c>
      <c r="AW76" s="79">
        <f>AW72+AW7</f>
        <v>12941.3</v>
      </c>
      <c r="AX76" s="79">
        <f>AX72+AX7</f>
        <v>7293.5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 hidden="1">
      <c r="A77" s="129" t="s">
        <v>58</v>
      </c>
      <c r="B77" s="129"/>
      <c r="C77" s="129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 hidden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 hidden="1">
      <c r="A82" s="20"/>
      <c r="B82" s="130" t="s">
        <v>49</v>
      </c>
      <c r="C82" s="130"/>
      <c r="D82" s="130"/>
      <c r="E82" s="130"/>
      <c r="F82" s="130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31" t="s">
        <v>48</v>
      </c>
      <c r="AX82" s="131"/>
    </row>
    <row r="83" spans="1:50" ht="73.5" customHeight="1" hidden="1">
      <c r="A83" s="128" t="s">
        <v>46</v>
      </c>
      <c r="B83" s="128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AW82:AX82"/>
    <mergeCell ref="A83:B83"/>
    <mergeCell ref="B2:AX3"/>
    <mergeCell ref="A77:C77"/>
    <mergeCell ref="I1:AX1"/>
    <mergeCell ref="B4:F4"/>
    <mergeCell ref="AW5:AW6"/>
    <mergeCell ref="AX5:AX6"/>
    <mergeCell ref="J5:L5"/>
    <mergeCell ref="P5:R5"/>
    <mergeCell ref="AT5:AV5"/>
    <mergeCell ref="AN5:AO5"/>
    <mergeCell ref="AK5:AM5"/>
    <mergeCell ref="AP5:AQ5"/>
    <mergeCell ref="M5:O5"/>
    <mergeCell ref="V5:X5"/>
    <mergeCell ref="AB5:AD5"/>
    <mergeCell ref="AE5:AG5"/>
    <mergeCell ref="Y5:AA5"/>
    <mergeCell ref="B82:F82"/>
    <mergeCell ref="S5:U5"/>
    <mergeCell ref="AR5:AS5"/>
    <mergeCell ref="AH5:AJ5"/>
    <mergeCell ref="D5:F5"/>
    <mergeCell ref="G5:I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0"/>
  <sheetViews>
    <sheetView view="pageBreakPreview" zoomScale="60" zoomScaleNormal="50" zoomScalePageLayoutView="0" workbookViewId="0" topLeftCell="A3">
      <pane xSplit="6" ySplit="5" topLeftCell="P7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3" sqref="AY1:AY16384"/>
    </sheetView>
  </sheetViews>
  <sheetFormatPr defaultColWidth="5.75390625" defaultRowHeight="12.75"/>
  <cols>
    <col min="1" max="1" width="5.00390625" style="1" hidden="1" customWidth="1"/>
    <col min="2" max="2" width="65.7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5" t="s">
        <v>42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s="31" customFormat="1" ht="60" customHeight="1" hidden="1">
      <c r="A2" s="30"/>
      <c r="B2" s="122" t="s">
        <v>181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</row>
    <row r="3" spans="1:50" s="44" customFormat="1" ht="60" customHeight="1">
      <c r="A3" s="4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</row>
    <row r="4" spans="2:50" ht="35.25" customHeight="1">
      <c r="B4" s="127"/>
      <c r="C4" s="127"/>
      <c r="D4" s="127"/>
      <c r="E4" s="127"/>
      <c r="F4" s="12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6" t="s">
        <v>59</v>
      </c>
      <c r="E5" s="117"/>
      <c r="F5" s="118"/>
      <c r="G5" s="116" t="s">
        <v>60</v>
      </c>
      <c r="H5" s="117"/>
      <c r="I5" s="118"/>
      <c r="J5" s="112" t="s">
        <v>61</v>
      </c>
      <c r="K5" s="113"/>
      <c r="L5" s="114"/>
      <c r="M5" s="112" t="s">
        <v>72</v>
      </c>
      <c r="N5" s="113"/>
      <c r="O5" s="114"/>
      <c r="P5" s="112" t="s">
        <v>62</v>
      </c>
      <c r="Q5" s="113"/>
      <c r="R5" s="114"/>
      <c r="S5" s="119" t="s">
        <v>63</v>
      </c>
      <c r="T5" s="120"/>
      <c r="U5" s="121"/>
      <c r="V5" s="119" t="s">
        <v>64</v>
      </c>
      <c r="W5" s="120"/>
      <c r="X5" s="121"/>
      <c r="Y5" s="112" t="s">
        <v>73</v>
      </c>
      <c r="Z5" s="113"/>
      <c r="AA5" s="114"/>
      <c r="AB5" s="112" t="s">
        <v>65</v>
      </c>
      <c r="AC5" s="113"/>
      <c r="AD5" s="114"/>
      <c r="AE5" s="112" t="s">
        <v>66</v>
      </c>
      <c r="AF5" s="113"/>
      <c r="AG5" s="114"/>
      <c r="AH5" s="112" t="s">
        <v>67</v>
      </c>
      <c r="AI5" s="113"/>
      <c r="AJ5" s="114"/>
      <c r="AK5" s="112" t="s">
        <v>68</v>
      </c>
      <c r="AL5" s="113"/>
      <c r="AM5" s="114"/>
      <c r="AN5" s="112" t="s">
        <v>69</v>
      </c>
      <c r="AO5" s="114"/>
      <c r="AP5" s="112" t="s">
        <v>70</v>
      </c>
      <c r="AQ5" s="114"/>
      <c r="AR5" s="112" t="s">
        <v>71</v>
      </c>
      <c r="AS5" s="114"/>
      <c r="AT5" s="116" t="s">
        <v>130</v>
      </c>
      <c r="AU5" s="117"/>
      <c r="AV5" s="118"/>
      <c r="AW5" s="125" t="s">
        <v>172</v>
      </c>
      <c r="AX5" s="123" t="s">
        <v>173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26"/>
      <c r="AX6" s="124"/>
    </row>
    <row r="7" spans="1:61" s="9" customFormat="1" ht="34.5" customHeight="1">
      <c r="A7" s="8"/>
      <c r="B7" s="107" t="s">
        <v>135</v>
      </c>
      <c r="C7" s="58">
        <f>SUM(C8:C71)-C8-C14-C23-C30-C39-C45-C61</f>
        <v>8422.9</v>
      </c>
      <c r="D7" s="58">
        <f aca="true" t="shared" si="0" ref="D7:AX7">SUM(D8:D71)-D8-D14-D23-D30-D39-D45-D61</f>
        <v>7771.400000000001</v>
      </c>
      <c r="E7" s="58">
        <f t="shared" si="0"/>
        <v>5260.4000000000015</v>
      </c>
      <c r="F7" s="56">
        <f>E7/D7*100</f>
        <v>67.68921944565975</v>
      </c>
      <c r="G7" s="58">
        <f t="shared" si="0"/>
        <v>7453.999999999998</v>
      </c>
      <c r="H7" s="58">
        <f t="shared" si="0"/>
        <v>6346.900000000003</v>
      </c>
      <c r="I7" s="56">
        <f>H7/G7*100</f>
        <v>85.14757177354447</v>
      </c>
      <c r="J7" s="58">
        <f t="shared" si="0"/>
        <v>6015.700000000001</v>
      </c>
      <c r="K7" s="58">
        <f t="shared" si="0"/>
        <v>7305.6</v>
      </c>
      <c r="L7" s="56">
        <f>K7/J7*100</f>
        <v>121.44222617484249</v>
      </c>
      <c r="M7" s="58">
        <f t="shared" si="0"/>
        <v>21241.100000000002</v>
      </c>
      <c r="N7" s="58">
        <f t="shared" si="0"/>
        <v>18912.9</v>
      </c>
      <c r="O7" s="56">
        <f>N7/M7*100</f>
        <v>89.03917405407441</v>
      </c>
      <c r="P7" s="58">
        <f t="shared" si="0"/>
        <v>1289.3000000000002</v>
      </c>
      <c r="Q7" s="58">
        <f t="shared" si="0"/>
        <v>5141.299999999998</v>
      </c>
      <c r="R7" s="56">
        <f>Q7/P7*100</f>
        <v>398.76677266733867</v>
      </c>
      <c r="S7" s="58">
        <f t="shared" si="0"/>
        <v>181.7</v>
      </c>
      <c r="T7" s="58">
        <f t="shared" si="0"/>
        <v>1942.2000000000003</v>
      </c>
      <c r="U7" s="56">
        <f>T7/S7*100</f>
        <v>1068.9047881122733</v>
      </c>
      <c r="V7" s="58">
        <f t="shared" si="0"/>
        <v>69.79999999999998</v>
      </c>
      <c r="W7" s="58">
        <f t="shared" si="0"/>
        <v>1050.0999999999997</v>
      </c>
      <c r="X7" s="56">
        <f>W7/V7*100</f>
        <v>1504.4412607449856</v>
      </c>
      <c r="Y7" s="58">
        <f t="shared" si="0"/>
        <v>1540.8000000000006</v>
      </c>
      <c r="Z7" s="58">
        <f t="shared" si="0"/>
        <v>8133.599999999999</v>
      </c>
      <c r="AA7" s="56">
        <f>Z7/Y7*100</f>
        <v>527.8816199376944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22781.9</v>
      </c>
      <c r="AU7" s="57">
        <f t="shared" si="1"/>
        <v>27046.5</v>
      </c>
      <c r="AV7" s="56">
        <f>AU7/AT7*100</f>
        <v>118.71924641930656</v>
      </c>
      <c r="AW7" s="58">
        <f t="shared" si="0"/>
        <v>-4264.599999999999</v>
      </c>
      <c r="AX7" s="58">
        <f t="shared" si="0"/>
        <v>4158.300000000001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15.3</v>
      </c>
      <c r="D8" s="75">
        <f>SUM(D9:D13)</f>
        <v>44</v>
      </c>
      <c r="E8" s="75">
        <f>SUM(E9:E13)</f>
        <v>0</v>
      </c>
      <c r="F8" s="59">
        <f aca="true" t="shared" si="2" ref="F8:F51">E8/D8*100</f>
        <v>0</v>
      </c>
      <c r="G8" s="75">
        <f>SUM(G9:G13)</f>
        <v>42.1</v>
      </c>
      <c r="H8" s="75">
        <f>SUM(H9:H13)</f>
        <v>35</v>
      </c>
      <c r="I8" s="59">
        <f aca="true" t="shared" si="3" ref="I8:I51">H8/G8*100</f>
        <v>83.1353919239905</v>
      </c>
      <c r="J8" s="75">
        <f>SUM(J9:J13)</f>
        <v>34</v>
      </c>
      <c r="K8" s="75">
        <f>SUM(K9:K13)</f>
        <v>30</v>
      </c>
      <c r="L8" s="58">
        <f aca="true" t="shared" si="4" ref="L8:L25">K8/J8*100</f>
        <v>88.23529411764706</v>
      </c>
      <c r="M8" s="58">
        <f aca="true" t="shared" si="5" ref="M8:M39">D8+G8+J8</f>
        <v>120.1</v>
      </c>
      <c r="N8" s="58">
        <f aca="true" t="shared" si="6" ref="N8:N39">E8+H8+K8</f>
        <v>65</v>
      </c>
      <c r="O8" s="58">
        <f aca="true" t="shared" si="7" ref="O8:O76">N8/M8*100</f>
        <v>54.121565362198176</v>
      </c>
      <c r="P8" s="75">
        <f aca="true" t="shared" si="8" ref="P8:W8">SUM(P9:P13)</f>
        <v>9.2</v>
      </c>
      <c r="Q8" s="75">
        <f t="shared" si="8"/>
        <v>24.4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6.1</v>
      </c>
      <c r="X8" s="58" t="e">
        <f aca="true" t="shared" si="9" ref="X8:X24">W8/V8*100</f>
        <v>#DIV/0!</v>
      </c>
      <c r="Y8" s="58">
        <f aca="true" t="shared" si="10" ref="Y8:Y39">P8+S8+V8</f>
        <v>9.2</v>
      </c>
      <c r="Z8" s="58">
        <f aca="true" t="shared" si="11" ref="Z8:Z39">Q8+T8+W8</f>
        <v>30.5</v>
      </c>
      <c r="AA8" s="58">
        <f aca="true" t="shared" si="12" ref="AA8:AA73">Z8/Y8*100</f>
        <v>331.5217391304348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129.29999999999998</v>
      </c>
      <c r="AU8" s="57">
        <f t="shared" si="1"/>
        <v>95.5</v>
      </c>
      <c r="AV8" s="58">
        <f aca="true" t="shared" si="17" ref="AV8:AV75">AU8/AT8*100</f>
        <v>73.85924207269916</v>
      </c>
      <c r="AW8" s="58">
        <f>AT8-AU8</f>
        <v>33.79999999999998</v>
      </c>
      <c r="AX8" s="79">
        <f aca="true" t="shared" si="18" ref="AX8:AX39">C8+AT8-AU8</f>
        <v>49.099999999999994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18</v>
      </c>
      <c r="D9" s="91">
        <v>44</v>
      </c>
      <c r="E9" s="91">
        <v>0</v>
      </c>
      <c r="F9" s="92">
        <f t="shared" si="2"/>
        <v>0</v>
      </c>
      <c r="G9" s="91">
        <v>42</v>
      </c>
      <c r="H9" s="91">
        <v>35</v>
      </c>
      <c r="I9" s="92">
        <f t="shared" si="3"/>
        <v>83.33333333333334</v>
      </c>
      <c r="J9" s="91">
        <v>34</v>
      </c>
      <c r="K9" s="91">
        <v>30</v>
      </c>
      <c r="L9" s="56">
        <f t="shared" si="4"/>
        <v>88.23529411764706</v>
      </c>
      <c r="M9" s="93">
        <f t="shared" si="5"/>
        <v>120</v>
      </c>
      <c r="N9" s="93">
        <f t="shared" si="6"/>
        <v>65</v>
      </c>
      <c r="O9" s="56">
        <f t="shared" si="7"/>
        <v>54.166666666666664</v>
      </c>
      <c r="P9" s="91">
        <v>9.2</v>
      </c>
      <c r="Q9" s="91">
        <v>24.4</v>
      </c>
      <c r="R9" s="56">
        <f aca="true" t="shared" si="19" ref="R9:R76">Q9/P9*100</f>
        <v>265.21739130434787</v>
      </c>
      <c r="S9" s="91"/>
      <c r="T9" s="91"/>
      <c r="U9" s="56" t="e">
        <f aca="true" t="shared" si="20" ref="U9:U76">T9/S9*100</f>
        <v>#DIV/0!</v>
      </c>
      <c r="V9" s="91"/>
      <c r="W9" s="91">
        <v>6.1</v>
      </c>
      <c r="X9" s="56" t="e">
        <f t="shared" si="9"/>
        <v>#DIV/0!</v>
      </c>
      <c r="Y9" s="93">
        <f t="shared" si="10"/>
        <v>9.2</v>
      </c>
      <c r="Z9" s="93">
        <f t="shared" si="11"/>
        <v>30.5</v>
      </c>
      <c r="AA9" s="56">
        <f t="shared" si="12"/>
        <v>331.5217391304348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129.2</v>
      </c>
      <c r="AU9" s="94">
        <f t="shared" si="1"/>
        <v>95.5</v>
      </c>
      <c r="AV9" s="56">
        <f t="shared" si="17"/>
        <v>73.91640866873065</v>
      </c>
      <c r="AW9" s="93">
        <f aca="true" t="shared" si="22" ref="AW9:AW75">AT9-AU9</f>
        <v>33.69999999999999</v>
      </c>
      <c r="AX9" s="95">
        <f t="shared" si="18"/>
        <v>51.69999999999999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 hidden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-2.7</v>
      </c>
      <c r="D13" s="61">
        <v>0</v>
      </c>
      <c r="E13" s="61">
        <v>0</v>
      </c>
      <c r="F13" s="64" t="e">
        <f t="shared" si="2"/>
        <v>#DIV/0!</v>
      </c>
      <c r="G13" s="61">
        <v>0.1</v>
      </c>
      <c r="H13" s="61"/>
      <c r="I13" s="59">
        <f t="shared" si="3"/>
        <v>0</v>
      </c>
      <c r="J13" s="61"/>
      <c r="K13" s="61"/>
      <c r="L13" s="58" t="e">
        <f t="shared" si="4"/>
        <v>#DIV/0!</v>
      </c>
      <c r="M13" s="62">
        <f t="shared" si="5"/>
        <v>0.1</v>
      </c>
      <c r="N13" s="62">
        <f t="shared" si="6"/>
        <v>0</v>
      </c>
      <c r="O13" s="58">
        <f t="shared" si="7"/>
        <v>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0.1</v>
      </c>
      <c r="AU13" s="94">
        <f t="shared" si="23"/>
        <v>0</v>
      </c>
      <c r="AV13" s="58">
        <f t="shared" si="17"/>
        <v>0</v>
      </c>
      <c r="AW13" s="62">
        <f t="shared" si="22"/>
        <v>0.1</v>
      </c>
      <c r="AX13" s="63">
        <f t="shared" si="18"/>
        <v>-2.6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1802.1</v>
      </c>
      <c r="D14" s="75">
        <f>SUM(D15:D22)</f>
        <v>1790.1</v>
      </c>
      <c r="E14" s="75">
        <f>SUM(E15:E22)</f>
        <v>1303.4</v>
      </c>
      <c r="F14" s="59">
        <f t="shared" si="2"/>
        <v>72.8115747723591</v>
      </c>
      <c r="G14" s="75">
        <f>SUM(G15:G22)</f>
        <v>1821.4</v>
      </c>
      <c r="H14" s="75">
        <f>SUM(H15:H22)</f>
        <v>1585.3</v>
      </c>
      <c r="I14" s="59">
        <f t="shared" si="3"/>
        <v>87.03744372460743</v>
      </c>
      <c r="J14" s="75">
        <f>SUM(J15:J22)</f>
        <v>1469</v>
      </c>
      <c r="K14" s="75">
        <f>SUM(K15:K22)</f>
        <v>1606.5</v>
      </c>
      <c r="L14" s="58">
        <f t="shared" si="4"/>
        <v>109.36010891763104</v>
      </c>
      <c r="M14" s="58">
        <f t="shared" si="5"/>
        <v>5080.5</v>
      </c>
      <c r="N14" s="58">
        <f t="shared" si="6"/>
        <v>4495.2</v>
      </c>
      <c r="O14" s="58">
        <f t="shared" si="7"/>
        <v>88.47948036610569</v>
      </c>
      <c r="P14" s="75">
        <f aca="true" t="shared" si="24" ref="P14:W14">SUM(P15:P22)</f>
        <v>273.90000000000003</v>
      </c>
      <c r="Q14" s="75">
        <f t="shared" si="24"/>
        <v>1505.3000000000002</v>
      </c>
      <c r="R14" s="75" t="e">
        <f t="shared" si="24"/>
        <v>#DIV/0!</v>
      </c>
      <c r="S14" s="75">
        <f t="shared" si="24"/>
        <v>0</v>
      </c>
      <c r="T14" s="75">
        <f t="shared" si="24"/>
        <v>261.3</v>
      </c>
      <c r="U14" s="75" t="e">
        <f t="shared" si="24"/>
        <v>#DIV/0!</v>
      </c>
      <c r="V14" s="75">
        <f t="shared" si="24"/>
        <v>0.8</v>
      </c>
      <c r="W14" s="75">
        <f t="shared" si="24"/>
        <v>101.7</v>
      </c>
      <c r="X14" s="58">
        <f t="shared" si="9"/>
        <v>12712.5</v>
      </c>
      <c r="Y14" s="58">
        <f t="shared" si="10"/>
        <v>274.70000000000005</v>
      </c>
      <c r="Z14" s="58">
        <f t="shared" si="11"/>
        <v>1868.3000000000002</v>
      </c>
      <c r="AA14" s="58">
        <f t="shared" si="12"/>
        <v>680.1237713869676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5355.2</v>
      </c>
      <c r="AU14" s="57">
        <f t="shared" si="23"/>
        <v>6363.5</v>
      </c>
      <c r="AV14" s="58">
        <f t="shared" si="17"/>
        <v>118.82842844338212</v>
      </c>
      <c r="AW14" s="58">
        <f t="shared" si="22"/>
        <v>-1008.3000000000002</v>
      </c>
      <c r="AX14" s="79">
        <f t="shared" si="18"/>
        <v>793.7999999999993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427.5</v>
      </c>
      <c r="D15" s="61">
        <v>793</v>
      </c>
      <c r="E15" s="61">
        <v>427.2</v>
      </c>
      <c r="F15" s="59">
        <f t="shared" si="2"/>
        <v>53.87137452711222</v>
      </c>
      <c r="G15" s="61">
        <v>789.8</v>
      </c>
      <c r="H15" s="61">
        <v>603.1</v>
      </c>
      <c r="I15" s="59">
        <f t="shared" si="3"/>
        <v>76.36110407698152</v>
      </c>
      <c r="J15" s="61">
        <v>573.5</v>
      </c>
      <c r="K15" s="61">
        <v>712.6</v>
      </c>
      <c r="L15" s="58">
        <f t="shared" si="4"/>
        <v>124.25457715780297</v>
      </c>
      <c r="M15" s="62">
        <f t="shared" si="5"/>
        <v>2156.3</v>
      </c>
      <c r="N15" s="62">
        <f t="shared" si="6"/>
        <v>1742.9</v>
      </c>
      <c r="O15" s="58">
        <f t="shared" si="7"/>
        <v>80.82827064879655</v>
      </c>
      <c r="P15" s="61">
        <v>150.8</v>
      </c>
      <c r="Q15" s="61">
        <v>603.1</v>
      </c>
      <c r="R15" s="58">
        <f t="shared" si="19"/>
        <v>399.9336870026525</v>
      </c>
      <c r="S15" s="61"/>
      <c r="T15" s="61">
        <v>53.2</v>
      </c>
      <c r="U15" s="58" t="e">
        <f t="shared" si="20"/>
        <v>#DIV/0!</v>
      </c>
      <c r="V15" s="61"/>
      <c r="W15" s="61">
        <v>51</v>
      </c>
      <c r="X15" s="58" t="e">
        <f t="shared" si="9"/>
        <v>#DIV/0!</v>
      </c>
      <c r="Y15" s="62">
        <f t="shared" si="10"/>
        <v>150.8</v>
      </c>
      <c r="Z15" s="62">
        <f t="shared" si="11"/>
        <v>707.3000000000001</v>
      </c>
      <c r="AA15" s="58">
        <f t="shared" si="12"/>
        <v>469.03183023872674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2307.1000000000004</v>
      </c>
      <c r="AU15" s="94">
        <f t="shared" si="23"/>
        <v>2450.2000000000003</v>
      </c>
      <c r="AV15" s="58">
        <f t="shared" si="17"/>
        <v>106.20259199861297</v>
      </c>
      <c r="AW15" s="62">
        <f t="shared" si="22"/>
        <v>-143.0999999999999</v>
      </c>
      <c r="AX15" s="63">
        <f t="shared" si="18"/>
        <v>284.4000000000001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-15.8+239.3</f>
        <v>223.5</v>
      </c>
      <c r="D16" s="61">
        <v>234.5</v>
      </c>
      <c r="E16" s="61">
        <v>224.4</v>
      </c>
      <c r="F16" s="59">
        <f t="shared" si="2"/>
        <v>95.69296375266525</v>
      </c>
      <c r="G16" s="61">
        <v>243.5</v>
      </c>
      <c r="H16" s="61">
        <v>235</v>
      </c>
      <c r="I16" s="59">
        <f t="shared" si="3"/>
        <v>96.50924024640656</v>
      </c>
      <c r="J16" s="61">
        <v>172</v>
      </c>
      <c r="K16" s="61">
        <v>227</v>
      </c>
      <c r="L16" s="58">
        <f t="shared" si="4"/>
        <v>131.9767441860465</v>
      </c>
      <c r="M16" s="62">
        <f t="shared" si="5"/>
        <v>650</v>
      </c>
      <c r="N16" s="62">
        <f t="shared" si="6"/>
        <v>686.4</v>
      </c>
      <c r="O16" s="58">
        <f t="shared" si="7"/>
        <v>105.60000000000001</v>
      </c>
      <c r="P16" s="61">
        <v>7</v>
      </c>
      <c r="Q16" s="61">
        <v>165.1</v>
      </c>
      <c r="R16" s="58">
        <f t="shared" si="19"/>
        <v>2358.5714285714284</v>
      </c>
      <c r="S16" s="61"/>
      <c r="T16" s="61">
        <v>32.8</v>
      </c>
      <c r="U16" s="58" t="e">
        <f t="shared" si="20"/>
        <v>#DIV/0!</v>
      </c>
      <c r="V16" s="61"/>
      <c r="W16" s="61">
        <v>2.1</v>
      </c>
      <c r="X16" s="58" t="e">
        <f t="shared" si="9"/>
        <v>#DIV/0!</v>
      </c>
      <c r="Y16" s="62">
        <f t="shared" si="10"/>
        <v>7</v>
      </c>
      <c r="Z16" s="62">
        <f t="shared" si="11"/>
        <v>199.99999999999997</v>
      </c>
      <c r="AA16" s="58">
        <f t="shared" si="12"/>
        <v>2857.1428571428564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657</v>
      </c>
      <c r="AU16" s="94">
        <f t="shared" si="23"/>
        <v>886.4</v>
      </c>
      <c r="AV16" s="58">
        <f t="shared" si="17"/>
        <v>134.91628614916286</v>
      </c>
      <c r="AW16" s="62">
        <f t="shared" si="22"/>
        <v>-229.39999999999998</v>
      </c>
      <c r="AX16" s="63">
        <f t="shared" si="18"/>
        <v>-5.899999999999977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261.3</v>
      </c>
      <c r="D17" s="61">
        <v>217.1</v>
      </c>
      <c r="E17" s="61">
        <v>238.1</v>
      </c>
      <c r="F17" s="59">
        <f t="shared" si="2"/>
        <v>109.67296176877015</v>
      </c>
      <c r="G17" s="61">
        <v>222</v>
      </c>
      <c r="H17" s="61">
        <v>205.5</v>
      </c>
      <c r="I17" s="59">
        <f t="shared" si="3"/>
        <v>92.56756756756756</v>
      </c>
      <c r="J17" s="61">
        <v>177.1</v>
      </c>
      <c r="K17" s="61">
        <v>189.4</v>
      </c>
      <c r="L17" s="58">
        <f t="shared" si="4"/>
        <v>106.94522868435912</v>
      </c>
      <c r="M17" s="62">
        <f t="shared" si="5"/>
        <v>616.2</v>
      </c>
      <c r="N17" s="62">
        <f t="shared" si="6"/>
        <v>633</v>
      </c>
      <c r="O17" s="58">
        <f t="shared" si="7"/>
        <v>102.72638753651411</v>
      </c>
      <c r="P17" s="61">
        <v>13.4</v>
      </c>
      <c r="Q17" s="61">
        <v>169.6</v>
      </c>
      <c r="R17" s="58">
        <f t="shared" si="19"/>
        <v>1265.6716417910447</v>
      </c>
      <c r="S17" s="61"/>
      <c r="T17" s="61">
        <v>27.2</v>
      </c>
      <c r="U17" s="58" t="e">
        <f t="shared" si="20"/>
        <v>#DIV/0!</v>
      </c>
      <c r="V17" s="61"/>
      <c r="W17" s="61">
        <v>20.6</v>
      </c>
      <c r="X17" s="58" t="e">
        <f t="shared" si="9"/>
        <v>#DIV/0!</v>
      </c>
      <c r="Y17" s="62">
        <f t="shared" si="10"/>
        <v>13.4</v>
      </c>
      <c r="Z17" s="62">
        <f t="shared" si="11"/>
        <v>217.39999999999998</v>
      </c>
      <c r="AA17" s="58">
        <f t="shared" si="12"/>
        <v>1622.3880597014922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629.6</v>
      </c>
      <c r="AU17" s="94">
        <f t="shared" si="23"/>
        <v>850.4</v>
      </c>
      <c r="AV17" s="58">
        <f t="shared" si="17"/>
        <v>135.06988564167725</v>
      </c>
      <c r="AW17" s="62">
        <f t="shared" si="22"/>
        <v>-220.79999999999995</v>
      </c>
      <c r="AX17" s="63">
        <f t="shared" si="18"/>
        <v>40.500000000000114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889.8</v>
      </c>
      <c r="D19" s="61">
        <v>545.5</v>
      </c>
      <c r="E19" s="61">
        <v>413.7</v>
      </c>
      <c r="F19" s="59">
        <f t="shared" si="2"/>
        <v>75.83868010999083</v>
      </c>
      <c r="G19" s="61">
        <v>566.1</v>
      </c>
      <c r="H19" s="61">
        <v>541.7</v>
      </c>
      <c r="I19" s="59">
        <f t="shared" si="3"/>
        <v>95.68980745451334</v>
      </c>
      <c r="J19" s="61">
        <v>546.4</v>
      </c>
      <c r="K19" s="61">
        <v>477.5</v>
      </c>
      <c r="L19" s="67">
        <f t="shared" si="4"/>
        <v>87.39019033674964</v>
      </c>
      <c r="M19" s="62">
        <f t="shared" si="5"/>
        <v>1658</v>
      </c>
      <c r="N19" s="62">
        <f t="shared" si="6"/>
        <v>1432.9</v>
      </c>
      <c r="O19" s="58">
        <f t="shared" si="7"/>
        <v>86.42340168878167</v>
      </c>
      <c r="P19" s="61">
        <v>102.7</v>
      </c>
      <c r="Q19" s="61">
        <v>567.5</v>
      </c>
      <c r="R19" s="58">
        <f t="shared" si="19"/>
        <v>552.5803310613437</v>
      </c>
      <c r="S19" s="61"/>
      <c r="T19" s="61">
        <v>148.1</v>
      </c>
      <c r="U19" s="58" t="e">
        <f t="shared" si="20"/>
        <v>#DIV/0!</v>
      </c>
      <c r="V19" s="61">
        <v>0.8</v>
      </c>
      <c r="W19" s="61">
        <v>28</v>
      </c>
      <c r="X19" s="66">
        <f t="shared" si="9"/>
        <v>3500</v>
      </c>
      <c r="Y19" s="62">
        <f t="shared" si="10"/>
        <v>103.5</v>
      </c>
      <c r="Z19" s="62">
        <f t="shared" si="11"/>
        <v>743.6</v>
      </c>
      <c r="AA19" s="58">
        <f t="shared" si="12"/>
        <v>718.4541062801933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1761.5</v>
      </c>
      <c r="AU19" s="94">
        <f t="shared" si="23"/>
        <v>2176.5</v>
      </c>
      <c r="AV19" s="58">
        <f t="shared" si="17"/>
        <v>123.55946636389442</v>
      </c>
      <c r="AW19" s="62">
        <f t="shared" si="22"/>
        <v>-415</v>
      </c>
      <c r="AX19" s="63">
        <f t="shared" si="18"/>
        <v>474.8000000000002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732.8000000000001</v>
      </c>
      <c r="D23" s="75">
        <f>SUM(D24:D29)</f>
        <v>573.3</v>
      </c>
      <c r="E23" s="75">
        <f>SUM(E24:E29)</f>
        <v>362.3</v>
      </c>
      <c r="F23" s="59">
        <f t="shared" si="2"/>
        <v>63.19553462410607</v>
      </c>
      <c r="G23" s="75">
        <f>SUM(G24:G29)</f>
        <v>557.8000000000001</v>
      </c>
      <c r="H23" s="75">
        <f>SUM(H24:H29)</f>
        <v>453.4</v>
      </c>
      <c r="I23" s="59">
        <f t="shared" si="3"/>
        <v>81.2836141986375</v>
      </c>
      <c r="J23" s="75">
        <f>SUM(J24:J29)</f>
        <v>433</v>
      </c>
      <c r="K23" s="75">
        <f>SUM(K24:K29)</f>
        <v>592.3000000000001</v>
      </c>
      <c r="L23" s="71">
        <f t="shared" si="4"/>
        <v>136.78983833718246</v>
      </c>
      <c r="M23" s="58">
        <f t="shared" si="5"/>
        <v>1564.1</v>
      </c>
      <c r="N23" s="58">
        <f t="shared" si="6"/>
        <v>1408</v>
      </c>
      <c r="O23" s="58">
        <f t="shared" si="7"/>
        <v>90.01981970462248</v>
      </c>
      <c r="P23" s="75">
        <f aca="true" t="shared" si="27" ref="P23:W23">SUM(P24:P29)</f>
        <v>94.1</v>
      </c>
      <c r="Q23" s="75">
        <f t="shared" si="27"/>
        <v>246.1</v>
      </c>
      <c r="R23" s="75" t="e">
        <f t="shared" si="27"/>
        <v>#DIV/0!</v>
      </c>
      <c r="S23" s="75">
        <f t="shared" si="27"/>
        <v>0</v>
      </c>
      <c r="T23" s="75">
        <f t="shared" si="27"/>
        <v>263.1</v>
      </c>
      <c r="U23" s="75" t="e">
        <f t="shared" si="27"/>
        <v>#DIV/0!</v>
      </c>
      <c r="V23" s="75">
        <f t="shared" si="27"/>
        <v>0</v>
      </c>
      <c r="W23" s="75">
        <f t="shared" si="27"/>
        <v>87.39999999999999</v>
      </c>
      <c r="X23" s="72" t="e">
        <f t="shared" si="9"/>
        <v>#DIV/0!</v>
      </c>
      <c r="Y23" s="58">
        <f t="shared" si="10"/>
        <v>94.1</v>
      </c>
      <c r="Z23" s="58">
        <f t="shared" si="11"/>
        <v>596.6</v>
      </c>
      <c r="AA23" s="58">
        <f t="shared" si="12"/>
        <v>634.0063761955367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1658.1999999999998</v>
      </c>
      <c r="AU23" s="57">
        <f t="shared" si="23"/>
        <v>2004.6</v>
      </c>
      <c r="AV23" s="58">
        <f t="shared" si="17"/>
        <v>120.89012181883972</v>
      </c>
      <c r="AW23" s="58">
        <f t="shared" si="22"/>
        <v>-346.4000000000001</v>
      </c>
      <c r="AX23" s="79">
        <f t="shared" si="18"/>
        <v>386.4000000000001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-3.3</v>
      </c>
      <c r="D25" s="61">
        <v>13.5</v>
      </c>
      <c r="E25" s="61">
        <v>0.5</v>
      </c>
      <c r="F25" s="59">
        <f t="shared" si="2"/>
        <v>3.7037037037037033</v>
      </c>
      <c r="G25" s="61">
        <v>11.7</v>
      </c>
      <c r="H25" s="61">
        <v>0.2</v>
      </c>
      <c r="I25" s="59">
        <f t="shared" si="3"/>
        <v>1.7094017094017095</v>
      </c>
      <c r="J25" s="61">
        <v>10.3</v>
      </c>
      <c r="K25" s="61">
        <v>20.2</v>
      </c>
      <c r="L25" s="58">
        <f t="shared" si="4"/>
        <v>196.1165048543689</v>
      </c>
      <c r="M25" s="62">
        <f t="shared" si="5"/>
        <v>35.5</v>
      </c>
      <c r="N25" s="62">
        <f t="shared" si="6"/>
        <v>20.9</v>
      </c>
      <c r="O25" s="58">
        <f t="shared" si="7"/>
        <v>58.87323943661972</v>
      </c>
      <c r="P25" s="61">
        <v>35.8</v>
      </c>
      <c r="Q25" s="61">
        <v>31.6</v>
      </c>
      <c r="R25" s="58">
        <f t="shared" si="19"/>
        <v>88.26815642458101</v>
      </c>
      <c r="S25" s="61"/>
      <c r="T25" s="61"/>
      <c r="U25" s="58" t="e">
        <f t="shared" si="20"/>
        <v>#DIV/0!</v>
      </c>
      <c r="V25" s="61"/>
      <c r="W25" s="61">
        <v>0.3</v>
      </c>
      <c r="X25" s="58" t="e">
        <f>W25/V25*100</f>
        <v>#DIV/0!</v>
      </c>
      <c r="Y25" s="62">
        <f t="shared" si="10"/>
        <v>35.8</v>
      </c>
      <c r="Z25" s="62">
        <f t="shared" si="11"/>
        <v>31.900000000000002</v>
      </c>
      <c r="AA25" s="58">
        <f t="shared" si="12"/>
        <v>89.10614525139667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71.3</v>
      </c>
      <c r="AU25" s="94">
        <f t="shared" si="23"/>
        <v>52.8</v>
      </c>
      <c r="AV25" s="58">
        <f t="shared" si="17"/>
        <v>74.05329593267882</v>
      </c>
      <c r="AW25" s="62">
        <f t="shared" si="22"/>
        <v>18.5</v>
      </c>
      <c r="AX25" s="63">
        <f t="shared" si="18"/>
        <v>15.200000000000003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736.1</v>
      </c>
      <c r="D26" s="61">
        <v>559.8</v>
      </c>
      <c r="E26" s="61">
        <v>361.8</v>
      </c>
      <c r="F26" s="59">
        <f t="shared" si="2"/>
        <v>64.63022508038586</v>
      </c>
      <c r="G26" s="61">
        <v>546.1</v>
      </c>
      <c r="H26" s="61">
        <v>453.2</v>
      </c>
      <c r="I26" s="59">
        <f t="shared" si="3"/>
        <v>82.9884636513459</v>
      </c>
      <c r="J26" s="61">
        <v>422.7</v>
      </c>
      <c r="K26" s="61">
        <v>572.1</v>
      </c>
      <c r="L26" s="58">
        <f>K26/J26*100</f>
        <v>135.34421575585523</v>
      </c>
      <c r="M26" s="62">
        <f t="shared" si="5"/>
        <v>1528.6000000000001</v>
      </c>
      <c r="N26" s="62">
        <f t="shared" si="6"/>
        <v>1387.1</v>
      </c>
      <c r="O26" s="58">
        <f t="shared" si="7"/>
        <v>90.74316367918355</v>
      </c>
      <c r="P26" s="61">
        <v>58.3</v>
      </c>
      <c r="Q26" s="61">
        <v>214.5</v>
      </c>
      <c r="R26" s="58">
        <f t="shared" si="19"/>
        <v>367.9245283018868</v>
      </c>
      <c r="S26" s="61"/>
      <c r="T26" s="61">
        <v>263.1</v>
      </c>
      <c r="U26" s="58" t="e">
        <f t="shared" si="20"/>
        <v>#DIV/0!</v>
      </c>
      <c r="V26" s="61"/>
      <c r="W26" s="61">
        <v>87.1</v>
      </c>
      <c r="X26" s="58" t="e">
        <f>W26/V26*100</f>
        <v>#DIV/0!</v>
      </c>
      <c r="Y26" s="62">
        <f t="shared" si="10"/>
        <v>58.3</v>
      </c>
      <c r="Z26" s="62">
        <f t="shared" si="11"/>
        <v>564.7</v>
      </c>
      <c r="AA26" s="58">
        <f t="shared" si="12"/>
        <v>968.6106346483706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1586.9</v>
      </c>
      <c r="AU26" s="94">
        <f t="shared" si="23"/>
        <v>1951.8</v>
      </c>
      <c r="AV26" s="58">
        <f t="shared" si="17"/>
        <v>122.99451761295607</v>
      </c>
      <c r="AW26" s="62">
        <f t="shared" si="22"/>
        <v>-364.89999999999986</v>
      </c>
      <c r="AX26" s="63">
        <f t="shared" si="18"/>
        <v>371.20000000000005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816.3000000000001</v>
      </c>
      <c r="D30" s="108">
        <f>SUM(D31:D38)</f>
        <v>756</v>
      </c>
      <c r="E30" s="108">
        <f>SUM(E31:E38)</f>
        <v>723.6</v>
      </c>
      <c r="F30" s="92">
        <f t="shared" si="2"/>
        <v>95.71428571428572</v>
      </c>
      <c r="G30" s="108">
        <f>SUM(G31:G38)</f>
        <v>788.7</v>
      </c>
      <c r="H30" s="108">
        <f>SUM(H31:H38)</f>
        <v>730.5</v>
      </c>
      <c r="I30" s="92">
        <f t="shared" si="3"/>
        <v>92.62076835298592</v>
      </c>
      <c r="J30" s="108">
        <f>SUM(J31:J38)</f>
        <v>752</v>
      </c>
      <c r="K30" s="108">
        <f>SUM(K31:K38)</f>
        <v>777.4000000000001</v>
      </c>
      <c r="L30" s="56">
        <f>K30/J30*100</f>
        <v>103.3776595744681</v>
      </c>
      <c r="M30" s="56">
        <f t="shared" si="5"/>
        <v>2296.7</v>
      </c>
      <c r="N30" s="56">
        <f t="shared" si="6"/>
        <v>2231.5</v>
      </c>
      <c r="O30" s="56">
        <f t="shared" si="7"/>
        <v>97.1611442504463</v>
      </c>
      <c r="P30" s="108">
        <f aca="true" t="shared" si="31" ref="P30:W30">SUM(P31:P38)</f>
        <v>48.800000000000004</v>
      </c>
      <c r="Q30" s="108">
        <f t="shared" si="31"/>
        <v>712.0999999999999</v>
      </c>
      <c r="R30" s="108" t="e">
        <f t="shared" si="31"/>
        <v>#DIV/0!</v>
      </c>
      <c r="S30" s="108">
        <f t="shared" si="31"/>
        <v>0</v>
      </c>
      <c r="T30" s="108">
        <f t="shared" si="31"/>
        <v>61.1</v>
      </c>
      <c r="U30" s="108" t="e">
        <f t="shared" si="31"/>
        <v>#DIV/0!</v>
      </c>
      <c r="V30" s="108">
        <f t="shared" si="31"/>
        <v>0</v>
      </c>
      <c r="W30" s="108">
        <f t="shared" si="31"/>
        <v>20.2</v>
      </c>
      <c r="X30" s="56" t="e">
        <f t="shared" si="30"/>
        <v>#DIV/0!</v>
      </c>
      <c r="Y30" s="56">
        <f t="shared" si="10"/>
        <v>48.800000000000004</v>
      </c>
      <c r="Z30" s="56">
        <f t="shared" si="11"/>
        <v>793.4</v>
      </c>
      <c r="AA30" s="56">
        <f t="shared" si="12"/>
        <v>1625.8196721311474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2345.5</v>
      </c>
      <c r="AU30" s="57">
        <f t="shared" si="23"/>
        <v>3024.9</v>
      </c>
      <c r="AV30" s="56">
        <f t="shared" si="17"/>
        <v>128.96610530803667</v>
      </c>
      <c r="AW30" s="56">
        <f>AT30-AU30</f>
        <v>-679.4000000000001</v>
      </c>
      <c r="AX30" s="55">
        <f t="shared" si="18"/>
        <v>136.9000000000001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526.2+123.6</f>
        <v>649.8000000000001</v>
      </c>
      <c r="D35" s="61">
        <f>482.8+108.4</f>
        <v>591.2</v>
      </c>
      <c r="E35" s="61">
        <f>449.1+119.5</f>
        <v>568.6</v>
      </c>
      <c r="F35" s="59">
        <f t="shared" si="2"/>
        <v>96.17726657645467</v>
      </c>
      <c r="G35" s="61">
        <f>507.3+121.7</f>
        <v>629</v>
      </c>
      <c r="H35" s="61">
        <f>464.5+107.9</f>
        <v>572.4</v>
      </c>
      <c r="I35" s="59">
        <f t="shared" si="3"/>
        <v>91.00158982511924</v>
      </c>
      <c r="J35" s="61">
        <f>109.4+460.5</f>
        <v>569.9</v>
      </c>
      <c r="K35" s="61">
        <f>117.7+506.9</f>
        <v>624.6</v>
      </c>
      <c r="L35" s="58">
        <f t="shared" si="35"/>
        <v>109.59817511844183</v>
      </c>
      <c r="M35" s="62">
        <f t="shared" si="5"/>
        <v>1790.1</v>
      </c>
      <c r="N35" s="62">
        <f t="shared" si="6"/>
        <v>1765.6</v>
      </c>
      <c r="O35" s="58">
        <f t="shared" si="7"/>
        <v>98.63136137645941</v>
      </c>
      <c r="P35" s="61">
        <f>32+12.2</f>
        <v>44.2</v>
      </c>
      <c r="Q35" s="61">
        <f>450.2+81.1</f>
        <v>531.3</v>
      </c>
      <c r="R35" s="58">
        <f t="shared" si="19"/>
        <v>1202.0361990950225</v>
      </c>
      <c r="S35" s="61"/>
      <c r="T35" s="61">
        <f>32+25.4</f>
        <v>57.4</v>
      </c>
      <c r="U35" s="58" t="e">
        <f t="shared" si="20"/>
        <v>#DIV/0!</v>
      </c>
      <c r="V35" s="61"/>
      <c r="W35" s="61">
        <f>7.1+13.1</f>
        <v>20.2</v>
      </c>
      <c r="X35" s="58" t="e">
        <f t="shared" si="30"/>
        <v>#DIV/0!</v>
      </c>
      <c r="Y35" s="62">
        <f t="shared" si="10"/>
        <v>44.2</v>
      </c>
      <c r="Z35" s="62">
        <f t="shared" si="11"/>
        <v>608.9</v>
      </c>
      <c r="AA35" s="58">
        <f t="shared" si="12"/>
        <v>1377.601809954751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1834.3</v>
      </c>
      <c r="AU35" s="94">
        <f t="shared" si="23"/>
        <v>2374.5</v>
      </c>
      <c r="AV35" s="58">
        <f t="shared" si="36"/>
        <v>129.44992640244234</v>
      </c>
      <c r="AW35" s="62">
        <f t="shared" si="37"/>
        <v>-540.2</v>
      </c>
      <c r="AX35" s="63">
        <f t="shared" si="18"/>
        <v>109.59999999999991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166.5</v>
      </c>
      <c r="D38" s="61">
        <v>164.8</v>
      </c>
      <c r="E38" s="61">
        <v>155</v>
      </c>
      <c r="F38" s="59">
        <f t="shared" si="2"/>
        <v>94.05339805825243</v>
      </c>
      <c r="G38" s="61">
        <v>159.7</v>
      </c>
      <c r="H38" s="61">
        <v>158.1</v>
      </c>
      <c r="I38" s="59">
        <f t="shared" si="3"/>
        <v>98.99812147777082</v>
      </c>
      <c r="J38" s="61">
        <v>182.1</v>
      </c>
      <c r="K38" s="61">
        <v>152.8</v>
      </c>
      <c r="L38" s="58">
        <f t="shared" si="35"/>
        <v>83.90993959362987</v>
      </c>
      <c r="M38" s="62">
        <f t="shared" si="5"/>
        <v>506.6</v>
      </c>
      <c r="N38" s="62">
        <f t="shared" si="6"/>
        <v>465.90000000000003</v>
      </c>
      <c r="O38" s="58">
        <f t="shared" si="7"/>
        <v>91.96604816423213</v>
      </c>
      <c r="P38" s="61">
        <v>4.6</v>
      </c>
      <c r="Q38" s="61">
        <v>180.8</v>
      </c>
      <c r="R38" s="58">
        <f t="shared" si="19"/>
        <v>3930.434782608696</v>
      </c>
      <c r="S38" s="61"/>
      <c r="T38" s="61">
        <v>3.7</v>
      </c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4.6</v>
      </c>
      <c r="Z38" s="62">
        <f t="shared" si="11"/>
        <v>184.5</v>
      </c>
      <c r="AA38" s="58">
        <f t="shared" si="12"/>
        <v>4010.8695652173915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511.20000000000005</v>
      </c>
      <c r="AU38" s="94">
        <f t="shared" si="23"/>
        <v>650.4000000000001</v>
      </c>
      <c r="AV38" s="58">
        <f t="shared" si="36"/>
        <v>127.23004694835683</v>
      </c>
      <c r="AW38" s="62">
        <f t="shared" si="37"/>
        <v>-139.20000000000005</v>
      </c>
      <c r="AX38" s="63">
        <f t="shared" si="18"/>
        <v>27.299999999999955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2798.5</v>
      </c>
      <c r="D39" s="75">
        <f>SUM(D40:D44)</f>
        <v>1801.2</v>
      </c>
      <c r="E39" s="75">
        <f>SUM(E40:E44)</f>
        <v>1290.7</v>
      </c>
      <c r="F39" s="59">
        <f t="shared" si="2"/>
        <v>71.65778369975571</v>
      </c>
      <c r="G39" s="75">
        <f>SUM(G40:G44)</f>
        <v>1884.3999999999999</v>
      </c>
      <c r="H39" s="75">
        <f>SUM(H40:H44)</f>
        <v>1713</v>
      </c>
      <c r="I39" s="59">
        <f t="shared" si="3"/>
        <v>90.90426661006157</v>
      </c>
      <c r="J39" s="75">
        <f>SUM(J40:J44)</f>
        <v>1392.9</v>
      </c>
      <c r="K39" s="75">
        <f>SUM(K40:K44)</f>
        <v>1562</v>
      </c>
      <c r="L39" s="58">
        <f t="shared" si="35"/>
        <v>112.1401392777658</v>
      </c>
      <c r="M39" s="58">
        <f t="shared" si="5"/>
        <v>5078.5</v>
      </c>
      <c r="N39" s="58">
        <f t="shared" si="6"/>
        <v>4565.7</v>
      </c>
      <c r="O39" s="58">
        <f t="shared" si="7"/>
        <v>89.90253027468741</v>
      </c>
      <c r="P39" s="75">
        <f aca="true" t="shared" si="38" ref="P39:W39">SUM(P40:P44)</f>
        <v>266.9</v>
      </c>
      <c r="Q39" s="75">
        <f t="shared" si="38"/>
        <v>966.3</v>
      </c>
      <c r="R39" s="75" t="e">
        <f t="shared" si="38"/>
        <v>#DIV/0!</v>
      </c>
      <c r="S39" s="75">
        <f t="shared" si="38"/>
        <v>0</v>
      </c>
      <c r="T39" s="75">
        <f t="shared" si="38"/>
        <v>496.90000000000003</v>
      </c>
      <c r="U39" s="75" t="e">
        <f t="shared" si="38"/>
        <v>#DIV/0!</v>
      </c>
      <c r="V39" s="75">
        <f t="shared" si="38"/>
        <v>0</v>
      </c>
      <c r="W39" s="75">
        <f t="shared" si="38"/>
        <v>156.4</v>
      </c>
      <c r="X39" s="58" t="e">
        <f t="shared" si="30"/>
        <v>#DIV/0!</v>
      </c>
      <c r="Y39" s="58">
        <f t="shared" si="10"/>
        <v>266.9</v>
      </c>
      <c r="Z39" s="58">
        <f t="shared" si="11"/>
        <v>1619.6000000000001</v>
      </c>
      <c r="AA39" s="58">
        <f t="shared" si="12"/>
        <v>606.8190333458225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5345.4</v>
      </c>
      <c r="AU39" s="57">
        <f t="shared" si="23"/>
        <v>6185.3</v>
      </c>
      <c r="AV39" s="58">
        <f t="shared" si="36"/>
        <v>115.7125752983874</v>
      </c>
      <c r="AW39" s="58">
        <f t="shared" si="37"/>
        <v>-839.9000000000005</v>
      </c>
      <c r="AX39" s="79">
        <f t="shared" si="18"/>
        <v>1958.5999999999995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2127.5</v>
      </c>
      <c r="D42" s="61">
        <v>1484</v>
      </c>
      <c r="E42" s="61">
        <v>1071.9</v>
      </c>
      <c r="F42" s="59">
        <f t="shared" si="2"/>
        <v>72.23045822102426</v>
      </c>
      <c r="G42" s="61">
        <v>1551.6</v>
      </c>
      <c r="H42" s="61">
        <v>1399.3</v>
      </c>
      <c r="I42" s="59">
        <f t="shared" si="3"/>
        <v>90.18432585717969</v>
      </c>
      <c r="J42" s="61">
        <v>1133.8</v>
      </c>
      <c r="K42" s="61">
        <v>1315.2</v>
      </c>
      <c r="L42" s="58">
        <f t="shared" si="35"/>
        <v>115.99929440818488</v>
      </c>
      <c r="M42" s="62">
        <f t="shared" si="41"/>
        <v>4169.4</v>
      </c>
      <c r="N42" s="62">
        <f t="shared" si="42"/>
        <v>3786.3999999999996</v>
      </c>
      <c r="O42" s="58">
        <f t="shared" si="7"/>
        <v>90.81402599894469</v>
      </c>
      <c r="P42" s="61">
        <f>222.5</f>
        <v>222.5</v>
      </c>
      <c r="Q42" s="61">
        <f>675.1</f>
        <v>675.1</v>
      </c>
      <c r="R42" s="58">
        <f t="shared" si="19"/>
        <v>303.4157303370787</v>
      </c>
      <c r="S42" s="61"/>
      <c r="T42" s="61">
        <v>439.8</v>
      </c>
      <c r="U42" s="58" t="e">
        <f t="shared" si="20"/>
        <v>#DIV/0!</v>
      </c>
      <c r="V42" s="61"/>
      <c r="W42" s="61">
        <v>94.4</v>
      </c>
      <c r="X42" s="58" t="e">
        <f t="shared" si="30"/>
        <v>#DIV/0!</v>
      </c>
      <c r="Y42" s="62">
        <f t="shared" si="43"/>
        <v>222.5</v>
      </c>
      <c r="Z42" s="62">
        <f t="shared" si="44"/>
        <v>1209.3000000000002</v>
      </c>
      <c r="AA42" s="58">
        <f t="shared" si="12"/>
        <v>543.5056179775282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4391.9</v>
      </c>
      <c r="AU42" s="94">
        <f t="shared" si="23"/>
        <v>4995.7</v>
      </c>
      <c r="AV42" s="58">
        <f t="shared" si="36"/>
        <v>113.74803615747172</v>
      </c>
      <c r="AW42" s="62">
        <f t="shared" si="37"/>
        <v>-603.8000000000002</v>
      </c>
      <c r="AX42" s="63">
        <f t="shared" si="45"/>
        <v>1523.6999999999998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671</v>
      </c>
      <c r="D44" s="61">
        <v>317.2</v>
      </c>
      <c r="E44" s="61">
        <v>218.8</v>
      </c>
      <c r="F44" s="59">
        <f t="shared" si="2"/>
        <v>68.97856242118537</v>
      </c>
      <c r="G44" s="61">
        <v>332.8</v>
      </c>
      <c r="H44" s="61">
        <v>313.7</v>
      </c>
      <c r="I44" s="59">
        <f t="shared" si="3"/>
        <v>94.2608173076923</v>
      </c>
      <c r="J44" s="61">
        <v>259.1</v>
      </c>
      <c r="K44" s="61">
        <v>246.8</v>
      </c>
      <c r="L44" s="71">
        <f t="shared" si="35"/>
        <v>95.25279814743341</v>
      </c>
      <c r="M44" s="62">
        <f t="shared" si="41"/>
        <v>909.1</v>
      </c>
      <c r="N44" s="62">
        <f t="shared" si="42"/>
        <v>779.3</v>
      </c>
      <c r="O44" s="58">
        <f t="shared" si="7"/>
        <v>85.7221427785722</v>
      </c>
      <c r="P44" s="61">
        <v>44.4</v>
      </c>
      <c r="Q44" s="61">
        <v>291.2</v>
      </c>
      <c r="R44" s="58">
        <f t="shared" si="19"/>
        <v>655.8558558558558</v>
      </c>
      <c r="S44" s="61"/>
      <c r="T44" s="61">
        <v>57.1</v>
      </c>
      <c r="U44" s="58" t="e">
        <f t="shared" si="20"/>
        <v>#DIV/0!</v>
      </c>
      <c r="V44" s="61"/>
      <c r="W44" s="61">
        <v>62</v>
      </c>
      <c r="X44" s="72" t="e">
        <f t="shared" si="30"/>
        <v>#DIV/0!</v>
      </c>
      <c r="Y44" s="62">
        <f t="shared" si="43"/>
        <v>44.4</v>
      </c>
      <c r="Z44" s="62">
        <f t="shared" si="44"/>
        <v>410.3</v>
      </c>
      <c r="AA44" s="58">
        <f t="shared" si="12"/>
        <v>924.0990990990992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953.5</v>
      </c>
      <c r="AU44" s="94">
        <f t="shared" si="23"/>
        <v>1189.6</v>
      </c>
      <c r="AV44" s="58">
        <f t="shared" si="36"/>
        <v>124.76140534871524</v>
      </c>
      <c r="AW44" s="62">
        <f t="shared" si="37"/>
        <v>-236.0999999999999</v>
      </c>
      <c r="AX44" s="63">
        <f t="shared" si="45"/>
        <v>434.9000000000001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376.70000000000005</v>
      </c>
      <c r="D45" s="75">
        <f>SUM(D46:D60)</f>
        <v>279.1</v>
      </c>
      <c r="E45" s="75">
        <f>SUM(E46:E60)</f>
        <v>296.5</v>
      </c>
      <c r="F45" s="59">
        <f t="shared" si="2"/>
        <v>106.23432461483337</v>
      </c>
      <c r="G45" s="75">
        <f>SUM(G46:G50)</f>
        <v>0</v>
      </c>
      <c r="H45" s="75">
        <f>SUM(H46:H50)</f>
        <v>0</v>
      </c>
      <c r="I45" s="64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279.1</v>
      </c>
      <c r="N45" s="58">
        <f t="shared" si="42"/>
        <v>296.5</v>
      </c>
      <c r="O45" s="58">
        <f t="shared" si="7"/>
        <v>106.23432461483337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279.1</v>
      </c>
      <c r="AU45" s="57">
        <f t="shared" si="23"/>
        <v>296.5</v>
      </c>
      <c r="AV45" s="58">
        <f t="shared" si="36"/>
        <v>106.23432461483337</v>
      </c>
      <c r="AW45" s="58">
        <f t="shared" si="37"/>
        <v>-17.399999999999977</v>
      </c>
      <c r="AX45" s="79">
        <f t="shared" si="45"/>
        <v>359.30000000000007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0.6</v>
      </c>
      <c r="D49" s="61"/>
      <c r="E49" s="61"/>
      <c r="F49" s="64" t="e">
        <f t="shared" si="2"/>
        <v>#DIV/0!</v>
      </c>
      <c r="G49" s="61"/>
      <c r="H49" s="61"/>
      <c r="I49" s="64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64" t="e">
        <f t="shared" si="36"/>
        <v>#DIV/0!</v>
      </c>
      <c r="AW49" s="62">
        <f t="shared" si="37"/>
        <v>0</v>
      </c>
      <c r="AX49" s="63">
        <f t="shared" si="45"/>
        <v>0.6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>
        <v>293.7</v>
      </c>
      <c r="D54" s="73">
        <v>224.1</v>
      </c>
      <c r="E54" s="61">
        <v>217.1</v>
      </c>
      <c r="F54" s="59">
        <f t="shared" si="51"/>
        <v>96.87639446675591</v>
      </c>
      <c r="G54" s="73"/>
      <c r="H54" s="61"/>
      <c r="I54" s="64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224.1</v>
      </c>
      <c r="N54" s="62">
        <f t="shared" si="42"/>
        <v>217.1</v>
      </c>
      <c r="O54" s="58">
        <f t="shared" si="7"/>
        <v>96.87639446675591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224.1</v>
      </c>
      <c r="AU54" s="94">
        <f t="shared" si="23"/>
        <v>217.1</v>
      </c>
      <c r="AV54" s="58">
        <f t="shared" si="17"/>
        <v>96.87639446675591</v>
      </c>
      <c r="AW54" s="62">
        <f t="shared" si="22"/>
        <v>7</v>
      </c>
      <c r="AX54" s="63">
        <f t="shared" si="45"/>
        <v>300.69999999999993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82.4</v>
      </c>
      <c r="D57" s="61">
        <v>55</v>
      </c>
      <c r="E57" s="61">
        <v>79.4</v>
      </c>
      <c r="F57" s="59">
        <f t="shared" si="51"/>
        <v>144.36363636363637</v>
      </c>
      <c r="G57" s="61">
        <v>59.4</v>
      </c>
      <c r="H57" s="61">
        <v>52</v>
      </c>
      <c r="I57" s="59">
        <f t="shared" si="52"/>
        <v>87.54208754208754</v>
      </c>
      <c r="J57" s="61">
        <v>45.9</v>
      </c>
      <c r="K57" s="61">
        <v>54.9</v>
      </c>
      <c r="L57" s="58">
        <f t="shared" si="49"/>
        <v>119.6078431372549</v>
      </c>
      <c r="M57" s="62">
        <f t="shared" si="41"/>
        <v>160.3</v>
      </c>
      <c r="N57" s="62">
        <f t="shared" si="42"/>
        <v>186.3</v>
      </c>
      <c r="O57" s="58">
        <f t="shared" si="7"/>
        <v>116.21958827199002</v>
      </c>
      <c r="P57" s="61">
        <v>0</v>
      </c>
      <c r="Q57" s="61">
        <v>46.1</v>
      </c>
      <c r="R57" s="58" t="e">
        <f t="shared" si="19"/>
        <v>#DIV/0!</v>
      </c>
      <c r="S57" s="61"/>
      <c r="T57" s="61">
        <v>10.3</v>
      </c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56.400000000000006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160.3</v>
      </c>
      <c r="AU57" s="94">
        <f t="shared" si="23"/>
        <v>242.70000000000002</v>
      </c>
      <c r="AV57" s="58">
        <f t="shared" si="17"/>
        <v>151.40361821584528</v>
      </c>
      <c r="AW57" s="62">
        <f t="shared" si="22"/>
        <v>-82.4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0</v>
      </c>
      <c r="D60" s="61">
        <v>0</v>
      </c>
      <c r="E60" s="61">
        <v>0</v>
      </c>
      <c r="F60" s="64" t="e">
        <f t="shared" si="51"/>
        <v>#DIV/0!</v>
      </c>
      <c r="G60" s="61"/>
      <c r="H60" s="61"/>
      <c r="I60" s="64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64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1881.2</v>
      </c>
      <c r="D61" s="109">
        <f>SUM(D62:D71)</f>
        <v>2527.7</v>
      </c>
      <c r="E61" s="109">
        <f>SUM(E62:E71)</f>
        <v>1283.9</v>
      </c>
      <c r="F61" s="59">
        <f t="shared" si="51"/>
        <v>50.79321121968589</v>
      </c>
      <c r="G61" s="109">
        <f>SUM(G62:G71)</f>
        <v>2300.2000000000003</v>
      </c>
      <c r="H61" s="109">
        <f>SUM(H62:H71)</f>
        <v>1777.7000000000003</v>
      </c>
      <c r="I61" s="59">
        <f t="shared" si="52"/>
        <v>77.28458394922181</v>
      </c>
      <c r="J61" s="109">
        <f>SUM(J62:J71)</f>
        <v>1888.9</v>
      </c>
      <c r="K61" s="109">
        <f>SUM(K62:K71)</f>
        <v>2682.5</v>
      </c>
      <c r="L61" s="58">
        <f t="shared" si="49"/>
        <v>142.01387050664408</v>
      </c>
      <c r="M61" s="58">
        <f t="shared" si="41"/>
        <v>6716.799999999999</v>
      </c>
      <c r="N61" s="58">
        <f t="shared" si="42"/>
        <v>5744.1</v>
      </c>
      <c r="O61" s="58">
        <f t="shared" si="7"/>
        <v>85.51840161981897</v>
      </c>
      <c r="P61" s="109">
        <f aca="true" t="shared" si="53" ref="P61:W61">SUM(P62:P71)</f>
        <v>596.4</v>
      </c>
      <c r="Q61" s="109">
        <f t="shared" si="53"/>
        <v>1641</v>
      </c>
      <c r="R61" s="109" t="e">
        <f t="shared" si="53"/>
        <v>#DIV/0!</v>
      </c>
      <c r="S61" s="109">
        <f t="shared" si="53"/>
        <v>181.7</v>
      </c>
      <c r="T61" s="109">
        <f t="shared" si="53"/>
        <v>849.5</v>
      </c>
      <c r="U61" s="109" t="e">
        <f t="shared" si="53"/>
        <v>#DIV/0!</v>
      </c>
      <c r="V61" s="109">
        <f t="shared" si="53"/>
        <v>69</v>
      </c>
      <c r="W61" s="109">
        <f t="shared" si="53"/>
        <v>678.3</v>
      </c>
      <c r="X61" s="58">
        <f t="shared" si="50"/>
        <v>983.0434782608695</v>
      </c>
      <c r="Y61" s="58">
        <f t="shared" si="43"/>
        <v>847.0999999999999</v>
      </c>
      <c r="Z61" s="58">
        <f t="shared" si="44"/>
        <v>3168.8</v>
      </c>
      <c r="AA61" s="58">
        <f t="shared" si="12"/>
        <v>374.0762601817968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7563.9</v>
      </c>
      <c r="AU61" s="57">
        <f t="shared" si="23"/>
        <v>8912.900000000001</v>
      </c>
      <c r="AV61" s="58">
        <f t="shared" si="17"/>
        <v>117.83471489575486</v>
      </c>
      <c r="AW61" s="58">
        <f t="shared" si="22"/>
        <v>-1349.0000000000018</v>
      </c>
      <c r="AX61" s="79">
        <f t="shared" si="45"/>
        <v>532.1999999999989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452.8</v>
      </c>
      <c r="D62" s="61">
        <v>489</v>
      </c>
      <c r="E62" s="61">
        <v>338.5</v>
      </c>
      <c r="F62" s="59">
        <f t="shared" si="51"/>
        <v>69.22290388548056</v>
      </c>
      <c r="G62" s="61">
        <v>530.1</v>
      </c>
      <c r="H62" s="61">
        <v>328</v>
      </c>
      <c r="I62" s="59">
        <f t="shared" si="52"/>
        <v>61.87511790228258</v>
      </c>
      <c r="J62" s="61">
        <v>419</v>
      </c>
      <c r="K62" s="61">
        <v>329.4</v>
      </c>
      <c r="L62" s="58">
        <f t="shared" si="49"/>
        <v>78.61575178997613</v>
      </c>
      <c r="M62" s="62">
        <f t="shared" si="41"/>
        <v>1438.1</v>
      </c>
      <c r="N62" s="62">
        <f t="shared" si="42"/>
        <v>995.9</v>
      </c>
      <c r="O62" s="58">
        <f t="shared" si="7"/>
        <v>69.25109519504903</v>
      </c>
      <c r="P62" s="61">
        <v>32.8</v>
      </c>
      <c r="Q62" s="61">
        <v>338.8</v>
      </c>
      <c r="R62" s="58">
        <f t="shared" si="19"/>
        <v>1032.9268292682927</v>
      </c>
      <c r="S62" s="61"/>
      <c r="T62" s="61">
        <v>50.9</v>
      </c>
      <c r="U62" s="58" t="e">
        <f t="shared" si="20"/>
        <v>#DIV/0!</v>
      </c>
      <c r="V62" s="61"/>
      <c r="W62" s="61">
        <v>408.7</v>
      </c>
      <c r="X62" s="58" t="e">
        <f t="shared" si="50"/>
        <v>#DIV/0!</v>
      </c>
      <c r="Y62" s="62">
        <f t="shared" si="43"/>
        <v>32.8</v>
      </c>
      <c r="Z62" s="62">
        <f t="shared" si="44"/>
        <v>798.4</v>
      </c>
      <c r="AA62" s="58">
        <f t="shared" si="12"/>
        <v>2434.146341463415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1470.8999999999999</v>
      </c>
      <c r="AU62" s="94">
        <f t="shared" si="23"/>
        <v>1794.3</v>
      </c>
      <c r="AV62" s="58">
        <f t="shared" si="17"/>
        <v>121.98653885376301</v>
      </c>
      <c r="AW62" s="62">
        <f t="shared" si="22"/>
        <v>-323.4000000000001</v>
      </c>
      <c r="AX62" s="63">
        <f t="shared" si="45"/>
        <v>129.39999999999986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11.6+24.2</f>
        <v>35.8</v>
      </c>
      <c r="D63" s="70">
        <f>12.3+12.8</f>
        <v>25.1</v>
      </c>
      <c r="E63" s="70">
        <f>2.5+9.4</f>
        <v>11.9</v>
      </c>
      <c r="F63" s="59">
        <f t="shared" si="51"/>
        <v>47.41035856573705</v>
      </c>
      <c r="G63" s="70">
        <f>13+12.5</f>
        <v>25.5</v>
      </c>
      <c r="H63" s="70">
        <f>26.1+10.5</f>
        <v>36.6</v>
      </c>
      <c r="I63" s="59">
        <f t="shared" si="52"/>
        <v>143.52941176470588</v>
      </c>
      <c r="J63" s="61">
        <f>10.5+10.2</f>
        <v>20.7</v>
      </c>
      <c r="K63" s="61">
        <f>13+14.7</f>
        <v>27.7</v>
      </c>
      <c r="L63" s="58">
        <f t="shared" si="49"/>
        <v>133.81642512077295</v>
      </c>
      <c r="M63" s="62">
        <f t="shared" si="41"/>
        <v>71.3</v>
      </c>
      <c r="N63" s="62">
        <f t="shared" si="42"/>
        <v>76.2</v>
      </c>
      <c r="O63" s="58">
        <f t="shared" si="7"/>
        <v>106.87237026647966</v>
      </c>
      <c r="P63" s="61">
        <v>4.8</v>
      </c>
      <c r="Q63" s="61">
        <v>23</v>
      </c>
      <c r="R63" s="58">
        <f t="shared" si="19"/>
        <v>479.1666666666667</v>
      </c>
      <c r="S63" s="61"/>
      <c r="T63" s="61">
        <f>2.4+10.1</f>
        <v>12.5</v>
      </c>
      <c r="U63" s="58" t="e">
        <f t="shared" si="20"/>
        <v>#DIV/0!</v>
      </c>
      <c r="V63" s="61"/>
      <c r="W63" s="61">
        <v>-1.4</v>
      </c>
      <c r="X63" s="58" t="e">
        <f t="shared" si="50"/>
        <v>#DIV/0!</v>
      </c>
      <c r="Y63" s="62">
        <f t="shared" si="43"/>
        <v>4.8</v>
      </c>
      <c r="Z63" s="62">
        <f t="shared" si="44"/>
        <v>34.1</v>
      </c>
      <c r="AA63" s="58">
        <f t="shared" si="12"/>
        <v>710.4166666666667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76.1</v>
      </c>
      <c r="AU63" s="94">
        <f t="shared" si="23"/>
        <v>110.30000000000001</v>
      </c>
      <c r="AV63" s="58">
        <f t="shared" si="17"/>
        <v>144.94086727989492</v>
      </c>
      <c r="AW63" s="62">
        <f t="shared" si="22"/>
        <v>-34.20000000000002</v>
      </c>
      <c r="AX63" s="63">
        <f t="shared" si="45"/>
        <v>1.59999999999998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548.8</v>
      </c>
      <c r="D67" s="61">
        <v>1169.3</v>
      </c>
      <c r="E67" s="61">
        <v>258.8</v>
      </c>
      <c r="F67" s="59">
        <f t="shared" si="57"/>
        <v>22.132900025656376</v>
      </c>
      <c r="G67" s="61">
        <v>900.3</v>
      </c>
      <c r="H67" s="61">
        <v>627.7</v>
      </c>
      <c r="I67" s="59">
        <f t="shared" si="58"/>
        <v>69.72120404309675</v>
      </c>
      <c r="J67" s="61">
        <v>770.3</v>
      </c>
      <c r="K67" s="61">
        <v>1535.9</v>
      </c>
      <c r="L67" s="58">
        <f t="shared" si="49"/>
        <v>199.38984811112556</v>
      </c>
      <c r="M67" s="62">
        <f t="shared" si="41"/>
        <v>2839.8999999999996</v>
      </c>
      <c r="N67" s="62">
        <f t="shared" si="42"/>
        <v>2422.4</v>
      </c>
      <c r="O67" s="58">
        <f t="shared" si="7"/>
        <v>85.29877812599037</v>
      </c>
      <c r="P67" s="61">
        <v>464</v>
      </c>
      <c r="Q67" s="61">
        <v>682.3</v>
      </c>
      <c r="R67" s="58">
        <f t="shared" si="19"/>
        <v>147.04741379310343</v>
      </c>
      <c r="S67" s="61">
        <v>181.7</v>
      </c>
      <c r="T67" s="61">
        <v>640</v>
      </c>
      <c r="U67" s="58">
        <f t="shared" si="20"/>
        <v>352.2289488167309</v>
      </c>
      <c r="V67" s="61">
        <v>69</v>
      </c>
      <c r="W67" s="61">
        <v>171</v>
      </c>
      <c r="X67" s="58">
        <f t="shared" si="50"/>
        <v>247.82608695652172</v>
      </c>
      <c r="Y67" s="62">
        <f t="shared" si="43"/>
        <v>714.7</v>
      </c>
      <c r="Z67" s="62">
        <f t="shared" si="44"/>
        <v>1493.3</v>
      </c>
      <c r="AA67" s="58">
        <f t="shared" si="12"/>
        <v>208.94081432768994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3554.5999999999995</v>
      </c>
      <c r="AU67" s="94">
        <f t="shared" si="23"/>
        <v>3915.7</v>
      </c>
      <c r="AV67" s="58">
        <f t="shared" si="17"/>
        <v>110.15866764192879</v>
      </c>
      <c r="AW67" s="62">
        <f t="shared" si="22"/>
        <v>-361.10000000000036</v>
      </c>
      <c r="AX67" s="63">
        <f t="shared" si="45"/>
        <v>187.69999999999982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15+76</f>
        <v>91</v>
      </c>
      <c r="D69" s="61">
        <v>76.3</v>
      </c>
      <c r="E69" s="61">
        <v>76</v>
      </c>
      <c r="F69" s="59">
        <f t="shared" si="57"/>
        <v>99.60681520314549</v>
      </c>
      <c r="G69" s="61">
        <v>75.4</v>
      </c>
      <c r="H69" s="61">
        <v>76.3</v>
      </c>
      <c r="I69" s="59">
        <f t="shared" si="58"/>
        <v>101.19363395225463</v>
      </c>
      <c r="J69" s="61">
        <v>81.5</v>
      </c>
      <c r="K69" s="61">
        <v>81.5</v>
      </c>
      <c r="L69" s="58">
        <f t="shared" si="49"/>
        <v>100</v>
      </c>
      <c r="M69" s="62">
        <f t="shared" si="41"/>
        <v>233.2</v>
      </c>
      <c r="N69" s="62">
        <f t="shared" si="42"/>
        <v>233.8</v>
      </c>
      <c r="O69" s="58">
        <f t="shared" si="7"/>
        <v>100.25728987993139</v>
      </c>
      <c r="P69" s="61">
        <v>0</v>
      </c>
      <c r="Q69" s="61">
        <v>74.7</v>
      </c>
      <c r="R69" s="58" t="e">
        <f t="shared" si="19"/>
        <v>#DIV/0!</v>
      </c>
      <c r="S69" s="61"/>
      <c r="T69" s="61">
        <v>0.7</v>
      </c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75.4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233.2</v>
      </c>
      <c r="AU69" s="94">
        <f t="shared" si="23"/>
        <v>309.20000000000005</v>
      </c>
      <c r="AV69" s="58">
        <f t="shared" si="17"/>
        <v>132.59005145797602</v>
      </c>
      <c r="AW69" s="62">
        <f t="shared" si="22"/>
        <v>-76.00000000000006</v>
      </c>
      <c r="AX69" s="63">
        <f t="shared" si="45"/>
        <v>14.999999999999943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143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752.8</v>
      </c>
      <c r="D71" s="61">
        <v>768</v>
      </c>
      <c r="E71" s="61">
        <v>598.7</v>
      </c>
      <c r="F71" s="59">
        <f t="shared" si="57"/>
        <v>77.95572916666667</v>
      </c>
      <c r="G71" s="61">
        <f>768.9</f>
        <v>768.9</v>
      </c>
      <c r="H71" s="61">
        <f>709.1</f>
        <v>709.1</v>
      </c>
      <c r="I71" s="59">
        <f t="shared" si="58"/>
        <v>92.22265574196905</v>
      </c>
      <c r="J71" s="61">
        <v>597.4</v>
      </c>
      <c r="K71" s="61">
        <v>708</v>
      </c>
      <c r="L71" s="58">
        <f t="shared" si="49"/>
        <v>118.51355875460328</v>
      </c>
      <c r="M71" s="62">
        <f t="shared" si="41"/>
        <v>2134.3</v>
      </c>
      <c r="N71" s="62">
        <f t="shared" si="42"/>
        <v>2015.8000000000002</v>
      </c>
      <c r="O71" s="58">
        <f t="shared" si="7"/>
        <v>94.44782832778897</v>
      </c>
      <c r="P71" s="61">
        <v>94.8</v>
      </c>
      <c r="Q71" s="61">
        <v>522.2</v>
      </c>
      <c r="R71" s="58">
        <f t="shared" si="19"/>
        <v>550.8438818565401</v>
      </c>
      <c r="S71" s="61"/>
      <c r="T71" s="61">
        <v>145.4</v>
      </c>
      <c r="U71" s="58" t="e">
        <f t="shared" si="20"/>
        <v>#DIV/0!</v>
      </c>
      <c r="V71" s="61"/>
      <c r="W71" s="61">
        <v>100</v>
      </c>
      <c r="X71" s="58" t="e">
        <f t="shared" si="50"/>
        <v>#DIV/0!</v>
      </c>
      <c r="Y71" s="62">
        <f t="shared" si="43"/>
        <v>94.8</v>
      </c>
      <c r="Z71" s="62">
        <f t="shared" si="44"/>
        <v>767.6</v>
      </c>
      <c r="AA71" s="58">
        <f t="shared" si="12"/>
        <v>809.704641350211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2229.1000000000004</v>
      </c>
      <c r="AU71" s="94">
        <f t="shared" si="23"/>
        <v>2783.4</v>
      </c>
      <c r="AV71" s="58">
        <f t="shared" si="17"/>
        <v>124.86653806468976</v>
      </c>
      <c r="AW71" s="62">
        <f t="shared" si="22"/>
        <v>-554.2999999999997</v>
      </c>
      <c r="AX71" s="63">
        <f t="shared" si="45"/>
        <v>198.50000000000045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179962.4</v>
      </c>
      <c r="D72" s="75">
        <f>SUM(D73:D75)</f>
        <v>86016</v>
      </c>
      <c r="E72" s="75">
        <f>SUM(E73:E75)</f>
        <v>49345.6</v>
      </c>
      <c r="F72" s="59">
        <f>E72/D72*100</f>
        <v>57.367931547619044</v>
      </c>
      <c r="G72" s="75">
        <f>SUM(G73:G75)</f>
        <v>86767.7</v>
      </c>
      <c r="H72" s="75">
        <f>SUM(H73:H75)</f>
        <v>68767</v>
      </c>
      <c r="I72" s="59">
        <f t="shared" si="58"/>
        <v>79.25414641623554</v>
      </c>
      <c r="J72" s="75">
        <f>SUM(J73:J75)</f>
        <v>78721.3</v>
      </c>
      <c r="K72" s="75">
        <f>SUM(K73:K75)</f>
        <v>59578</v>
      </c>
      <c r="L72" s="58">
        <f t="shared" si="49"/>
        <v>75.68218512651595</v>
      </c>
      <c r="M72" s="58">
        <f t="shared" si="41"/>
        <v>251505</v>
      </c>
      <c r="N72" s="58">
        <f t="shared" si="42"/>
        <v>177690.6</v>
      </c>
      <c r="O72" s="58">
        <f t="shared" si="7"/>
        <v>70.65092145285382</v>
      </c>
      <c r="P72" s="75">
        <f aca="true" t="shared" si="59" ref="P72:W72">SUM(P73:P75)</f>
        <v>36888.4</v>
      </c>
      <c r="Q72" s="75">
        <f t="shared" si="59"/>
        <v>53824.3</v>
      </c>
      <c r="R72" s="75">
        <f t="shared" si="59"/>
        <v>449.805652792101</v>
      </c>
      <c r="S72" s="75">
        <f t="shared" si="59"/>
        <v>11633.800000000001</v>
      </c>
      <c r="T72" s="75">
        <f t="shared" si="59"/>
        <v>37353.2</v>
      </c>
      <c r="U72" s="75">
        <f t="shared" si="59"/>
        <v>2260.728347224229</v>
      </c>
      <c r="V72" s="75">
        <f t="shared" si="59"/>
        <v>14126.6</v>
      </c>
      <c r="W72" s="75">
        <f t="shared" si="59"/>
        <v>28957</v>
      </c>
      <c r="X72" s="58">
        <f t="shared" si="50"/>
        <v>204.9820905242592</v>
      </c>
      <c r="Y72" s="58">
        <f t="shared" si="43"/>
        <v>62648.8</v>
      </c>
      <c r="Z72" s="58">
        <f t="shared" si="44"/>
        <v>120134.5</v>
      </c>
      <c r="AA72" s="58">
        <f t="shared" si="12"/>
        <v>191.75866097993895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314153.8</v>
      </c>
      <c r="AU72" s="57">
        <f t="shared" si="23"/>
        <v>297825.1</v>
      </c>
      <c r="AV72" s="58">
        <f t="shared" si="17"/>
        <v>94.80232293863706</v>
      </c>
      <c r="AW72" s="79">
        <f>SUM(AW73:AW75)</f>
        <v>16328.699999999997</v>
      </c>
      <c r="AX72" s="79">
        <f>SUM(AX73:AX75)</f>
        <v>196291.1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176942</v>
      </c>
      <c r="D73" s="61">
        <v>76877</v>
      </c>
      <c r="E73" s="61">
        <v>38636</v>
      </c>
      <c r="F73" s="59">
        <f>E73/D73*100</f>
        <v>50.25690388542737</v>
      </c>
      <c r="G73" s="61">
        <v>75744</v>
      </c>
      <c r="H73" s="61">
        <v>59542</v>
      </c>
      <c r="I73" s="59">
        <f>H73/G73*100</f>
        <v>78.60952682720743</v>
      </c>
      <c r="J73" s="61">
        <v>66699</v>
      </c>
      <c r="K73" s="61">
        <v>48548</v>
      </c>
      <c r="L73" s="58">
        <f t="shared" si="49"/>
        <v>72.78669845125114</v>
      </c>
      <c r="M73" s="62">
        <f t="shared" si="41"/>
        <v>219320</v>
      </c>
      <c r="N73" s="62">
        <f t="shared" si="42"/>
        <v>146726</v>
      </c>
      <c r="O73" s="58">
        <f t="shared" si="7"/>
        <v>66.90041947838775</v>
      </c>
      <c r="P73" s="61">
        <v>25975</v>
      </c>
      <c r="Q73" s="61">
        <v>41471</v>
      </c>
      <c r="R73" s="58">
        <f t="shared" si="19"/>
        <v>159.65736284889317</v>
      </c>
      <c r="S73" s="61">
        <v>1474</v>
      </c>
      <c r="T73" s="61">
        <v>23454</v>
      </c>
      <c r="U73" s="58">
        <f t="shared" si="20"/>
        <v>1591.180461329715</v>
      </c>
      <c r="V73" s="61">
        <v>2427</v>
      </c>
      <c r="W73" s="61">
        <v>16509</v>
      </c>
      <c r="X73" s="58">
        <f>W73/V73*100</f>
        <v>680.2224969097651</v>
      </c>
      <c r="Y73" s="62">
        <f t="shared" si="43"/>
        <v>29876</v>
      </c>
      <c r="Z73" s="62">
        <f t="shared" si="44"/>
        <v>81434</v>
      </c>
      <c r="AA73" s="58">
        <f t="shared" si="12"/>
        <v>272.5733029856741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249196</v>
      </c>
      <c r="AU73" s="94">
        <f t="shared" si="23"/>
        <v>228160</v>
      </c>
      <c r="AV73" s="58">
        <f t="shared" si="17"/>
        <v>91.55845198157274</v>
      </c>
      <c r="AW73" s="62">
        <f>AT73-AU73</f>
        <v>21036</v>
      </c>
      <c r="AX73" s="63">
        <f>C73+AT73-AU73</f>
        <v>197978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1788.4</v>
      </c>
      <c r="D74" s="61">
        <v>1461.9</v>
      </c>
      <c r="E74" s="61">
        <v>904.6</v>
      </c>
      <c r="F74" s="59">
        <f>E74/D74*100</f>
        <v>61.878377453998226</v>
      </c>
      <c r="G74" s="61">
        <v>1542.4</v>
      </c>
      <c r="H74" s="61">
        <v>953.8</v>
      </c>
      <c r="I74" s="59">
        <f>H74/G74*100</f>
        <v>61.83869294605808</v>
      </c>
      <c r="J74" s="61">
        <v>1202.2</v>
      </c>
      <c r="K74" s="61">
        <v>1050.4</v>
      </c>
      <c r="L74" s="58">
        <f t="shared" si="49"/>
        <v>87.37314922641824</v>
      </c>
      <c r="M74" s="62">
        <f t="shared" si="41"/>
        <v>4206.5</v>
      </c>
      <c r="N74" s="62">
        <f t="shared" si="42"/>
        <v>2908.8</v>
      </c>
      <c r="O74" s="58">
        <f t="shared" si="7"/>
        <v>69.15012480684655</v>
      </c>
      <c r="P74" s="61">
        <v>843.3</v>
      </c>
      <c r="Q74" s="61">
        <v>1541.4</v>
      </c>
      <c r="R74" s="58">
        <f t="shared" si="19"/>
        <v>182.7819281394522</v>
      </c>
      <c r="S74" s="61">
        <v>116.6</v>
      </c>
      <c r="T74" s="61">
        <v>626.6</v>
      </c>
      <c r="U74" s="58">
        <f t="shared" si="20"/>
        <v>537.3927958833619</v>
      </c>
      <c r="V74" s="61">
        <v>139.9</v>
      </c>
      <c r="W74" s="61">
        <v>44.4</v>
      </c>
      <c r="X74" s="58">
        <f>W74/V74*100</f>
        <v>31.736954967834162</v>
      </c>
      <c r="Y74" s="62">
        <f t="shared" si="43"/>
        <v>1099.8</v>
      </c>
      <c r="Z74" s="62">
        <f t="shared" si="44"/>
        <v>2212.4</v>
      </c>
      <c r="AA74" s="58">
        <f>Z74/Y74*100</f>
        <v>201.1638479723586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5306.3</v>
      </c>
      <c r="AU74" s="94">
        <f t="shared" si="23"/>
        <v>5121.200000000001</v>
      </c>
      <c r="AV74" s="58">
        <f t="shared" si="17"/>
        <v>96.51169364717413</v>
      </c>
      <c r="AW74" s="62">
        <f>AT74-AU74</f>
        <v>185.09999999999945</v>
      </c>
      <c r="AX74" s="63">
        <f>C74+AT74-AU74</f>
        <v>1973.5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1232</v>
      </c>
      <c r="D75" s="61">
        <v>7677.1</v>
      </c>
      <c r="E75" s="61">
        <v>9805</v>
      </c>
      <c r="F75" s="59">
        <f>E75/D75*100</f>
        <v>127.71749749254275</v>
      </c>
      <c r="G75" s="61">
        <v>9481.3</v>
      </c>
      <c r="H75" s="61">
        <v>8271.2</v>
      </c>
      <c r="I75" s="59">
        <f>H75/G75*100</f>
        <v>87.23698227036378</v>
      </c>
      <c r="J75" s="61">
        <v>10820.1</v>
      </c>
      <c r="K75" s="61">
        <v>9979.6</v>
      </c>
      <c r="L75" s="58">
        <f t="shared" si="49"/>
        <v>92.23204961137142</v>
      </c>
      <c r="M75" s="62">
        <f t="shared" si="41"/>
        <v>27978.5</v>
      </c>
      <c r="N75" s="62">
        <f t="shared" si="42"/>
        <v>28055.800000000003</v>
      </c>
      <c r="O75" s="58">
        <f t="shared" si="7"/>
        <v>100.27628357488787</v>
      </c>
      <c r="P75" s="61">
        <v>10070.1</v>
      </c>
      <c r="Q75" s="61">
        <v>10811.9</v>
      </c>
      <c r="R75" s="58">
        <f t="shared" si="19"/>
        <v>107.36636180375567</v>
      </c>
      <c r="S75" s="61">
        <v>10043.2</v>
      </c>
      <c r="T75" s="61">
        <v>13272.6</v>
      </c>
      <c r="U75" s="58">
        <f t="shared" si="20"/>
        <v>132.15509001115183</v>
      </c>
      <c r="V75" s="61">
        <v>11559.7</v>
      </c>
      <c r="W75" s="61">
        <v>12403.6</v>
      </c>
      <c r="X75" s="58">
        <f>W75/V75*100</f>
        <v>107.30036246615396</v>
      </c>
      <c r="Y75" s="62">
        <f t="shared" si="43"/>
        <v>31673.000000000004</v>
      </c>
      <c r="Z75" s="62">
        <f t="shared" si="44"/>
        <v>36488.1</v>
      </c>
      <c r="AA75" s="58">
        <f>Z75/Y75*100</f>
        <v>115.20253843968047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59651.5</v>
      </c>
      <c r="AU75" s="94">
        <f t="shared" si="23"/>
        <v>64543.9</v>
      </c>
      <c r="AV75" s="58">
        <f t="shared" si="17"/>
        <v>108.2016378464917</v>
      </c>
      <c r="AW75" s="62">
        <f t="shared" si="22"/>
        <v>-4892.4000000000015</v>
      </c>
      <c r="AX75" s="63">
        <f>C75+AT75-AU75</f>
        <v>-3660.4000000000015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188385.3</v>
      </c>
      <c r="D76" s="79">
        <f>D72+D7</f>
        <v>93787.4</v>
      </c>
      <c r="E76" s="79">
        <f>E72+E7</f>
        <v>54606</v>
      </c>
      <c r="F76" s="59">
        <f>E76/D76*100</f>
        <v>58.22317283558346</v>
      </c>
      <c r="G76" s="79">
        <f>G72+G7</f>
        <v>94221.7</v>
      </c>
      <c r="H76" s="79">
        <f>H72+H7</f>
        <v>75113.90000000001</v>
      </c>
      <c r="I76" s="59">
        <f>H76/G76*100</f>
        <v>79.7203828841976</v>
      </c>
      <c r="J76" s="79">
        <f>J72+J7</f>
        <v>84737</v>
      </c>
      <c r="K76" s="79">
        <f>K72+K7</f>
        <v>66883.6</v>
      </c>
      <c r="L76" s="58">
        <f t="shared" si="49"/>
        <v>78.9308094456967</v>
      </c>
      <c r="M76" s="79">
        <f>M72+M7</f>
        <v>272746.1</v>
      </c>
      <c r="N76" s="79">
        <f>N72+N7</f>
        <v>196603.5</v>
      </c>
      <c r="O76" s="58">
        <f t="shared" si="7"/>
        <v>72.08297387203703</v>
      </c>
      <c r="P76" s="79">
        <f>P72+P7</f>
        <v>38177.700000000004</v>
      </c>
      <c r="Q76" s="79">
        <f>Q72+Q7</f>
        <v>58965.6</v>
      </c>
      <c r="R76" s="58">
        <f t="shared" si="19"/>
        <v>154.45037286164433</v>
      </c>
      <c r="S76" s="79">
        <f>S72+S7</f>
        <v>11815.500000000002</v>
      </c>
      <c r="T76" s="79">
        <f>T72+T7</f>
        <v>39295.399999999994</v>
      </c>
      <c r="U76" s="58">
        <f t="shared" si="20"/>
        <v>332.57500740552655</v>
      </c>
      <c r="V76" s="79">
        <f>V72+V7</f>
        <v>14196.4</v>
      </c>
      <c r="W76" s="79">
        <f>W72+W7</f>
        <v>30007.1</v>
      </c>
      <c r="X76" s="58">
        <f>W76/V76*100</f>
        <v>211.37119269674</v>
      </c>
      <c r="Y76" s="79">
        <f>Y72+Y7</f>
        <v>64189.600000000006</v>
      </c>
      <c r="Z76" s="79">
        <f>Z72+Z7</f>
        <v>128268.1</v>
      </c>
      <c r="AA76" s="58">
        <f>Z76/Y76*100</f>
        <v>199.8269190024552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336935.69999999995</v>
      </c>
      <c r="AU76" s="57">
        <f t="shared" si="23"/>
        <v>324871.6</v>
      </c>
      <c r="AV76" s="58">
        <f>AU76/AT76*100</f>
        <v>96.41946519766235</v>
      </c>
      <c r="AW76" s="79">
        <f>AW72+AW7</f>
        <v>12064.099999999999</v>
      </c>
      <c r="AX76" s="79">
        <f>AX72+AX7</f>
        <v>200449.4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28" t="s">
        <v>46</v>
      </c>
      <c r="B77" s="128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A77:B77"/>
    <mergeCell ref="AH5:AJ5"/>
    <mergeCell ref="V5:X5"/>
    <mergeCell ref="AB5:AD5"/>
    <mergeCell ref="Y5:AA5"/>
    <mergeCell ref="AP5:AQ5"/>
    <mergeCell ref="AR5:AS5"/>
    <mergeCell ref="AN5:AO5"/>
    <mergeCell ref="J5:L5"/>
    <mergeCell ref="M5:O5"/>
    <mergeCell ref="AX5:AX6"/>
    <mergeCell ref="S5:U5"/>
    <mergeCell ref="I1:AX1"/>
    <mergeCell ref="B4:F4"/>
    <mergeCell ref="D5:F5"/>
    <mergeCell ref="AK5:AM5"/>
    <mergeCell ref="G5:I5"/>
    <mergeCell ref="B2:AX3"/>
    <mergeCell ref="AE5:AG5"/>
    <mergeCell ref="P5:R5"/>
    <mergeCell ref="AW5:AW6"/>
    <mergeCell ref="AT5:AV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2021-07-21T09:58:24Z</cp:lastPrinted>
  <dcterms:created xsi:type="dcterms:W3CDTF">2001-09-14T09:33:50Z</dcterms:created>
  <dcterms:modified xsi:type="dcterms:W3CDTF">2021-07-23T05:54:45Z</dcterms:modified>
  <cp:category/>
  <cp:version/>
  <cp:contentType/>
  <cp:contentStatus/>
</cp:coreProperties>
</file>