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1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'всього'!$B$1:$AX$45</definedName>
    <definedName name="_xlnm.Print_Area" localSheetId="4">'держ.бюджет'!$A$1:$AX$45</definedName>
    <definedName name="_xlnm.Print_Area" localSheetId="7">'інші'!$A$1:$AX$45</definedName>
    <definedName name="_xlnm.Print_Area" localSheetId="5">'місц.-районн.бюджет'!$A$1:$AX$45</definedName>
    <definedName name="_xlnm.Print_Area" localSheetId="1">'насел.'!$A$1:$AX$45</definedName>
    <definedName name="_xlnm.Print_Area" localSheetId="6">'областной'!$A$1:$AX$45</definedName>
    <definedName name="_xlnm.Print_Area" localSheetId="2">'пільги'!$A$1:$AW$45</definedName>
    <definedName name="_xlnm.Print_Area" localSheetId="3">'субсидії'!$A$1:$AX$45</definedName>
  </definedNames>
  <calcPr fullCalcOnLoad="1"/>
</workbook>
</file>

<file path=xl/sharedStrings.xml><?xml version="1.0" encoding="utf-8"?>
<sst xmlns="http://schemas.openxmlformats.org/spreadsheetml/2006/main" count="1168" uniqueCount="125">
  <si>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</si>
  <si>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</si>
  <si>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</si>
  <si>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</si>
  <si>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</si>
  <si>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</si>
  <si>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</si>
  <si>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</si>
  <si>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</si>
  <si>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</si>
  <si>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</si>
  <si>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</si>
  <si>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</si>
  <si>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</si>
  <si>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</si>
  <si>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</si>
  <si>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</si>
  <si>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</si>
  <si>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</si>
  <si>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</si>
  <si>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</si>
  <si>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</si>
  <si>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</si>
  <si>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</si>
  <si>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</si>
  <si>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</si>
  <si>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</si>
  <si>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</si>
  <si>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</si>
  <si>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</si>
  <si>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</si>
  <si>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</si>
  <si>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</si>
  <si>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</si>
  <si>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</si>
  <si>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</si>
  <si>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</si>
  <si>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</si>
  <si>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</si>
  <si>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</si>
  <si>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</si>
  <si>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</si>
  <si>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</si>
  <si>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</si>
  <si>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</si>
  <si>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</si>
  <si>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</si>
  <si>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</si>
  <si>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</si>
  <si>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</si>
  <si>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</si>
  <si>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</si>
  <si>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</si>
  <si>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</si>
  <si>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</si>
  <si>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</si>
  <si>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</si>
  <si>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</si>
  <si>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</si>
  <si>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</si>
  <si>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</si>
  <si>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</si>
  <si>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</si>
  <si>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</si>
  <si>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</si>
  <si>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</si>
  <si>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</si>
  <si>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</si>
  <si>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</si>
  <si>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</si>
  <si>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</si>
  <si>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</si>
  <si>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</si>
  <si>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</si>
  <si>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</si>
  <si>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</si>
  <si>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</si>
  <si>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начислено</t>
  </si>
  <si>
    <t xml:space="preserve">Задолженность за 2018 год по состоянию на 01.03.2018 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</si>
  <si>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</si>
  <si>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</si>
  <si>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</si>
  <si>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</si>
  <si>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</si>
  <si>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</si>
  <si>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</si>
  <si>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</si>
  <si>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</si>
  <si>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</si>
  <si>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</si>
  <si>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</si>
  <si>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</si>
  <si>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</si>
  <si>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</si>
  <si>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</si>
  <si>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</si>
  <si>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</si>
  <si>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</si>
  <si>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</si>
  <si>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</si>
  <si>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</si>
  <si>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</si>
  <si>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</si>
  <si>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</si>
  <si>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</si>
  <si>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</si>
  <si>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</si>
  <si>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</si>
  <si>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</si>
  <si>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</si>
  <si>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</si>
  <si>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з початку 2020 року</t>
  </si>
  <si>
    <t>на 01.01.2020</t>
  </si>
  <si>
    <t>1 квартал 2020</t>
  </si>
  <si>
    <t>p</t>
  </si>
  <si>
    <t>Інформація щодо заборгованості споживачів за послуги з водопостачання та водовідведення станом на 01.07.2020</t>
  </si>
  <si>
    <t>Інформація щодо заборгованості населення за послуги з водопостачання та водовідведення станом на 01.07.2020</t>
  </si>
  <si>
    <t>Відшкодування пільг за надані послуги з водопостачання та водовідведення станом на 01.07.2020</t>
  </si>
  <si>
    <t>Відшкодування субсидій за надані послуги з водопостачання та водовідведення станом на 01.07.2020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</si>
  <si>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01.07.2020</t>
  </si>
  <si>
    <t>Інформація щодо заборгованості установ, які фінансуються з місцевого бюджету, за послуги з водопостачання та водовідведення станом на 01.07.2020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</si>
  <si>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01.07.2020</t>
  </si>
  <si>
    <t>Інформація щодо заборгованості інших споживачів за послуги водопостачання та водовідведення станом на 01.07.2020</t>
  </si>
  <si>
    <t>Заборгованість за 2020 рік станом на 01.07.2020</t>
  </si>
  <si>
    <t>Загальна заборгованість станом на 01.07.2020 (з урахуванням боргів минулих років)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</si>
</sst>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9"/>
      <name val="Times New Roman Cyr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14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196" fontId="66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7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200" fontId="68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 wrapText="1"/>
    </xf>
    <xf numFmtId="0" fontId="17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0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 wrapText="1"/>
    </xf>
    <xf numFmtId="200" fontId="71" fillId="0" borderId="14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/>
    </xf>
    <xf numFmtId="0" fontId="70" fillId="0" borderId="14" xfId="0" applyFont="1" applyFill="1" applyBorder="1" applyAlignment="1">
      <alignment horizontal="center"/>
    </xf>
    <xf numFmtId="200" fontId="73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8" fillId="0" borderId="0" xfId="0" applyFont="1" applyFill="1" applyAlignment="1">
      <alignment/>
    </xf>
    <xf numFmtId="0" fontId="68" fillId="0" borderId="14" xfId="0" applyFont="1" applyFill="1" applyBorder="1" applyAlignment="1">
      <alignment horizontal="center"/>
    </xf>
    <xf numFmtId="200" fontId="68" fillId="0" borderId="0" xfId="0" applyNumberFormat="1" applyFont="1" applyFill="1" applyBorder="1" applyAlignment="1">
      <alignment wrapText="1"/>
    </xf>
    <xf numFmtId="0" fontId="68" fillId="0" borderId="0" xfId="0" applyFont="1" applyFill="1" applyAlignment="1">
      <alignment wrapText="1"/>
    </xf>
    <xf numFmtId="200" fontId="10" fillId="0" borderId="11" xfId="0" applyNumberFormat="1" applyFont="1" applyFill="1" applyBorder="1" applyAlignment="1">
      <alignment/>
    </xf>
    <xf numFmtId="200" fontId="66" fillId="0" borderId="11" xfId="0" applyNumberFormat="1" applyFont="1" applyFill="1" applyBorder="1" applyAlignment="1">
      <alignment/>
    </xf>
    <xf numFmtId="200" fontId="66" fillId="0" borderId="10" xfId="0" applyNumberFormat="1" applyFont="1" applyFill="1" applyBorder="1" applyAlignment="1">
      <alignment/>
    </xf>
    <xf numFmtId="200" fontId="66" fillId="0" borderId="10" xfId="0" applyNumberFormat="1" applyFont="1" applyFill="1" applyBorder="1" applyAlignment="1">
      <alignment wrapText="1"/>
    </xf>
    <xf numFmtId="200" fontId="67" fillId="0" borderId="10" xfId="0" applyNumberFormat="1" applyFont="1" applyFill="1" applyBorder="1" applyAlignment="1">
      <alignment/>
    </xf>
    <xf numFmtId="200" fontId="73" fillId="0" borderId="0" xfId="0" applyNumberFormat="1" applyFont="1" applyFill="1" applyBorder="1" applyAlignment="1">
      <alignment/>
    </xf>
    <xf numFmtId="200" fontId="73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200" fontId="74" fillId="0" borderId="0" xfId="0" applyNumberFormat="1" applyFont="1" applyFill="1" applyBorder="1" applyAlignment="1">
      <alignment wrapText="1"/>
    </xf>
    <xf numFmtId="200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196" fontId="74" fillId="0" borderId="0" xfId="0" applyNumberFormat="1" applyFont="1" applyFill="1" applyAlignment="1">
      <alignment/>
    </xf>
    <xf numFmtId="200" fontId="75" fillId="0" borderId="0" xfId="0" applyNumberFormat="1" applyFont="1" applyFill="1" applyBorder="1" applyAlignment="1">
      <alignment horizontal="center" vertical="center" wrapText="1"/>
    </xf>
    <xf numFmtId="200" fontId="74" fillId="0" borderId="13" xfId="0" applyNumberFormat="1" applyFont="1" applyFill="1" applyBorder="1" applyAlignment="1">
      <alignment/>
    </xf>
    <xf numFmtId="200" fontId="74" fillId="0" borderId="10" xfId="0" applyNumberFormat="1" applyFont="1" applyFill="1" applyBorder="1" applyAlignment="1">
      <alignment/>
    </xf>
    <xf numFmtId="200" fontId="74" fillId="0" borderId="10" xfId="0" applyNumberFormat="1" applyFont="1" applyFill="1" applyBorder="1" applyAlignment="1">
      <alignment wrapText="1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76" fillId="0" borderId="10" xfId="0" applyFont="1" applyFill="1" applyBorder="1" applyAlignment="1">
      <alignment/>
    </xf>
    <xf numFmtId="200" fontId="4" fillId="0" borderId="0" xfId="0" applyNumberFormat="1" applyFont="1" applyFill="1" applyAlignment="1">
      <alignment/>
    </xf>
    <xf numFmtId="200" fontId="67" fillId="33" borderId="10" xfId="0" applyNumberFormat="1" applyFont="1" applyFill="1" applyBorder="1" applyAlignment="1">
      <alignment wrapText="1"/>
    </xf>
    <xf numFmtId="200" fontId="67" fillId="0" borderId="11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200" fontId="10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wrapText="1"/>
    </xf>
    <xf numFmtId="20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00" fontId="71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49" fontId="7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wrapText="1"/>
    </xf>
    <xf numFmtId="0" fontId="74" fillId="33" borderId="0" xfId="0" applyFont="1" applyFill="1" applyAlignment="1">
      <alignment/>
    </xf>
    <xf numFmtId="200" fontId="3" fillId="33" borderId="10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 wrapText="1"/>
    </xf>
    <xf numFmtId="200" fontId="77" fillId="33" borderId="10" xfId="0" applyNumberFormat="1" applyFont="1" applyFill="1" applyBorder="1" applyAlignment="1">
      <alignment/>
    </xf>
    <xf numFmtId="200" fontId="77" fillId="33" borderId="10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74" fillId="33" borderId="10" xfId="0" applyFont="1" applyFill="1" applyBorder="1" applyAlignment="1">
      <alignment wrapText="1"/>
    </xf>
    <xf numFmtId="200" fontId="10" fillId="33" borderId="13" xfId="0" applyNumberFormat="1" applyFont="1" applyFill="1" applyBorder="1" applyAlignment="1">
      <alignment wrapText="1"/>
    </xf>
    <xf numFmtId="200" fontId="67" fillId="33" borderId="10" xfId="0" applyNumberFormat="1" applyFont="1" applyFill="1" applyBorder="1" applyAlignment="1">
      <alignment/>
    </xf>
    <xf numFmtId="200" fontId="67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78" fillId="33" borderId="16" xfId="0" applyFont="1" applyFill="1" applyBorder="1" applyAlignment="1">
      <alignment vertical="center"/>
    </xf>
    <xf numFmtId="0" fontId="79" fillId="33" borderId="16" xfId="0" applyFont="1" applyFill="1" applyBorder="1" applyAlignment="1">
      <alignment vertical="center"/>
    </xf>
    <xf numFmtId="1" fontId="74" fillId="33" borderId="0" xfId="0" applyNumberFormat="1" applyFont="1" applyFill="1" applyAlignment="1">
      <alignment/>
    </xf>
    <xf numFmtId="200" fontId="74" fillId="33" borderId="0" xfId="0" applyNumberFormat="1" applyFont="1" applyFill="1" applyAlignment="1">
      <alignment/>
    </xf>
    <xf numFmtId="200" fontId="73" fillId="33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2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left" wrapText="1"/>
    </xf>
    <xf numFmtId="200" fontId="6" fillId="33" borderId="16" xfId="0" applyNumberFormat="1" applyFont="1" applyFill="1" applyBorder="1" applyAlignment="1">
      <alignment horizontal="left" wrapText="1"/>
    </xf>
    <xf numFmtId="200" fontId="5" fillId="33" borderId="16" xfId="0" applyNumberFormat="1" applyFont="1" applyFill="1" applyBorder="1" applyAlignment="1">
      <alignment horizontal="left" wrapText="1"/>
    </xf>
    <xf numFmtId="200" fontId="3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00" fontId="14" fillId="33" borderId="0" xfId="0" applyNumberFormat="1" applyFont="1" applyFill="1" applyBorder="1" applyAlignment="1">
      <alignment/>
    </xf>
    <xf numFmtId="196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96" fontId="66" fillId="33" borderId="0" xfId="0" applyNumberFormat="1" applyFont="1" applyFill="1" applyAlignment="1">
      <alignment/>
    </xf>
    <xf numFmtId="196" fontId="67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right" vertical="center" wrapText="1"/>
    </xf>
    <xf numFmtId="0" fontId="67" fillId="33" borderId="0" xfId="0" applyFont="1" applyFill="1" applyAlignment="1">
      <alignment horizontal="right" wrapText="1"/>
    </xf>
    <xf numFmtId="0" fontId="66" fillId="33" borderId="0" xfId="0" applyFont="1" applyFill="1" applyBorder="1" applyAlignment="1">
      <alignment/>
    </xf>
    <xf numFmtId="0" fontId="66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80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center" wrapText="1"/>
    </xf>
    <xf numFmtId="0" fontId="74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8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2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wrapText="1"/>
    </xf>
    <xf numFmtId="0" fontId="20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5"/>
  <sheetViews>
    <sheetView view="pageBreakPreview" zoomScale="60" zoomScaleNormal="50" zoomScalePageLayoutView="0" workbookViewId="0" topLeftCell="B3">
      <pane xSplit="6" ySplit="4" topLeftCell="N31" activePane="bottomRight" state="frozen"/>
      <selection pane="topLeft" activeCell="B3" sqref="B3"/>
      <selection pane="topRight" activeCell="H3" sqref="H3"/>
      <selection pane="bottomLeft" activeCell="B7" sqref="B7"/>
      <selection pane="bottomRight" activeCell="V34" sqref="V34"/>
    </sheetView>
  </sheetViews>
  <sheetFormatPr defaultColWidth="6.75390625" defaultRowHeight="32.25" customHeight="1"/>
  <cols>
    <col min="1" max="1" width="4.875" style="142" hidden="1" customWidth="1"/>
    <col min="2" max="2" width="55.75390625" style="143" customWidth="1"/>
    <col min="3" max="3" width="16.75390625" style="144" customWidth="1"/>
    <col min="4" max="4" width="14.00390625" style="166" hidden="1" customWidth="1"/>
    <col min="5" max="5" width="12.75390625" style="166" hidden="1" customWidth="1"/>
    <col min="6" max="6" width="11.00390625" style="166" hidden="1" customWidth="1"/>
    <col min="7" max="8" width="14.75390625" style="143" hidden="1" customWidth="1"/>
    <col min="9" max="9" width="10.00390625" style="166" hidden="1" customWidth="1"/>
    <col min="10" max="11" width="14.75390625" style="143" hidden="1" customWidth="1"/>
    <col min="12" max="12" width="11.375" style="166" hidden="1" customWidth="1"/>
    <col min="13" max="13" width="15.75390625" style="166" customWidth="1"/>
    <col min="14" max="14" width="14.625" style="166" customWidth="1"/>
    <col min="15" max="15" width="12.75390625" style="166" customWidth="1"/>
    <col min="16" max="17" width="14.625" style="143" customWidth="1"/>
    <col min="18" max="18" width="11.00390625" style="166" customWidth="1"/>
    <col min="19" max="20" width="14.625" style="143" customWidth="1"/>
    <col min="21" max="21" width="11.00390625" style="166" customWidth="1"/>
    <col min="22" max="22" width="14.25390625" style="166" customWidth="1"/>
    <col min="23" max="23" width="13.00390625" style="166" customWidth="1"/>
    <col min="24" max="24" width="11.00390625" style="166" customWidth="1"/>
    <col min="25" max="25" width="14.00390625" style="166" hidden="1" customWidth="1"/>
    <col min="26" max="26" width="12.75390625" style="166" hidden="1" customWidth="1"/>
    <col min="27" max="27" width="11.00390625" style="166" hidden="1" customWidth="1"/>
    <col min="28" max="28" width="14.25390625" style="166" hidden="1" customWidth="1"/>
    <col min="29" max="29" width="13.00390625" style="166" hidden="1" customWidth="1"/>
    <col min="30" max="30" width="11.00390625" style="166" hidden="1" customWidth="1"/>
    <col min="31" max="31" width="14.25390625" style="166" hidden="1" customWidth="1"/>
    <col min="32" max="32" width="13.00390625" style="166" hidden="1" customWidth="1"/>
    <col min="33" max="33" width="11.00390625" style="166" hidden="1" customWidth="1"/>
    <col min="34" max="34" width="13.25390625" style="166" hidden="1" customWidth="1"/>
    <col min="35" max="36" width="12.75390625" style="166" hidden="1" customWidth="1"/>
    <col min="37" max="37" width="14.00390625" style="166" hidden="1" customWidth="1"/>
    <col min="38" max="38" width="12.75390625" style="166" hidden="1" customWidth="1"/>
    <col min="39" max="39" width="11.00390625" style="166" hidden="1" customWidth="1"/>
    <col min="40" max="40" width="13.25390625" style="166" hidden="1" customWidth="1"/>
    <col min="41" max="41" width="13.875" style="166" hidden="1" customWidth="1"/>
    <col min="42" max="42" width="13.25390625" style="166" hidden="1" customWidth="1"/>
    <col min="43" max="43" width="12.875" style="166" hidden="1" customWidth="1"/>
    <col min="44" max="44" width="13.25390625" style="166" hidden="1" customWidth="1"/>
    <col min="45" max="45" width="13.375" style="166" hidden="1" customWidth="1"/>
    <col min="46" max="46" width="17.125" style="143" customWidth="1"/>
    <col min="47" max="47" width="14.625" style="143" customWidth="1"/>
    <col min="48" max="48" width="11.00390625" style="166" customWidth="1"/>
    <col min="49" max="49" width="20.75390625" style="143" customWidth="1"/>
    <col min="50" max="50" width="25.375" style="143" customWidth="1"/>
    <col min="51" max="51" width="16.00390625" style="143" customWidth="1"/>
    <col min="52" max="52" width="14.375" style="143" customWidth="1"/>
    <col min="53" max="53" width="14.75390625" style="143" customWidth="1"/>
    <col min="54" max="54" width="14.625" style="143" customWidth="1"/>
    <col min="55" max="57" width="6.75390625" style="143" customWidth="1"/>
    <col min="58" max="58" width="13.875" style="143" bestFit="1" customWidth="1"/>
    <col min="59" max="16384" width="6.75390625" style="143" customWidth="1"/>
  </cols>
  <sheetData>
    <row r="1" spans="4:50" ht="22.5" customHeight="1" hidden="1"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9"/>
      <c r="AU1" s="229"/>
      <c r="AV1" s="229"/>
      <c r="AW1" s="229"/>
      <c r="AX1" s="229"/>
    </row>
    <row r="2" spans="1:50" s="146" customFormat="1" ht="60" customHeight="1">
      <c r="A2" s="145"/>
      <c r="B2" s="226" t="s">
        <v>115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</row>
    <row r="3" spans="1:52" s="148" customFormat="1" ht="60" customHeight="1">
      <c r="A3" s="147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Z3" s="149"/>
    </row>
    <row r="4" spans="2:50" ht="49.5" customHeight="1">
      <c r="B4" s="230"/>
      <c r="C4" s="230"/>
      <c r="D4" s="150"/>
      <c r="E4" s="150"/>
      <c r="F4" s="150"/>
      <c r="G4" s="151"/>
      <c r="H4" s="151"/>
      <c r="I4" s="150"/>
      <c r="J4" s="151"/>
      <c r="K4" s="151"/>
      <c r="L4" s="150"/>
      <c r="M4" s="150"/>
      <c r="N4" s="150"/>
      <c r="O4" s="150"/>
      <c r="P4" s="151"/>
      <c r="Q4" s="151"/>
      <c r="R4" s="150"/>
      <c r="S4" s="151"/>
      <c r="T4" s="151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1"/>
      <c r="AU4" s="151"/>
      <c r="AV4" s="150"/>
      <c r="AW4" s="151"/>
      <c r="AX4" s="152" t="s">
        <v>80</v>
      </c>
    </row>
    <row r="5" spans="1:58" ht="36.75" customHeight="1">
      <c r="A5" s="153" t="s">
        <v>46</v>
      </c>
      <c r="B5" s="154"/>
      <c r="C5" s="155" t="s">
        <v>1</v>
      </c>
      <c r="D5" s="221" t="s">
        <v>96</v>
      </c>
      <c r="E5" s="222"/>
      <c r="F5" s="223"/>
      <c r="G5" s="218" t="s">
        <v>97</v>
      </c>
      <c r="H5" s="220"/>
      <c r="I5" s="219"/>
      <c r="J5" s="218" t="s">
        <v>98</v>
      </c>
      <c r="K5" s="220"/>
      <c r="L5" s="219"/>
      <c r="M5" s="218" t="s">
        <v>113</v>
      </c>
      <c r="N5" s="220"/>
      <c r="O5" s="219"/>
      <c r="P5" s="218" t="s">
        <v>99</v>
      </c>
      <c r="Q5" s="220"/>
      <c r="R5" s="219"/>
      <c r="S5" s="218" t="s">
        <v>101</v>
      </c>
      <c r="T5" s="220"/>
      <c r="U5" s="219"/>
      <c r="V5" s="218" t="s">
        <v>102</v>
      </c>
      <c r="W5" s="220"/>
      <c r="X5" s="219"/>
      <c r="Y5" s="218" t="s">
        <v>103</v>
      </c>
      <c r="Z5" s="220"/>
      <c r="AA5" s="219"/>
      <c r="AB5" s="218" t="s">
        <v>104</v>
      </c>
      <c r="AC5" s="220"/>
      <c r="AD5" s="219"/>
      <c r="AE5" s="218" t="s">
        <v>105</v>
      </c>
      <c r="AF5" s="220"/>
      <c r="AG5" s="219"/>
      <c r="AH5" s="218" t="s">
        <v>106</v>
      </c>
      <c r="AI5" s="220"/>
      <c r="AJ5" s="219"/>
      <c r="AK5" s="218" t="s">
        <v>107</v>
      </c>
      <c r="AL5" s="220"/>
      <c r="AM5" s="219"/>
      <c r="AN5" s="218" t="s">
        <v>108</v>
      </c>
      <c r="AO5" s="219"/>
      <c r="AP5" s="218" t="s">
        <v>109</v>
      </c>
      <c r="AQ5" s="219"/>
      <c r="AR5" s="218" t="s">
        <v>110</v>
      </c>
      <c r="AS5" s="219"/>
      <c r="AT5" s="221" t="s">
        <v>111</v>
      </c>
      <c r="AU5" s="222"/>
      <c r="AV5" s="223"/>
      <c r="AW5" s="231" t="s">
        <v>123</v>
      </c>
      <c r="AX5" s="231" t="s">
        <v>124</v>
      </c>
      <c r="AY5" s="156">
        <f>'насел.'!AX7+пільги!AW7+субсидії!AX7+'держ.бюджет'!AX7+'місц.-районн.бюджет'!AX7+областной!AX7+інші!AX7</f>
        <v>113520.44378</v>
      </c>
      <c r="BF5" s="156"/>
    </row>
    <row r="6" spans="1:54" ht="99" customHeight="1">
      <c r="A6" s="157" t="s">
        <v>47</v>
      </c>
      <c r="B6" s="158" t="s">
        <v>91</v>
      </c>
      <c r="C6" s="159" t="s">
        <v>112</v>
      </c>
      <c r="D6" s="158" t="s">
        <v>77</v>
      </c>
      <c r="E6" s="158" t="s">
        <v>69</v>
      </c>
      <c r="F6" s="160" t="s">
        <v>0</v>
      </c>
      <c r="G6" s="158" t="s">
        <v>77</v>
      </c>
      <c r="H6" s="158" t="s">
        <v>69</v>
      </c>
      <c r="I6" s="160" t="s">
        <v>0</v>
      </c>
      <c r="J6" s="158" t="s">
        <v>77</v>
      </c>
      <c r="K6" s="158" t="s">
        <v>69</v>
      </c>
      <c r="L6" s="160" t="s">
        <v>0</v>
      </c>
      <c r="M6" s="158" t="s">
        <v>77</v>
      </c>
      <c r="N6" s="158" t="s">
        <v>69</v>
      </c>
      <c r="O6" s="160" t="s">
        <v>0</v>
      </c>
      <c r="P6" s="158" t="s">
        <v>77</v>
      </c>
      <c r="Q6" s="158" t="s">
        <v>69</v>
      </c>
      <c r="R6" s="160" t="s">
        <v>0</v>
      </c>
      <c r="S6" s="158" t="s">
        <v>77</v>
      </c>
      <c r="T6" s="158" t="s">
        <v>69</v>
      </c>
      <c r="U6" s="160" t="s">
        <v>0</v>
      </c>
      <c r="V6" s="158" t="s">
        <v>77</v>
      </c>
      <c r="W6" s="158" t="s">
        <v>69</v>
      </c>
      <c r="X6" s="160" t="s">
        <v>0</v>
      </c>
      <c r="Y6" s="158" t="s">
        <v>77</v>
      </c>
      <c r="Z6" s="158" t="s">
        <v>69</v>
      </c>
      <c r="AA6" s="160" t="s">
        <v>0</v>
      </c>
      <c r="AB6" s="158" t="s">
        <v>77</v>
      </c>
      <c r="AC6" s="158" t="s">
        <v>69</v>
      </c>
      <c r="AD6" s="160" t="s">
        <v>0</v>
      </c>
      <c r="AE6" s="158" t="s">
        <v>77</v>
      </c>
      <c r="AF6" s="158" t="s">
        <v>69</v>
      </c>
      <c r="AG6" s="160" t="s">
        <v>0</v>
      </c>
      <c r="AH6" s="158" t="s">
        <v>77</v>
      </c>
      <c r="AI6" s="158" t="s">
        <v>69</v>
      </c>
      <c r="AJ6" s="160" t="s">
        <v>0</v>
      </c>
      <c r="AK6" s="158" t="s">
        <v>77</v>
      </c>
      <c r="AL6" s="158" t="s">
        <v>69</v>
      </c>
      <c r="AM6" s="160" t="s">
        <v>0</v>
      </c>
      <c r="AN6" s="158" t="s">
        <v>77</v>
      </c>
      <c r="AO6" s="158" t="s">
        <v>69</v>
      </c>
      <c r="AP6" s="158" t="s">
        <v>77</v>
      </c>
      <c r="AQ6" s="158" t="s">
        <v>69</v>
      </c>
      <c r="AR6" s="158" t="s">
        <v>77</v>
      </c>
      <c r="AS6" s="158" t="s">
        <v>69</v>
      </c>
      <c r="AT6" s="158" t="s">
        <v>79</v>
      </c>
      <c r="AU6" s="158" t="s">
        <v>69</v>
      </c>
      <c r="AV6" s="160" t="s">
        <v>0</v>
      </c>
      <c r="AW6" s="232"/>
      <c r="AX6" s="232"/>
      <c r="AY6" s="156">
        <f>AY7+AY43</f>
        <v>1415711.8101700002</v>
      </c>
      <c r="AZ6" s="156">
        <f>AZ7+AZ43</f>
        <v>994313.56639</v>
      </c>
      <c r="BA6" s="156">
        <f>BA7+BA43</f>
        <v>421398.24378</v>
      </c>
      <c r="BB6" s="156">
        <f>BB7+BB43</f>
        <v>1850880.2437799997</v>
      </c>
    </row>
    <row r="7" spans="1:54" s="166" customFormat="1" ht="34.5" customHeight="1">
      <c r="A7" s="161"/>
      <c r="B7" s="162" t="s">
        <v>92</v>
      </c>
      <c r="C7" s="163">
        <f>'насел.'!C7+пільги!C7+субсидії!C7+'держ.бюджет'!C7+'місц.-районн.бюджет'!C7+областной!C7+інші!C7</f>
        <v>92907.09999999999</v>
      </c>
      <c r="D7" s="163">
        <f>'насел.'!D7+пільги!D7+субсидії!D7+'держ.бюджет'!D7+'місц.-районн.бюджет'!D7+областной!D7+інші!D7</f>
        <v>37638.40000000001</v>
      </c>
      <c r="E7" s="163">
        <f>'насел.'!E7+пільги!E7+субсидії!E7+'держ.бюджет'!E7+'місц.-районн.бюджет'!E7+областной!E7+інші!E7</f>
        <v>33007</v>
      </c>
      <c r="F7" s="164">
        <f aca="true" t="shared" si="0" ref="F7:F45">E7/D7*100</f>
        <v>87.6950136031287</v>
      </c>
      <c r="G7" s="163">
        <f>'насел.'!G7+пільги!G7+субсидії!G7+'держ.бюджет'!G7+'місц.-районн.бюджет'!G7+областной!G7+інші!G7</f>
        <v>37322.22000000001</v>
      </c>
      <c r="H7" s="163">
        <f>'насел.'!H7+пільги!H7+субсидії!H7+'держ.бюджет'!H7+'місц.-районн.бюджет'!H7+областной!H7+інші!H7</f>
        <v>37158.98000000001</v>
      </c>
      <c r="I7" s="164">
        <f aca="true" t="shared" si="1" ref="I7:I45">H7/G7*100</f>
        <v>99.56261980128728</v>
      </c>
      <c r="J7" s="163">
        <f>'насел.'!J7+пільги!J7+субсидії!J7+'держ.бюджет'!J7+'місц.-районн.бюджет'!J7+областной!J7+інші!J7</f>
        <v>37380.494459999994</v>
      </c>
      <c r="K7" s="163">
        <f>'насел.'!K7+пільги!K7+субсидії!K7+'держ.бюджет'!K7+'місц.-районн.бюджет'!K7+областной!K7+інші!K7</f>
        <v>32811.67619</v>
      </c>
      <c r="L7" s="164">
        <f aca="true" t="shared" si="2" ref="L7:L24">K7/J7*100</f>
        <v>87.77753388230596</v>
      </c>
      <c r="M7" s="164">
        <f>'насел.'!M7+пільги!M7+субсидії!M7+'держ.бюджет'!M7+'місц.-районн.бюджет'!M7+областной!M7+інші!M7</f>
        <v>112341.11446000001</v>
      </c>
      <c r="N7" s="164">
        <f>'насел.'!N7+пільги!N7+субсидії!N7+'держ.бюджет'!N7+'місц.-районн.бюджет'!N7+областной!N7+інші!N7</f>
        <v>102977.65619000001</v>
      </c>
      <c r="O7" s="164">
        <f>N7/M7*100</f>
        <v>91.66515454737282</v>
      </c>
      <c r="P7" s="163">
        <f>'насел.'!P7+пільги!P7+субсидії!P7+'держ.бюджет'!P7+'місц.-районн.бюджет'!P7+областной!P7+інші!P7</f>
        <v>36101.19570999999</v>
      </c>
      <c r="Q7" s="163">
        <f>'насел.'!Q7+пільги!Q7+субсидії!Q7+'держ.бюджет'!Q7+'місц.-районн.бюджет'!Q7+областной!Q7+інші!Q7</f>
        <v>30960.5102</v>
      </c>
      <c r="R7" s="163">
        <f>Q7/P7*100</f>
        <v>85.76034558163948</v>
      </c>
      <c r="S7" s="163">
        <f>'насел.'!S7+пільги!S7+субсидії!S7+'держ.бюджет'!S7+'місц.-районн.бюджет'!S7+областной!S7+інші!S7</f>
        <v>37510.6</v>
      </c>
      <c r="T7" s="163">
        <f>'насел.'!T7+пільги!T7+субсидії!T7+'держ.бюджет'!T7+'місц.-районн.бюджет'!T7+областной!T7+інші!T7</f>
        <v>33316.5</v>
      </c>
      <c r="U7" s="164">
        <f aca="true" t="shared" si="3" ref="U7:U28">T7/S7*100</f>
        <v>88.81889385933577</v>
      </c>
      <c r="V7" s="163">
        <f>'насел.'!V7+пільги!V7+субсидії!V7+'держ.бюджет'!V7+'місц.-районн.бюджет'!V7+областной!V7+інші!V7</f>
        <v>38380.799999999996</v>
      </c>
      <c r="W7" s="163">
        <f>'насел.'!W7+пільги!W7+субсидії!W7+'держ.бюджет'!W7+'місц.-районн.бюджет'!W7+областной!W7+інші!W7</f>
        <v>36465.7</v>
      </c>
      <c r="X7" s="164">
        <f aca="true" t="shared" si="4" ref="X7:X28">W7/V7*100</f>
        <v>95.01026554944139</v>
      </c>
      <c r="Y7" s="163">
        <f>'насел.'!Y7+пільги!Y7+субсидії!Y7+'держ.бюджет'!Y7+'місц.-районн.бюджет'!Y7+областной!Y7+інші!Y7</f>
        <v>111992.59571</v>
      </c>
      <c r="Z7" s="163">
        <f>'насел.'!Z7+пільги!Z7+субсидії!Z7+'держ.бюджет'!Z7+'місц.-районн.бюджет'!Z7+областной!Z7+інші!Z7</f>
        <v>100742.71020000003</v>
      </c>
      <c r="AA7" s="164">
        <f aca="true" t="shared" si="5" ref="AA7:AA28">Z7/Y7*100</f>
        <v>89.95479528027812</v>
      </c>
      <c r="AB7" s="163">
        <f>'насел.'!AB7+пільги!AB7+субсидії!AB7+'держ.бюджет'!AB7+'місц.-районн.бюджет'!AB7+областной!AB7+інші!AB7</f>
        <v>0</v>
      </c>
      <c r="AC7" s="163">
        <f>'насел.'!AC7+пільги!AC7+субсидії!AC7+'держ.бюджет'!AC7+'місц.-районн.бюджет'!AC7+областной!AC7+інші!AC7</f>
        <v>0</v>
      </c>
      <c r="AD7" s="164" t="e">
        <f aca="true" t="shared" si="6" ref="AD7:AD28">AC7/AB7*100</f>
        <v>#DIV/0!</v>
      </c>
      <c r="AE7" s="163">
        <f>'насел.'!AE7+пільги!AE7+субсидії!AE7+'держ.бюджет'!AE7+'місц.-районн.бюджет'!AE7+областной!AE7+інші!AE7</f>
        <v>0</v>
      </c>
      <c r="AF7" s="163">
        <f>'насел.'!AF7+пільги!AF7+субсидії!AF7+'держ.бюджет'!AF7+'місц.-районн.бюджет'!AF7+областной!AF7+інші!AF7</f>
        <v>0</v>
      </c>
      <c r="AG7" s="164" t="e">
        <f aca="true" t="shared" si="7" ref="AG7:AG45">AF7/AE7*100</f>
        <v>#DIV/0!</v>
      </c>
      <c r="AH7" s="163">
        <f>'насел.'!AH7+пільги!AH7+субсидії!AH7+'держ.бюджет'!AH7+'місц.-районн.бюджет'!AH7+областной!AH7+інші!AH7</f>
        <v>0</v>
      </c>
      <c r="AI7" s="163">
        <f>'насел.'!AI7+пільги!AI7+субсидії!AI7+'держ.бюджет'!AI7+'місц.-районн.бюджет'!AI7+областной!AI7+інші!AI7</f>
        <v>0</v>
      </c>
      <c r="AJ7" s="164" t="e">
        <f aca="true" t="shared" si="8" ref="AJ7:AJ45">AI7/AH7*100</f>
        <v>#DIV/0!</v>
      </c>
      <c r="AK7" s="163">
        <f>'насел.'!AK7+пільги!AJ7+субсидії!AK7+'держ.бюджет'!AK7+'місц.-районн.бюджет'!AK7+областной!AK7+інші!AK7</f>
        <v>0</v>
      </c>
      <c r="AL7" s="163">
        <f>'насел.'!AL7+пільги!AK7+субсидії!AL7+'держ.бюджет'!AL7+'місц.-районн.бюджет'!AL7+областной!AL7+інші!AL7</f>
        <v>0</v>
      </c>
      <c r="AM7" s="163" t="e">
        <f aca="true" t="shared" si="9" ref="AM7:AM45">AL7/AK7*100</f>
        <v>#DIV/0!</v>
      </c>
      <c r="AN7" s="163">
        <f>'насел.'!AN7+пільги!AM7+субсидії!AN7+'держ.бюджет'!AN7+'місц.-районн.бюджет'!AN7+областной!AN7+інші!AN7</f>
        <v>0</v>
      </c>
      <c r="AO7" s="163">
        <f>'насел.'!AO7+пільги!AN7+субсидії!AO7+'держ.бюджет'!AO7+'місц.-районн.бюджет'!AO7+областной!AO7+інші!AO7</f>
        <v>0</v>
      </c>
      <c r="AP7" s="163">
        <f>'насел.'!AP7+пільги!AO7+субсидії!AP7+'держ.бюджет'!AP7+'місц.-районн.бюджет'!AP7+областной!AP7+інші!AP7</f>
        <v>0</v>
      </c>
      <c r="AQ7" s="163">
        <f>'насел.'!AQ7+пільги!AP7+субсидії!AQ7+'держ.бюджет'!AQ7+'місц.-районн.бюджет'!AQ7+областной!AQ7+інші!AQ7</f>
        <v>0</v>
      </c>
      <c r="AR7" s="163">
        <f>'насел.'!AR7+пільги!AQ7+субсидії!AR7+'держ.бюджет'!AR7+'місц.-районн.бюджет'!AR7+областной!AR7+інші!AR7</f>
        <v>0</v>
      </c>
      <c r="AS7" s="163">
        <f>'насел.'!AS7+пільги!AR7+субсидії!AS7+'держ.бюджет'!AS7+'місц.-районн.бюджет'!AS7+областной!AS7+інші!AS7</f>
        <v>0</v>
      </c>
      <c r="AT7" s="163">
        <f>'насел.'!AT7+пільги!AS7+субсидії!AT7+'держ.бюджет'!AT7+'місц.-районн.бюджет'!AT7+областной!AT7+інші!AT7</f>
        <v>224333.71017</v>
      </c>
      <c r="AU7" s="163">
        <f>'насел.'!AU7+пільги!AT7+субсидії!AU7+'держ.бюджет'!AU7+'місц.-районн.бюджет'!AU7+областной!AU7+інші!AU7</f>
        <v>203720.36638999998</v>
      </c>
      <c r="AV7" s="164">
        <f aca="true" t="shared" si="10" ref="AV7:AV45">AU7/AT7*100</f>
        <v>90.81130349764231</v>
      </c>
      <c r="AW7" s="163">
        <f>'насел.'!AW7+пільги!AV7+субсидії!AW7+'держ.бюджет'!AW7+'місц.-районн.бюджет'!AW7+областной!AW7+інші!AW7</f>
        <v>20612.543780000007</v>
      </c>
      <c r="AX7" s="163">
        <f>'насел.'!AX7+пільги!AW7+субсидії!AX7+'держ.бюджет'!AX7+'місц.-районн.бюджет'!AX7+областной!AX7+інші!AX7</f>
        <v>113520.44378</v>
      </c>
      <c r="AY7" s="165">
        <f>M7+Y7+AK7+AN7+AP7+AR7</f>
        <v>224333.71017</v>
      </c>
      <c r="AZ7" s="165">
        <f>N7+Z7+AL7+AO7+AQ7+AS7</f>
        <v>203720.36639000004</v>
      </c>
      <c r="BA7" s="165">
        <f>AY7-AZ7</f>
        <v>20613.343779999967</v>
      </c>
      <c r="BB7" s="165">
        <f>C7+AY7-AZ7</f>
        <v>113520.44377999997</v>
      </c>
    </row>
    <row r="8" spans="1:54" ht="34.5" customHeight="1">
      <c r="A8" s="167" t="s">
        <v>5</v>
      </c>
      <c r="B8" s="168" t="s">
        <v>49</v>
      </c>
      <c r="C8" s="163">
        <f>'насел.'!C8+пільги!C8+субсидії!C8+'держ.бюджет'!C8+'місц.-районн.бюджет'!C8+областной!C8+інші!C8</f>
        <v>2291.2000000000003</v>
      </c>
      <c r="D8" s="163">
        <f>'насел.'!D8+пільги!D8+субсидії!D8+'держ.бюджет'!D8+'місц.-районн.бюджет'!D8+областной!D8+інші!D8</f>
        <v>3269.1000000000004</v>
      </c>
      <c r="E8" s="163">
        <f>'насел.'!E8+пільги!E8+субсидії!E8+'держ.бюджет'!E8+'місц.-районн.бюджет'!E8+областной!E8+інші!E8</f>
        <v>2896.1</v>
      </c>
      <c r="F8" s="164">
        <f t="shared" si="0"/>
        <v>88.59013184056774</v>
      </c>
      <c r="G8" s="163">
        <f>'насел.'!G8+пільги!G8+субсидії!G8+'держ.бюджет'!G8+'місц.-районн.бюджет'!G8+областной!G8+інші!G8</f>
        <v>3224.1</v>
      </c>
      <c r="H8" s="163">
        <f>'насел.'!H8+пільги!H8+субсидії!H8+'держ.бюджет'!H8+'місц.-районн.бюджет'!H8+областной!H8+інші!H8</f>
        <v>3175.2</v>
      </c>
      <c r="I8" s="164">
        <f t="shared" si="1"/>
        <v>98.4832976644645</v>
      </c>
      <c r="J8" s="163">
        <f>'насел.'!J8+пільги!J8+субсидії!J8+'держ.бюджет'!J8+'місц.-районн.бюджет'!J8+областной!J8+інші!J8</f>
        <v>3302.8</v>
      </c>
      <c r="K8" s="163">
        <f>'насел.'!K8+пільги!K8+субсидії!K8+'держ.бюджет'!K8+'місц.-районн.бюджет'!K8+областной!K8+інші!K8</f>
        <v>2855.6</v>
      </c>
      <c r="L8" s="164">
        <f t="shared" si="2"/>
        <v>86.4599733559404</v>
      </c>
      <c r="M8" s="164">
        <f>'насел.'!M8+пільги!M8+субсидії!M8+'держ.бюджет'!M8+'місц.-районн.бюджет'!M8+областной!M8+інші!M8</f>
        <v>9796</v>
      </c>
      <c r="N8" s="164">
        <f>'насел.'!N8+пільги!N8+субсидії!N8+'держ.бюджет'!N8+'місц.-районн.бюджет'!N8+областной!N8+інші!N8</f>
        <v>8926.900000000001</v>
      </c>
      <c r="O8" s="164">
        <f aca="true" t="shared" si="11" ref="O8:O45">N8/M8*100</f>
        <v>91.12801143323807</v>
      </c>
      <c r="P8" s="163">
        <f>'насел.'!P8+пільги!P8+субсидії!P8+'держ.бюджет'!P8+'місц.-районн.бюджет'!P8+областной!P8+інші!P8</f>
        <v>2784.5</v>
      </c>
      <c r="Q8" s="163">
        <f>'насел.'!Q8+пільги!Q8+субсидії!Q8+'держ.бюджет'!Q8+'місц.-районн.бюджет'!Q8+областной!Q8+інші!Q8</f>
        <v>2833.4</v>
      </c>
      <c r="R8" s="163">
        <f aca="true" t="shared" si="12" ref="R8:R45">Q8/P8*100</f>
        <v>101.75615011671755</v>
      </c>
      <c r="S8" s="163">
        <f>'насел.'!S8+пільги!S8+субсидії!S8+'держ.бюджет'!S8+'місц.-районн.бюджет'!S8+областной!S8+інші!S8</f>
        <v>2945.7000000000003</v>
      </c>
      <c r="T8" s="163">
        <f>'насел.'!T8+пільги!T8+субсидії!T8+'держ.бюджет'!T8+'місц.-районн.бюджет'!T8+областной!T8+інші!T8</f>
        <v>2733</v>
      </c>
      <c r="U8" s="164">
        <f t="shared" si="3"/>
        <v>92.77930542825135</v>
      </c>
      <c r="V8" s="163">
        <f>'насел.'!V8+пільги!V8+субсидії!V8+'держ.бюджет'!V8+'місц.-районн.бюджет'!V8+областной!V8+інші!V8</f>
        <v>3149.3</v>
      </c>
      <c r="W8" s="163">
        <f>'насел.'!W8+пільги!W8+субсидії!W8+'держ.бюджет'!W8+'місц.-районн.бюджет'!W8+областной!W8+інші!W8</f>
        <v>3073.7</v>
      </c>
      <c r="X8" s="164">
        <f t="shared" si="4"/>
        <v>97.5994665481218</v>
      </c>
      <c r="Y8" s="163">
        <f>'насел.'!Y8+пільги!Y8+субсидії!Y8+'держ.бюджет'!Y8+'місц.-районн.бюджет'!Y8+областной!Y8+інші!Y8</f>
        <v>8879.5</v>
      </c>
      <c r="Z8" s="163">
        <f>'насел.'!Z8+пільги!Z8+субсидії!Z8+'держ.бюджет'!Z8+'місц.-районн.бюджет'!Z8+областной!Z8+інші!Z8</f>
        <v>8640.1</v>
      </c>
      <c r="AA8" s="164">
        <f t="shared" si="5"/>
        <v>97.30390224674814</v>
      </c>
      <c r="AB8" s="163">
        <f>'насел.'!AB8+пільги!AB8+субсидії!AB8+'держ.бюджет'!AB8+'місц.-районн.бюджет'!AB8+областной!AB8+інші!AB8</f>
        <v>0</v>
      </c>
      <c r="AC8" s="163">
        <f>'насел.'!AC8+пільги!AC8+субсидії!AC8+'держ.бюджет'!AC8+'місц.-районн.бюджет'!AC8+областной!AC8+інші!AC8</f>
        <v>0</v>
      </c>
      <c r="AD8" s="164" t="e">
        <f t="shared" si="6"/>
        <v>#DIV/0!</v>
      </c>
      <c r="AE8" s="163">
        <f>'насел.'!AE8+пільги!AE8+субсидії!AE8+'держ.бюджет'!AE8+'місц.-районн.бюджет'!AE8+областной!AE8+інші!AE8</f>
        <v>0</v>
      </c>
      <c r="AF8" s="163">
        <f>'насел.'!AF8+пільги!AF8+субсидії!AF8+'держ.бюджет'!AF8+'місц.-районн.бюджет'!AF8+областной!AF8+інші!AF8</f>
        <v>0</v>
      </c>
      <c r="AG8" s="164" t="e">
        <f t="shared" si="7"/>
        <v>#DIV/0!</v>
      </c>
      <c r="AH8" s="163">
        <f>'насел.'!AH8+пільги!AH8+субсидії!AH8+'держ.бюджет'!AH8+'місц.-районн.бюджет'!AH8+областной!AH8+інші!AH8</f>
        <v>0</v>
      </c>
      <c r="AI8" s="163">
        <f>'насел.'!AI8+пільги!AI8+субсидії!AI8+'держ.бюджет'!AI8+'місц.-районн.бюджет'!AI8+областной!AI8+інші!AI8</f>
        <v>0</v>
      </c>
      <c r="AJ8" s="164" t="e">
        <f t="shared" si="8"/>
        <v>#DIV/0!</v>
      </c>
      <c r="AK8" s="163">
        <f>'насел.'!AK8+пільги!AJ8+субсидії!AK8+'держ.бюджет'!AK8+'місц.-районн.бюджет'!AK8+областной!AK8+інші!AK8</f>
        <v>0</v>
      </c>
      <c r="AL8" s="163">
        <f>'насел.'!AL8+пільги!AK8+субсидії!AL8+'держ.бюджет'!AL8+'місц.-районн.бюджет'!AL8+областной!AL8+інші!AL8</f>
        <v>0</v>
      </c>
      <c r="AM8" s="163" t="e">
        <f t="shared" si="9"/>
        <v>#DIV/0!</v>
      </c>
      <c r="AN8" s="163">
        <f>'насел.'!AN8+пільги!AM8+субсидії!AN8+'держ.бюджет'!AN8+'місц.-районн.бюджет'!AN8+областной!AN8+інші!AN8</f>
        <v>0</v>
      </c>
      <c r="AO8" s="163">
        <f>'насел.'!AO8+пільги!AN8+субсидії!AO8+'держ.бюджет'!AO8+'місц.-районн.бюджет'!AO8+областной!AO8+інші!AO8</f>
        <v>0</v>
      </c>
      <c r="AP8" s="163">
        <f>'насел.'!AP8+пільги!AO8+субсидії!AP8+'держ.бюджет'!AP8+'місц.-районн.бюджет'!AP8+областной!AP8+інші!AP8</f>
        <v>0</v>
      </c>
      <c r="AQ8" s="163">
        <f>'насел.'!AQ8+пільги!AP8+субсидії!AQ8+'держ.бюджет'!AQ8+'місц.-районн.бюджет'!AQ8+областной!AQ8+інші!AQ8</f>
        <v>0</v>
      </c>
      <c r="AR8" s="163">
        <f>'насел.'!AR8+пільги!AQ8+субсидії!AR8+'держ.бюджет'!AR8+'місц.-районн.бюджет'!AR8+областной!AR8+інші!AR8</f>
        <v>0</v>
      </c>
      <c r="AS8" s="163">
        <f>'насел.'!AS8+пільги!AR8+субсидії!AS8+'держ.бюджет'!AS8+'місц.-районн.бюджет'!AS8+областной!AS8+інші!AS8</f>
        <v>0</v>
      </c>
      <c r="AT8" s="163">
        <f>'насел.'!AT8+пільги!AS8+субсидії!AT8+'держ.бюджет'!AT8+'місц.-районн.бюджет'!AT8+областной!AT8+інші!AT8</f>
        <v>18675.5</v>
      </c>
      <c r="AU8" s="163">
        <f>'насел.'!AU8+пільги!AT8+субсидії!AU8+'держ.бюджет'!AU8+'місц.-районн.бюджет'!AU8+областной!AU8+інші!AU8</f>
        <v>17567</v>
      </c>
      <c r="AV8" s="164">
        <f>AU8/AT8*100</f>
        <v>94.06441594602553</v>
      </c>
      <c r="AW8" s="163">
        <f>'насел.'!AW8+пільги!AV8+субсидії!AW8+'держ.бюджет'!AW8+'місц.-районн.бюджет'!AW8+областной!AW8+інші!AW8</f>
        <v>1108.500000000001</v>
      </c>
      <c r="AX8" s="169">
        <f>'насел.'!AX8+пільги!AW8+субсидії!AX8+'держ.бюджет'!AX8+'місц.-районн.бюджет'!AX8+областной!AX8+інші!AX8</f>
        <v>3399.7</v>
      </c>
      <c r="AY8" s="165">
        <f aca="true" t="shared" si="13" ref="AY8:AY45">M8+Y8+AK8+AN8+AP8+AR8</f>
        <v>18675.5</v>
      </c>
      <c r="AZ8" s="165">
        <f aca="true" t="shared" si="14" ref="AZ8:AZ45">N8+Z8+AL8+AO8+AQ8+AS8</f>
        <v>17567</v>
      </c>
      <c r="BA8" s="165">
        <f aca="true" t="shared" si="15" ref="BA8:BA45">AY8-AZ8</f>
        <v>1108.5</v>
      </c>
      <c r="BB8" s="165">
        <f aca="true" t="shared" si="16" ref="BB8:BB45">C8+AY8-AZ8</f>
        <v>3399.7000000000007</v>
      </c>
    </row>
    <row r="9" spans="1:54" ht="34.5" customHeight="1">
      <c r="A9" s="167" t="s">
        <v>6</v>
      </c>
      <c r="B9" s="170" t="s">
        <v>65</v>
      </c>
      <c r="C9" s="163">
        <f>'насел.'!C9+пільги!C9+субсидії!C9+'держ.бюджет'!C9+'місц.-районн.бюджет'!C9+областной!C9+інші!C9</f>
        <v>397.69999999999993</v>
      </c>
      <c r="D9" s="163">
        <f>'насел.'!D9+пільги!D9+субсидії!D9+'держ.бюджет'!D9+'місц.-районн.бюджет'!D9+областной!D9+інші!D9</f>
        <v>362.99999999999994</v>
      </c>
      <c r="E9" s="163">
        <f>'насел.'!E9+пільги!E9+субсидії!E9+'держ.бюджет'!E9+'місц.-районн.бюджет'!E9+областной!E9+інші!E9</f>
        <v>298</v>
      </c>
      <c r="F9" s="164">
        <f t="shared" si="0"/>
        <v>82.09366391184574</v>
      </c>
      <c r="G9" s="163">
        <f>'насел.'!G9+пільги!G9+субсидії!G9+'держ.бюджет'!G9+'місц.-районн.бюджет'!G9+областной!G9+інші!G9</f>
        <v>384.80000000000007</v>
      </c>
      <c r="H9" s="163">
        <f>'насел.'!H9+пільги!H9+субсидії!H9+'держ.бюджет'!H9+'місц.-районн.бюджет'!H9+областной!H9+інші!H9</f>
        <v>337.7</v>
      </c>
      <c r="I9" s="164">
        <f t="shared" si="1"/>
        <v>87.75987525987524</v>
      </c>
      <c r="J9" s="163">
        <f>'насел.'!J9+пільги!J9+субсидії!J9+'держ.бюджет'!J9+'місц.-районн.бюджет'!J9+областной!J9+інші!J9</f>
        <v>352.33368</v>
      </c>
      <c r="K9" s="163">
        <f>'насел.'!K9+пільги!K9+субсидії!K9+'держ.бюджет'!K9+'місц.-районн.бюджет'!K9+областной!K9+інші!K9</f>
        <v>378.44194000000005</v>
      </c>
      <c r="L9" s="164">
        <f t="shared" si="2"/>
        <v>107.41009488505328</v>
      </c>
      <c r="M9" s="164">
        <f>'насел.'!M9+пільги!M9+субсидії!M9+'держ.бюджет'!M9+'місц.-районн.бюджет'!M9+областной!M9+інші!M9</f>
        <v>1100.1336800000001</v>
      </c>
      <c r="N9" s="164">
        <f>'насел.'!N9+пільги!N9+субсидії!N9+'держ.бюджет'!N9+'місц.-районн.бюджет'!N9+областной!N9+інші!N9</f>
        <v>1014.14194</v>
      </c>
      <c r="O9" s="164">
        <f t="shared" si="11"/>
        <v>92.18351900652654</v>
      </c>
      <c r="P9" s="163">
        <f>'насел.'!P9+пільги!P9+субсидії!P9+'держ.бюджет'!P9+'місц.-районн.бюджет'!P9+областной!P9+інші!P9</f>
        <v>346.9</v>
      </c>
      <c r="Q9" s="163">
        <f>'насел.'!Q9+пільги!Q9+субсидії!Q9+'держ.бюджет'!Q9+'місц.-районн.бюджет'!Q9+областной!Q9+інші!Q9</f>
        <v>329.00000000000006</v>
      </c>
      <c r="R9" s="163">
        <f t="shared" si="12"/>
        <v>94.84001153070051</v>
      </c>
      <c r="S9" s="163">
        <f>'насел.'!S9+пільги!S9+субсидії!S9+'держ.бюджет'!S9+'місц.-районн.бюджет'!S9+областной!S9+інші!S9</f>
        <v>368.40000000000003</v>
      </c>
      <c r="T9" s="163">
        <f>'насел.'!T9+пільги!T9+субсидії!T9+'держ.бюджет'!T9+'місц.-районн.бюджет'!T9+областной!T9+інші!T9</f>
        <v>322</v>
      </c>
      <c r="U9" s="164">
        <f t="shared" si="3"/>
        <v>87.40499457111835</v>
      </c>
      <c r="V9" s="163">
        <f>'насел.'!V9+пільги!V9+субсидії!V9+'держ.бюджет'!V9+'місц.-районн.бюджет'!V9+областной!V9+інші!V9</f>
        <v>375</v>
      </c>
      <c r="W9" s="163">
        <f>'насел.'!W9+пільги!W9+субсидії!W9+'держ.бюджет'!W9+'місц.-районн.бюджет'!W9+областной!W9+інші!W9</f>
        <v>352.8</v>
      </c>
      <c r="X9" s="164">
        <f t="shared" si="4"/>
        <v>94.08000000000001</v>
      </c>
      <c r="Y9" s="163">
        <f>'насел.'!Y9+пільги!Y9+субсидії!Y9+'держ.бюджет'!Y9+'місц.-районн.бюджет'!Y9+областной!Y9+інші!Y9</f>
        <v>1090.3</v>
      </c>
      <c r="Z9" s="163">
        <f>'насел.'!Z9+пільги!Z9+субсидії!Z9+'держ.бюджет'!Z9+'місц.-районн.бюджет'!Z9+областной!Z9+інші!Z9</f>
        <v>1003.8000000000001</v>
      </c>
      <c r="AA9" s="164">
        <f t="shared" si="5"/>
        <v>92.06640374208934</v>
      </c>
      <c r="AB9" s="163">
        <f>'насел.'!AB9+пільги!AB9+субсидії!AB9+'держ.бюджет'!AB9+'місц.-районн.бюджет'!AB9+областной!AB9+інші!AB9</f>
        <v>0</v>
      </c>
      <c r="AC9" s="163">
        <f>'насел.'!AC9+пільги!AC9+субсидії!AC9+'держ.бюджет'!AC9+'місц.-районн.бюджет'!AC9+областной!AC9+інші!AC9</f>
        <v>0</v>
      </c>
      <c r="AD9" s="164" t="e">
        <f t="shared" si="6"/>
        <v>#DIV/0!</v>
      </c>
      <c r="AE9" s="163">
        <f>'насел.'!AE9+пільги!AE9+субсидії!AE9+'держ.бюджет'!AE9+'місц.-районн.бюджет'!AE9+областной!AE9+інші!AE9</f>
        <v>0</v>
      </c>
      <c r="AF9" s="163">
        <f>'насел.'!AF9+пільги!AF9+субсидії!AF9+'держ.бюджет'!AF9+'місц.-районн.бюджет'!AF9+областной!AF9+інші!AF9</f>
        <v>0</v>
      </c>
      <c r="AG9" s="164" t="e">
        <f t="shared" si="7"/>
        <v>#DIV/0!</v>
      </c>
      <c r="AH9" s="163">
        <f>'насел.'!AH9+пільги!AH9+субсидії!AH9+'держ.бюджет'!AH9+'місц.-районн.бюджет'!AH9+областной!AH9+інші!AH9</f>
        <v>0</v>
      </c>
      <c r="AI9" s="163">
        <f>'насел.'!AI9+пільги!AI9+субсидії!AI9+'держ.бюджет'!AI9+'місц.-районн.бюджет'!AI9+областной!AI9+інші!AI9</f>
        <v>0</v>
      </c>
      <c r="AJ9" s="164" t="e">
        <f t="shared" si="8"/>
        <v>#DIV/0!</v>
      </c>
      <c r="AK9" s="163">
        <f>'насел.'!AK9+пільги!AJ9+субсидії!AK9+'держ.бюджет'!AK9+'місц.-районн.бюджет'!AK9+областной!AK9+інші!AK9</f>
        <v>0</v>
      </c>
      <c r="AL9" s="163">
        <f>'насел.'!AL9+пільги!AK9+субсидії!AL9+'держ.бюджет'!AL9+'місц.-районн.бюджет'!AL9+областной!AL9+інші!AL9</f>
        <v>0</v>
      </c>
      <c r="AM9" s="163" t="e">
        <f t="shared" si="9"/>
        <v>#DIV/0!</v>
      </c>
      <c r="AN9" s="163">
        <f>'насел.'!AN9+пільги!AM9+субсидії!AN9+'держ.бюджет'!AN9+'місц.-районн.бюджет'!AN9+областной!AN9+інші!AN9</f>
        <v>0</v>
      </c>
      <c r="AO9" s="163">
        <f>'насел.'!AO9+пільги!AN9+субсидії!AO9+'держ.бюджет'!AO9+'місц.-районн.бюджет'!AO9+областной!AO9+інші!AO9</f>
        <v>0</v>
      </c>
      <c r="AP9" s="163">
        <f>'насел.'!AP9+пільги!AO9+субсидії!AP9+'держ.бюджет'!AP9+'місц.-районн.бюджет'!AP9+областной!AP9+інші!AP9</f>
        <v>0</v>
      </c>
      <c r="AQ9" s="163">
        <f>'насел.'!AQ9+пільги!AP9+субсидії!AQ9+'держ.бюджет'!AQ9+'місц.-районн.бюджет'!AQ9+областной!AQ9+інші!AQ9</f>
        <v>0</v>
      </c>
      <c r="AR9" s="163">
        <f>'насел.'!AR9+пільги!AQ9+субсидії!AR9+'держ.бюджет'!AR9+'місц.-районн.бюджет'!AR9+областной!AR9+інші!AR9</f>
        <v>0</v>
      </c>
      <c r="AS9" s="163">
        <f>'насел.'!AS9+пільги!AR9+субсидії!AS9+'держ.бюджет'!AS9+'місц.-районн.бюджет'!AS9+областной!AS9+інші!AS9</f>
        <v>0</v>
      </c>
      <c r="AT9" s="163">
        <f>'насел.'!AT9+пільги!AS9+субсидії!AT9+'держ.бюджет'!AT9+'місц.-районн.бюджет'!AT9+областной!AT9+інші!AT9</f>
        <v>2190.4336799999996</v>
      </c>
      <c r="AU9" s="163">
        <f>'насел.'!AU9+пільги!AT9+субсидії!AU9+'держ.бюджет'!AU9+'місц.-районн.бюджет'!AU9+областной!AU9+інші!AU9</f>
        <v>2017.94194</v>
      </c>
      <c r="AV9" s="164">
        <f t="shared" si="10"/>
        <v>92.12522426152616</v>
      </c>
      <c r="AW9" s="163">
        <f>'насел.'!AW9+пільги!AV9+субсидії!AW9+'держ.бюджет'!AW9+'місц.-районн.бюджет'!AW9+областной!AW9+інші!AW9</f>
        <v>172.49173999999977</v>
      </c>
      <c r="AX9" s="169">
        <f>'насел.'!AX9+пільги!AW9+субсидії!AX9+'держ.бюджет'!AX9+'місц.-районн.бюджет'!AX9+областной!AX9+інші!AX9</f>
        <v>570.1917399999999</v>
      </c>
      <c r="AY9" s="165">
        <f t="shared" si="13"/>
        <v>2190.43368</v>
      </c>
      <c r="AZ9" s="165">
        <f t="shared" si="14"/>
        <v>2017.9419400000002</v>
      </c>
      <c r="BA9" s="165">
        <f t="shared" si="15"/>
        <v>172.49173999999994</v>
      </c>
      <c r="BB9" s="165">
        <f t="shared" si="16"/>
        <v>570.1917399999998</v>
      </c>
    </row>
    <row r="10" spans="1:54" s="173" customFormat="1" ht="34.5" customHeight="1">
      <c r="A10" s="171" t="s">
        <v>7</v>
      </c>
      <c r="B10" s="172" t="s">
        <v>81</v>
      </c>
      <c r="C10" s="163">
        <f>'насел.'!C10+пільги!C10+субсидії!C10+'держ.бюджет'!C10+'місц.-районн.бюджет'!C10+областной!C10+інші!C10</f>
        <v>0</v>
      </c>
      <c r="D10" s="163">
        <f>'насел.'!D10+пільги!D10+субсидії!D10+'держ.бюджет'!D10+'місц.-районн.бюджет'!D10+областной!D10+інші!D10</f>
        <v>333.7</v>
      </c>
      <c r="E10" s="163">
        <f>'насел.'!E10+пільги!E10+субсидії!E10+'держ.бюджет'!E10+'місц.-районн.бюджет'!E10+областной!E10+інші!E10</f>
        <v>333.7</v>
      </c>
      <c r="F10" s="164">
        <f t="shared" si="0"/>
        <v>100</v>
      </c>
      <c r="G10" s="163">
        <f>'насел.'!G10+пільги!G10+субсидії!G10+'держ.бюджет'!G10+'місц.-районн.бюджет'!G10+областной!G10+інші!G10</f>
        <v>333.7</v>
      </c>
      <c r="H10" s="163">
        <f>'насел.'!H10+пільги!H10+субсидії!H10+'держ.бюджет'!H10+'місц.-районн.бюджет'!H10+областной!H10+інші!H10</f>
        <v>333.7</v>
      </c>
      <c r="I10" s="164">
        <f t="shared" si="1"/>
        <v>100</v>
      </c>
      <c r="J10" s="163">
        <f>'насел.'!J10+пільги!J10+субсидії!J10+'держ.бюджет'!J10+'місц.-районн.бюджет'!J10+областной!J10+інші!J10</f>
        <v>321.6</v>
      </c>
      <c r="K10" s="163">
        <f>'насел.'!K10+пільги!K10+субсидії!K10+'держ.бюджет'!K10+'місц.-районн.бюджет'!K10+областной!K10+інші!K10</f>
        <v>321.6</v>
      </c>
      <c r="L10" s="164">
        <f t="shared" si="2"/>
        <v>100</v>
      </c>
      <c r="M10" s="164">
        <f>'насел.'!M10+пільги!M10+субсидії!M10+'держ.бюджет'!M10+'місц.-районн.бюджет'!M10+областной!M10+інші!M10</f>
        <v>989</v>
      </c>
      <c r="N10" s="164">
        <f>'насел.'!N10+пільги!N10+субсидії!N10+'держ.бюджет'!N10+'місц.-районн.бюджет'!N10+областной!N10+інші!N10</f>
        <v>989</v>
      </c>
      <c r="O10" s="164">
        <f t="shared" si="11"/>
        <v>100</v>
      </c>
      <c r="P10" s="163">
        <f>'насел.'!P10+пільги!P10+субсидії!P10+'держ.бюджет'!P10+'місц.-районн.бюджет'!P10+областной!P10+інші!P10</f>
        <v>321.6</v>
      </c>
      <c r="Q10" s="163">
        <f>'насел.'!Q10+пільги!Q10+субсидії!Q10+'держ.бюджет'!Q10+'місц.-районн.бюджет'!Q10+областной!Q10+інші!Q10</f>
        <v>321.6</v>
      </c>
      <c r="R10" s="163">
        <f t="shared" si="12"/>
        <v>100</v>
      </c>
      <c r="S10" s="163">
        <f>'насел.'!S10+пільги!S10+субсидії!S10+'держ.бюджет'!S10+'місц.-районн.бюджет'!S10+областной!S10+інші!S10</f>
        <v>93.2</v>
      </c>
      <c r="T10" s="163">
        <f>'насел.'!T10+пільги!T10+субсидії!T10+'держ.бюджет'!T10+'місц.-районн.бюджет'!T10+областной!T10+інші!T10</f>
        <v>93.2</v>
      </c>
      <c r="U10" s="169">
        <f t="shared" si="3"/>
        <v>100</v>
      </c>
      <c r="V10" s="163">
        <f>'насел.'!V10+пільги!V10+субсидії!V10+'держ.бюджет'!V10+'місц.-районн.бюджет'!V10+областной!V10+інші!V10</f>
        <v>58.2</v>
      </c>
      <c r="W10" s="163">
        <f>'насел.'!W10+пільги!W10+субсидії!W10+'держ.бюджет'!W10+'місц.-районн.бюджет'!W10+областной!W10+інші!W10</f>
        <v>58.2</v>
      </c>
      <c r="X10" s="169">
        <f t="shared" si="4"/>
        <v>100</v>
      </c>
      <c r="Y10" s="163">
        <f>'насел.'!Y10+пільги!Y10+субсидії!Y10+'держ.бюджет'!Y10+'місц.-районн.бюджет'!Y10+областной!Y10+інші!Y10</f>
        <v>473</v>
      </c>
      <c r="Z10" s="163">
        <f>'насел.'!Z10+пільги!Z10+субсидії!Z10+'держ.бюджет'!Z10+'місц.-районн.бюджет'!Z10+областной!Z10+інші!Z10</f>
        <v>473</v>
      </c>
      <c r="AA10" s="164">
        <f t="shared" si="5"/>
        <v>100</v>
      </c>
      <c r="AB10" s="163">
        <f>'насел.'!AB10+пільги!AB10+субсидії!AB10+'держ.бюджет'!AB10+'місц.-районн.бюджет'!AB10+областной!AB10+інші!AB10</f>
        <v>0</v>
      </c>
      <c r="AC10" s="163">
        <f>'насел.'!AC10+пільги!AC10+субсидії!AC10+'держ.бюджет'!AC10+'місц.-районн.бюджет'!AC10+областной!AC10+інші!AC10</f>
        <v>0</v>
      </c>
      <c r="AD10" s="169" t="e">
        <f t="shared" si="6"/>
        <v>#DIV/0!</v>
      </c>
      <c r="AE10" s="163">
        <f>'насел.'!AE10+пільги!AE10+субсидії!AE10+'держ.бюджет'!AE10+'місц.-районн.бюджет'!AE10+областной!AE10+інші!AE10</f>
        <v>0</v>
      </c>
      <c r="AF10" s="163">
        <f>'насел.'!AF10+пільги!AF10+субсидії!AF10+'держ.бюджет'!AF10+'місц.-районн.бюджет'!AF10+областной!AF10+інші!AF10</f>
        <v>0</v>
      </c>
      <c r="AG10" s="164" t="e">
        <f t="shared" si="7"/>
        <v>#DIV/0!</v>
      </c>
      <c r="AH10" s="163">
        <f>'насел.'!AH10+пільги!AH10+субсидії!AH10+'держ.бюджет'!AH10+'місц.-районн.бюджет'!AH10+областной!AH10+інші!AH10</f>
        <v>0</v>
      </c>
      <c r="AI10" s="163">
        <f>'насел.'!AI10+пільги!AI10+субсидії!AI10+'держ.бюджет'!AI10+'місц.-районн.бюджет'!AI10+областной!AI10+інші!AI10</f>
        <v>0</v>
      </c>
      <c r="AJ10" s="164" t="e">
        <f t="shared" si="8"/>
        <v>#DIV/0!</v>
      </c>
      <c r="AK10" s="163">
        <f>'насел.'!AK10+пільги!AJ10+субсидії!AK10+'держ.бюджет'!AK10+'місц.-районн.бюджет'!AK10+областной!AK10+інші!AK10</f>
        <v>0</v>
      </c>
      <c r="AL10" s="163">
        <f>'насел.'!AL10+пільги!AK10+субсидії!AL10+'держ.бюджет'!AL10+'місц.-районн.бюджет'!AL10+областной!AL10+інші!AL10</f>
        <v>0</v>
      </c>
      <c r="AM10" s="163" t="e">
        <f t="shared" si="9"/>
        <v>#DIV/0!</v>
      </c>
      <c r="AN10" s="163">
        <f>'насел.'!AN10+пільги!AM10+субсидії!AN10+'держ.бюджет'!AN10+'місц.-районн.бюджет'!AN10+областной!AN10+інші!AN10</f>
        <v>0</v>
      </c>
      <c r="AO10" s="163">
        <f>'насел.'!AO10+пільги!AN10+субсидії!AO10+'держ.бюджет'!AO10+'місц.-районн.бюджет'!AO10+областной!AO10+інші!AO10</f>
        <v>0</v>
      </c>
      <c r="AP10" s="163">
        <f>'насел.'!AP10+пільги!AO10+субсидії!AP10+'держ.бюджет'!AP10+'місц.-районн.бюджет'!AP10+областной!AP10+інші!AP10</f>
        <v>0</v>
      </c>
      <c r="AQ10" s="163">
        <f>'насел.'!AQ10+пільги!AP10+субсидії!AQ10+'держ.бюджет'!AQ10+'місц.-районн.бюджет'!AQ10+областной!AQ10+інші!AQ10</f>
        <v>0</v>
      </c>
      <c r="AR10" s="163">
        <f>'насел.'!AR10+пільги!AQ10+субсидії!AR10+'держ.бюджет'!AR10+'місц.-районн.бюджет'!AR10+областной!AR10+інші!AR10</f>
        <v>0</v>
      </c>
      <c r="AS10" s="163">
        <f>'насел.'!AS10+пільги!AR10+субсидії!AS10+'держ.бюджет'!AS10+'місц.-районн.бюджет'!AS10+областной!AS10+інші!AS10</f>
        <v>0</v>
      </c>
      <c r="AT10" s="163">
        <f>'насел.'!AT10+пільги!AS10+субсидії!AT10+'держ.бюджет'!AT10+'місц.-районн.бюджет'!AT10+областной!AT10+інші!AT10</f>
        <v>1462</v>
      </c>
      <c r="AU10" s="163">
        <f>'насел.'!AU10+пільги!AT10+субсидії!AU10+'держ.бюджет'!AU10+'місц.-районн.бюджет'!AU10+областной!AU10+інші!AU10</f>
        <v>1462</v>
      </c>
      <c r="AV10" s="164">
        <f t="shared" si="10"/>
        <v>100</v>
      </c>
      <c r="AW10" s="163">
        <f>'насел.'!AW10+пільги!AV10+субсидії!AW10+'держ.бюджет'!AW10+'місц.-районн.бюджет'!AW10+областной!AW10+інші!AW10</f>
        <v>0</v>
      </c>
      <c r="AX10" s="169">
        <f>'насел.'!AX10+пільги!AW10+субсидії!AX10+'держ.бюджет'!AX10+'місц.-районн.бюджет'!AX10+областной!AX10+інші!AX10</f>
        <v>0</v>
      </c>
      <c r="AY10" s="165">
        <f t="shared" si="13"/>
        <v>1462</v>
      </c>
      <c r="AZ10" s="165">
        <f t="shared" si="14"/>
        <v>1462</v>
      </c>
      <c r="BA10" s="165">
        <f t="shared" si="15"/>
        <v>0</v>
      </c>
      <c r="BB10" s="165">
        <f t="shared" si="16"/>
        <v>0</v>
      </c>
    </row>
    <row r="11" spans="1:54" ht="34.5" customHeight="1">
      <c r="A11" s="167" t="s">
        <v>8</v>
      </c>
      <c r="B11" s="168" t="s">
        <v>50</v>
      </c>
      <c r="C11" s="163">
        <f>'насел.'!C11+пільги!C11+субсидії!C11+'держ.бюджет'!C11+'місц.-районн.бюджет'!C11+областной!C11+інші!C11</f>
        <v>401</v>
      </c>
      <c r="D11" s="163">
        <f>'насел.'!D11+пільги!D11+субсидії!D11+'держ.бюджет'!D11+'місц.-районн.бюджет'!D11+областной!D11+інші!D11</f>
        <v>667.4000000000001</v>
      </c>
      <c r="E11" s="163">
        <f>'насел.'!E11+пільги!E11+субсидії!E11+'держ.бюджет'!E11+'місц.-районн.бюджет'!E11+областной!E11+інші!E11</f>
        <v>594.9</v>
      </c>
      <c r="F11" s="164">
        <f t="shared" si="0"/>
        <v>89.13694935570871</v>
      </c>
      <c r="G11" s="163">
        <f>'насел.'!G11+пільги!G11+субсидії!G11+'держ.бюджет'!G11+'місц.-районн.бюджет'!G11+областной!G11+інші!G11</f>
        <v>697.8000000000001</v>
      </c>
      <c r="H11" s="163">
        <f>'насел.'!H11+пільги!H11+субсидії!H11+'держ.бюджет'!H11+'місц.-районн.бюджет'!H11+областной!H11+інші!H11</f>
        <v>717.4000000000001</v>
      </c>
      <c r="I11" s="164">
        <f t="shared" si="1"/>
        <v>102.80882774433935</v>
      </c>
      <c r="J11" s="163">
        <f>'насел.'!J11+пільги!J11+субсидії!J11+'держ.бюджет'!J11+'місц.-районн.бюджет'!J11+областной!J11+інші!J11</f>
        <v>730</v>
      </c>
      <c r="K11" s="163">
        <f>'насел.'!K11+пільги!K11+субсидії!K11+'держ.бюджет'!K11+'місц.-районн.бюджет'!K11+областной!K11+інші!K11</f>
        <v>633.5</v>
      </c>
      <c r="L11" s="164">
        <f t="shared" si="2"/>
        <v>86.78082191780821</v>
      </c>
      <c r="M11" s="164">
        <f>'насел.'!M11+пільги!M11+субсидії!M11+'держ.бюджет'!M11+'місц.-районн.бюджет'!M11+областной!M11+інші!M11</f>
        <v>2095.2000000000003</v>
      </c>
      <c r="N11" s="164">
        <f>'насел.'!N11+пільги!N11+субсидії!N11+'держ.бюджет'!N11+'місц.-районн.бюджет'!N11+областной!N11+інші!N11</f>
        <v>1945.8000000000002</v>
      </c>
      <c r="O11" s="164">
        <f t="shared" si="11"/>
        <v>92.86941580756013</v>
      </c>
      <c r="P11" s="163">
        <f>'насел.'!P11+пільги!P11+субсидії!P11+'держ.бюджет'!P11+'місц.-районн.бюджет'!P11+областной!P11+інші!P11</f>
        <v>672.8999999999999</v>
      </c>
      <c r="Q11" s="163">
        <f>'насел.'!Q11+пільги!Q11+субсидії!Q11+'держ.бюджет'!Q11+'місц.-районн.бюджет'!Q11+областной!Q11+інші!Q11</f>
        <v>660.5999999999999</v>
      </c>
      <c r="R11" s="163">
        <f t="shared" si="12"/>
        <v>98.17209094962105</v>
      </c>
      <c r="S11" s="163">
        <f>'насел.'!S11+пільги!S11+субсидії!S11+'держ.бюджет'!S11+'місц.-районн.бюджет'!S11+областной!S11+інші!S11</f>
        <v>666.9999999999999</v>
      </c>
      <c r="T11" s="163">
        <f>'насел.'!T11+пільги!T11+субсидії!T11+'держ.бюджет'!T11+'місц.-районн.бюджет'!T11+областной!T11+інші!T11</f>
        <v>647.4</v>
      </c>
      <c r="U11" s="164">
        <f t="shared" si="3"/>
        <v>97.06146926536732</v>
      </c>
      <c r="V11" s="163">
        <f>'насел.'!V11+пільги!V11+субсидії!V11+'держ.бюджет'!V11+'місц.-районн.бюджет'!V11+областной!V11+інші!V11</f>
        <v>696.8</v>
      </c>
      <c r="W11" s="163">
        <f>'насел.'!W11+пільги!W11+субсидії!W11+'держ.бюджет'!W11+'місц.-районн.бюджет'!W11+областной!W11+інші!W11</f>
        <v>655.4999999999999</v>
      </c>
      <c r="X11" s="164">
        <f t="shared" si="4"/>
        <v>94.07290470723305</v>
      </c>
      <c r="Y11" s="163">
        <f>'насел.'!Y11+пільги!Y11+субсидії!Y11+'держ.бюджет'!Y11+'місц.-районн.бюджет'!Y11+областной!Y11+інші!Y11</f>
        <v>2036.6999999999998</v>
      </c>
      <c r="Z11" s="163">
        <f>'насел.'!Z11+пільги!Z11+субсидії!Z11+'держ.бюджет'!Z11+'місц.-районн.бюджет'!Z11+областной!Z11+інші!Z11</f>
        <v>1963.5</v>
      </c>
      <c r="AA11" s="164">
        <f t="shared" si="5"/>
        <v>96.4059508027692</v>
      </c>
      <c r="AB11" s="163">
        <f>'насел.'!AB11+пільги!AB11+субсидії!AB11+'держ.бюджет'!AB11+'місц.-районн.бюджет'!AB11+областной!AB11+інші!AB11</f>
        <v>0</v>
      </c>
      <c r="AC11" s="163">
        <f>'насел.'!AC11+пільги!AC11+субсидії!AC11+'держ.бюджет'!AC11+'місц.-районн.бюджет'!AC11+областной!AC11+інші!AC11</f>
        <v>0</v>
      </c>
      <c r="AD11" s="164" t="e">
        <f t="shared" si="6"/>
        <v>#DIV/0!</v>
      </c>
      <c r="AE11" s="163">
        <f>'насел.'!AE11+пільги!AE11+субсидії!AE11+'держ.бюджет'!AE11+'місц.-районн.бюджет'!AE11+областной!AE11+інші!AE11</f>
        <v>0</v>
      </c>
      <c r="AF11" s="163">
        <f>'насел.'!AF11+пільги!AF11+субсидії!AF11+'держ.бюджет'!AF11+'місц.-районн.бюджет'!AF11+областной!AF11+інші!AF11</f>
        <v>0</v>
      </c>
      <c r="AG11" s="164" t="e">
        <f t="shared" si="7"/>
        <v>#DIV/0!</v>
      </c>
      <c r="AH11" s="163">
        <f>'насел.'!AH11+пільги!AH11+субсидії!AH11+'держ.бюджет'!AH11+'місц.-районн.бюджет'!AH11+областной!AH11+інші!AH11</f>
        <v>0</v>
      </c>
      <c r="AI11" s="163">
        <f>'насел.'!AI11+пільги!AI11+субсидії!AI11+'держ.бюджет'!AI11+'місц.-районн.бюджет'!AI11+областной!AI11+інші!AI11</f>
        <v>0</v>
      </c>
      <c r="AJ11" s="164" t="e">
        <f t="shared" si="8"/>
        <v>#DIV/0!</v>
      </c>
      <c r="AK11" s="163">
        <f>'насел.'!AK11+пільги!AJ11+субсидії!AK11+'держ.бюджет'!AK11+'місц.-районн.бюджет'!AK11+областной!AK11+інші!AK11</f>
        <v>0</v>
      </c>
      <c r="AL11" s="163">
        <f>'насел.'!AL11+пільги!AK11+субсидії!AL11+'держ.бюджет'!AL11+'місц.-районн.бюджет'!AL11+областной!AL11+інші!AL11</f>
        <v>0</v>
      </c>
      <c r="AM11" s="163" t="e">
        <f t="shared" si="9"/>
        <v>#DIV/0!</v>
      </c>
      <c r="AN11" s="163">
        <f>'насел.'!AN11+пільги!AM11+субсидії!AN11+'держ.бюджет'!AN11+'місц.-районн.бюджет'!AN11+областной!AN11+інші!AN11</f>
        <v>0</v>
      </c>
      <c r="AO11" s="163">
        <f>'насел.'!AO11+пільги!AN11+субсидії!AO11+'держ.бюджет'!AO11+'місц.-районн.бюджет'!AO11+областной!AO11+інші!AO11</f>
        <v>0</v>
      </c>
      <c r="AP11" s="163">
        <f>'насел.'!AP11+пільги!AO11+субсидії!AP11+'держ.бюджет'!AP11+'місц.-районн.бюджет'!AP11+областной!AP11+інші!AP11</f>
        <v>0</v>
      </c>
      <c r="AQ11" s="163">
        <f>'насел.'!AQ11+пільги!AP11+субсидії!AQ11+'держ.бюджет'!AQ11+'місц.-районн.бюджет'!AQ11+областной!AQ11+інші!AQ11</f>
        <v>0</v>
      </c>
      <c r="AR11" s="163">
        <f>'насел.'!AR11+пільги!AQ11+субсидії!AR11+'держ.бюджет'!AR11+'місц.-районн.бюджет'!AR11+областной!AR11+інші!AR11</f>
        <v>0</v>
      </c>
      <c r="AS11" s="163">
        <f>'насел.'!AS11+пільги!AR11+субсидії!AS11+'держ.бюджет'!AS11+'місц.-районн.бюджет'!AS11+областной!AS11+інші!AS11</f>
        <v>0</v>
      </c>
      <c r="AT11" s="163">
        <f>'насел.'!AT11+пільги!AS11+субсидії!AT11+'держ.бюджет'!AT11+'місц.-районн.бюджет'!AT11+областной!AT11+інші!AT11</f>
        <v>4131.9</v>
      </c>
      <c r="AU11" s="163">
        <f>'насел.'!AU11+пільги!AT11+субсидії!AU11+'держ.бюджет'!AU11+'місц.-районн.бюджет'!AU11+областной!AU11+інші!AU11</f>
        <v>3909.3</v>
      </c>
      <c r="AV11" s="164">
        <f t="shared" si="10"/>
        <v>94.61264793436435</v>
      </c>
      <c r="AW11" s="163">
        <f>'насел.'!AW11+пільги!AV11+субсидії!AW11+'держ.бюджет'!AW11+'місц.-районн.бюджет'!AW11+областной!AW11+інші!AW11</f>
        <v>222.6000000000002</v>
      </c>
      <c r="AX11" s="169">
        <f>'насел.'!AX11+пільги!AW11+субсидії!AX11+'держ.бюджет'!AX11+'місц.-районн.бюджет'!AX11+областной!AX11+інші!AX11</f>
        <v>623.6000000000001</v>
      </c>
      <c r="AY11" s="165">
        <f t="shared" si="13"/>
        <v>4131.9</v>
      </c>
      <c r="AZ11" s="165">
        <f t="shared" si="14"/>
        <v>3909.3</v>
      </c>
      <c r="BA11" s="165">
        <f t="shared" si="15"/>
        <v>222.59999999999945</v>
      </c>
      <c r="BB11" s="165">
        <f t="shared" si="16"/>
        <v>623.5999999999995</v>
      </c>
    </row>
    <row r="12" spans="1:54" s="173" customFormat="1" ht="34.5" customHeight="1">
      <c r="A12" s="171" t="s">
        <v>9</v>
      </c>
      <c r="B12" s="168" t="s">
        <v>51</v>
      </c>
      <c r="C12" s="163">
        <f>'насел.'!C12+пільги!C12+субсидії!C12+'держ.бюджет'!C12+'місц.-районн.бюджет'!C12+областной!C12+інші!C12</f>
        <v>504</v>
      </c>
      <c r="D12" s="163">
        <f>'насел.'!D12+пільги!D12+субсидії!D12+'держ.бюджет'!D12+'місц.-районн.бюджет'!D12+областной!D12+інші!D12</f>
        <v>412.20000000000005</v>
      </c>
      <c r="E12" s="163">
        <f>'насел.'!E12+пільги!E12+субсидії!E12+'держ.бюджет'!E12+'місц.-районн.бюджет'!E12+областной!E12+інші!E12</f>
        <v>400.59999999999997</v>
      </c>
      <c r="F12" s="164">
        <f t="shared" si="0"/>
        <v>97.18583212032992</v>
      </c>
      <c r="G12" s="163">
        <f>'насел.'!G12+пільги!G12+субсидії!G12+'держ.бюджет'!G12+'місц.-районн.бюджет'!G12+областной!G12+інші!G12</f>
        <v>511.3</v>
      </c>
      <c r="H12" s="163">
        <f>'насел.'!H12+пільги!H12+субсидії!H12+'держ.бюджет'!H12+'місц.-районн.бюджет'!H12+областной!H12+інші!H12</f>
        <v>478.8</v>
      </c>
      <c r="I12" s="164">
        <f t="shared" si="1"/>
        <v>93.64365343242714</v>
      </c>
      <c r="J12" s="163">
        <f>'насел.'!J12+пільги!J12+субсидії!J12+'держ.бюджет'!J12+'місц.-районн.бюджет'!J12+областной!J12+інші!J12</f>
        <v>478.7</v>
      </c>
      <c r="K12" s="163">
        <f>'насел.'!K12+пільги!K12+субсидії!K12+'держ.бюджет'!K12+'місц.-районн.бюджет'!K12+областной!K12+інші!K12</f>
        <v>444</v>
      </c>
      <c r="L12" s="174">
        <f t="shared" si="2"/>
        <v>92.75120116983497</v>
      </c>
      <c r="M12" s="164">
        <f>'насел.'!M12+пільги!M12+субсидії!M12+'держ.бюджет'!M12+'місц.-районн.бюджет'!M12+областной!M12+інші!M12</f>
        <v>1402.2</v>
      </c>
      <c r="N12" s="164">
        <f>'насел.'!N12+пільги!N12+субсидії!N12+'держ.бюджет'!N12+'місц.-районн.бюджет'!N12+областной!N12+інші!N12</f>
        <v>1323.4</v>
      </c>
      <c r="O12" s="164">
        <f t="shared" si="11"/>
        <v>94.3802595920696</v>
      </c>
      <c r="P12" s="163">
        <f>'насел.'!P12+пільги!P12+субсидії!P12+'держ.бюджет'!P12+'місц.-районн.бюджет'!P12+областной!P12+інші!P12</f>
        <v>432.8</v>
      </c>
      <c r="Q12" s="163">
        <f>'насел.'!Q12+пільги!Q12+субсидії!Q12+'держ.бюджет'!Q12+'місц.-районн.бюджет'!Q12+областной!Q12+інші!Q12</f>
        <v>434.1</v>
      </c>
      <c r="R12" s="163">
        <f t="shared" si="12"/>
        <v>100.3003696857671</v>
      </c>
      <c r="S12" s="163">
        <f>'насел.'!S12+пільги!S12+субсидії!S12+'держ.бюджет'!S12+'місц.-районн.бюджет'!S12+областной!S12+інші!S12</f>
        <v>452.20000000000005</v>
      </c>
      <c r="T12" s="163">
        <f>'насел.'!T12+пільги!T12+субсидії!T12+'держ.бюджет'!T12+'місц.-районн.бюджет'!T12+областной!T12+інші!T12</f>
        <v>387.6</v>
      </c>
      <c r="U12" s="175">
        <f t="shared" si="3"/>
        <v>85.71428571428571</v>
      </c>
      <c r="V12" s="163">
        <f>'насел.'!V12+пільги!V12+субсидії!V12+'держ.бюджет'!V12+'місц.-районн.бюджет'!V12+областной!V12+інші!V12</f>
        <v>444.3</v>
      </c>
      <c r="W12" s="163">
        <f>'насел.'!W12+пільги!W12+субсидії!W12+'держ.бюджет'!W12+'місц.-районн.бюджет'!W12+областной!W12+інші!W12</f>
        <v>422.3</v>
      </c>
      <c r="X12" s="175">
        <f t="shared" si="4"/>
        <v>95.04839072698627</v>
      </c>
      <c r="Y12" s="163">
        <f>'насел.'!Y12+пільги!Y12+субсидії!Y12+'держ.бюджет'!Y12+'місц.-районн.бюджет'!Y12+областной!Y12+інші!Y12</f>
        <v>1329.3000000000002</v>
      </c>
      <c r="Z12" s="163">
        <f>'насел.'!Z12+пільги!Z12+субсидії!Z12+'держ.бюджет'!Z12+'місц.-районн.бюджет'!Z12+областной!Z12+інші!Z12</f>
        <v>1243.9999999999998</v>
      </c>
      <c r="AA12" s="164">
        <f t="shared" si="5"/>
        <v>93.58308884375232</v>
      </c>
      <c r="AB12" s="163">
        <f>'насел.'!AB12+пільги!AB12+субсидії!AB12+'держ.бюджет'!AB12+'місц.-районн.бюджет'!AB12+областной!AB12+інші!AB12</f>
        <v>0</v>
      </c>
      <c r="AC12" s="163">
        <f>'насел.'!AC12+пільги!AC12+субсидії!AC12+'держ.бюджет'!AC12+'місц.-районн.бюджет'!AC12+областной!AC12+інші!AC12</f>
        <v>0</v>
      </c>
      <c r="AD12" s="175" t="e">
        <f t="shared" si="6"/>
        <v>#DIV/0!</v>
      </c>
      <c r="AE12" s="163">
        <f>'насел.'!AE12+пільги!AE12+субсидії!AE12+'держ.бюджет'!AE12+'місц.-районн.бюджет'!AE12+областной!AE12+інші!AE12</f>
        <v>0</v>
      </c>
      <c r="AF12" s="163">
        <f>'насел.'!AF12+пільги!AF12+субсидії!AF12+'держ.бюджет'!AF12+'місц.-районн.бюджет'!AF12+областной!AF12+інші!AF12</f>
        <v>0</v>
      </c>
      <c r="AG12" s="164" t="e">
        <f t="shared" si="7"/>
        <v>#DIV/0!</v>
      </c>
      <c r="AH12" s="163">
        <f>'насел.'!AH12+пільги!AH12+субсидії!AH12+'держ.бюджет'!AH12+'місц.-районн.бюджет'!AH12+областной!AH12+інші!AH12</f>
        <v>0</v>
      </c>
      <c r="AI12" s="163">
        <f>'насел.'!AI12+пільги!AI12+субсидії!AI12+'держ.бюджет'!AI12+'місц.-районн.бюджет'!AI12+областной!AI12+інші!AI12</f>
        <v>0</v>
      </c>
      <c r="AJ12" s="164" t="e">
        <f t="shared" si="8"/>
        <v>#DIV/0!</v>
      </c>
      <c r="AK12" s="163">
        <f>'насел.'!AK12+пільги!AJ12+субсидії!AK12+'держ.бюджет'!AK12+'місц.-районн.бюджет'!AK12+областной!AK12+інші!AK12</f>
        <v>0</v>
      </c>
      <c r="AL12" s="163">
        <f>'насел.'!AL12+пільги!AK12+субсидії!AL12+'держ.бюджет'!AL12+'місц.-районн.бюджет'!AL12+областной!AL12+інші!AL12</f>
        <v>0</v>
      </c>
      <c r="AM12" s="163" t="e">
        <f t="shared" si="9"/>
        <v>#DIV/0!</v>
      </c>
      <c r="AN12" s="163">
        <f>'насел.'!AN12+пільги!AM12+субсидії!AN12+'держ.бюджет'!AN12+'місц.-районн.бюджет'!AN12+областной!AN12+інші!AN12</f>
        <v>0</v>
      </c>
      <c r="AO12" s="163">
        <f>'насел.'!AO12+пільги!AN12+субсидії!AO12+'держ.бюджет'!AO12+'місц.-районн.бюджет'!AO12+областной!AO12+інші!AO12</f>
        <v>0</v>
      </c>
      <c r="AP12" s="163">
        <f>'насел.'!AP12+пільги!AO12+субсидії!AP12+'держ.бюджет'!AP12+'місц.-районн.бюджет'!AP12+областной!AP12+інші!AP12</f>
        <v>0</v>
      </c>
      <c r="AQ12" s="163">
        <f>'насел.'!AQ12+пільги!AP12+субсидії!AQ12+'держ.бюджет'!AQ12+'місц.-районн.бюджет'!AQ12+областной!AQ12+інші!AQ12</f>
        <v>0</v>
      </c>
      <c r="AR12" s="163">
        <f>'насел.'!AR12+пільги!AQ12+субсидії!AR12+'держ.бюджет'!AR12+'місц.-районн.бюджет'!AR12+областной!AR12+інші!AR12</f>
        <v>0</v>
      </c>
      <c r="AS12" s="163">
        <f>'насел.'!AS12+пільги!AR12+субсидії!AS12+'держ.бюджет'!AS12+'місц.-районн.бюджет'!AS12+областной!AS12+інші!AS12</f>
        <v>0</v>
      </c>
      <c r="AT12" s="163">
        <f>'насел.'!AT12+пільги!AS12+субсидії!AT12+'держ.бюджет'!AT12+'місц.-районн.бюджет'!AT12+областной!AT12+інші!AT12</f>
        <v>2731.5000000000005</v>
      </c>
      <c r="AU12" s="163">
        <f>'насел.'!AU12+пільги!AT12+субсидії!AU12+'держ.бюджет'!AU12+'місц.-районн.бюджет'!AU12+областной!AU12+інші!AU12</f>
        <v>2567.4000000000005</v>
      </c>
      <c r="AV12" s="164">
        <f t="shared" si="10"/>
        <v>93.99231191652937</v>
      </c>
      <c r="AW12" s="163">
        <f>'насел.'!AW12+пільги!AV12+субсидії!AW12+'держ.бюджет'!AW12+'місц.-районн.бюджет'!AW12+областной!AW12+інші!AW12</f>
        <v>164.10000000000008</v>
      </c>
      <c r="AX12" s="169">
        <f>'насел.'!AX12+пільги!AW12+субсидії!AX12+'держ.бюджет'!AX12+'місц.-районн.бюджет'!AX12+областной!AX12+інші!AX12</f>
        <v>668.1</v>
      </c>
      <c r="AY12" s="165">
        <f t="shared" si="13"/>
        <v>2731.5</v>
      </c>
      <c r="AZ12" s="165">
        <f t="shared" si="14"/>
        <v>2567.3999999999996</v>
      </c>
      <c r="BA12" s="165">
        <f t="shared" si="15"/>
        <v>164.10000000000036</v>
      </c>
      <c r="BB12" s="165">
        <f t="shared" si="16"/>
        <v>668.1000000000004</v>
      </c>
    </row>
    <row r="13" spans="1:54" ht="34.5" customHeight="1">
      <c r="A13" s="167" t="s">
        <v>10</v>
      </c>
      <c r="B13" s="168" t="s">
        <v>52</v>
      </c>
      <c r="C13" s="163">
        <f>'насел.'!C13+пільги!C13+субсидії!C13+'держ.бюджет'!C13+'місц.-районн.бюджет'!C13+областной!C13+інші!C13</f>
        <v>484.40000000000003</v>
      </c>
      <c r="D13" s="163">
        <f>'насел.'!D13+пільги!D13+субсидії!D13+'держ.бюджет'!D13+'місц.-районн.бюджет'!D13+областной!D13+інші!D13</f>
        <v>885.3999999999999</v>
      </c>
      <c r="E13" s="163">
        <f>'насел.'!E13+пільги!E13+субсидії!E13+'держ.бюджет'!E13+'місц.-районн.бюджет'!E13+областной!E13+інші!E13</f>
        <v>768.1</v>
      </c>
      <c r="F13" s="164">
        <f t="shared" si="0"/>
        <v>86.75175062118818</v>
      </c>
      <c r="G13" s="163">
        <f>'насел.'!G13+пільги!G13+субсидії!G13+'держ.бюджет'!G13+'місц.-районн.бюджет'!G13+областной!G13+інші!G13</f>
        <v>853.4</v>
      </c>
      <c r="H13" s="163">
        <f>'насел.'!H13+пільги!H13+субсидії!H13+'держ.бюджет'!H13+'місц.-районн.бюджет'!H13+областной!H13+інші!H13</f>
        <v>849.7</v>
      </c>
      <c r="I13" s="164">
        <f t="shared" si="1"/>
        <v>99.56644012186548</v>
      </c>
      <c r="J13" s="163">
        <f>'насел.'!J13+пільги!J13+субсидії!J13+'держ.бюджет'!J13+'місц.-районн.бюджет'!J13+областной!J13+інші!J13</f>
        <v>865.6400000000001</v>
      </c>
      <c r="K13" s="163">
        <f>'насел.'!K13+пільги!K13+субсидії!K13+'держ.бюджет'!K13+'місц.-районн.бюджет'!K13+областной!K13+інші!K13</f>
        <v>749.1099999999999</v>
      </c>
      <c r="L13" s="164">
        <f t="shared" si="2"/>
        <v>86.53828381313245</v>
      </c>
      <c r="M13" s="164">
        <f>'насел.'!M13+пільги!M13+субсидії!M13+'держ.бюджет'!M13+'місц.-районн.бюджет'!M13+областной!M13+інші!M13</f>
        <v>2604.44</v>
      </c>
      <c r="N13" s="164">
        <f>'насел.'!N13+пільги!N13+субсидії!N13+'держ.бюджет'!N13+'місц.-районн.бюджет'!N13+областной!N13+інші!N13</f>
        <v>2366.91</v>
      </c>
      <c r="O13" s="164">
        <f t="shared" si="11"/>
        <v>90.87980525564035</v>
      </c>
      <c r="P13" s="163">
        <f>'насел.'!P13+пільги!P13+субсидії!P13+'держ.бюджет'!P13+'місц.-районн.бюджет'!P13+областной!P13+інші!P13</f>
        <v>815.4200000000001</v>
      </c>
      <c r="Q13" s="163">
        <f>'насел.'!Q13+пільги!Q13+субсидії!Q13+'держ.бюджет'!Q13+'місц.-районн.бюджет'!Q13+областной!Q13+інші!Q13</f>
        <v>709.4</v>
      </c>
      <c r="R13" s="163">
        <f t="shared" si="12"/>
        <v>86.9981114027127</v>
      </c>
      <c r="S13" s="163">
        <f>'насел.'!S13+пільги!S13+субсидії!S13+'держ.бюджет'!S13+'місц.-районн.бюджет'!S13+областной!S13+інші!S13</f>
        <v>812.8000000000001</v>
      </c>
      <c r="T13" s="163">
        <f>'насел.'!T13+пільги!T13+субсидії!T13+'держ.бюджет'!T13+'місц.-районн.бюджет'!T13+областной!T13+інші!T13</f>
        <v>806.9</v>
      </c>
      <c r="U13" s="164">
        <f t="shared" si="3"/>
        <v>99.27411417322833</v>
      </c>
      <c r="V13" s="163">
        <f>'насел.'!V13+пільги!V13+субсидії!V13+'держ.бюджет'!V13+'місц.-районн.бюджет'!V13+областной!V13+інші!V13</f>
        <v>899.2</v>
      </c>
      <c r="W13" s="163">
        <f>'насел.'!W13+пільги!W13+субсидії!W13+'держ.бюджет'!W13+'місц.-районн.бюджет'!W13+областной!W13+інші!W13</f>
        <v>899.9</v>
      </c>
      <c r="X13" s="164">
        <f t="shared" si="4"/>
        <v>100.07784697508897</v>
      </c>
      <c r="Y13" s="163">
        <f>'насел.'!Y13+пільги!Y13+субсидії!Y13+'держ.бюджет'!Y13+'місц.-районн.бюджет'!Y13+областной!Y13+інші!Y13</f>
        <v>2527.42</v>
      </c>
      <c r="Z13" s="163">
        <f>'насел.'!Z13+пільги!Z13+субсидії!Z13+'держ.бюджет'!Z13+'місц.-районн.бюджет'!Z13+областной!Z13+інші!Z13</f>
        <v>2416.2000000000003</v>
      </c>
      <c r="AA13" s="164">
        <f t="shared" si="5"/>
        <v>95.59946506714357</v>
      </c>
      <c r="AB13" s="163">
        <f>'насел.'!AB13+пільги!AB13+субсидії!AB13+'держ.бюджет'!AB13+'місц.-районн.бюджет'!AB13+областной!AB13+інші!AB13</f>
        <v>0</v>
      </c>
      <c r="AC13" s="163">
        <f>'насел.'!AC13+пільги!AC13+субсидії!AC13+'держ.бюджет'!AC13+'місц.-районн.бюджет'!AC13+областной!AC13+інші!AC13</f>
        <v>0</v>
      </c>
      <c r="AD13" s="164" t="e">
        <f t="shared" si="6"/>
        <v>#DIV/0!</v>
      </c>
      <c r="AE13" s="163">
        <f>'насел.'!AE13+пільги!AE13+субсидії!AE13+'держ.бюджет'!AE13+'місц.-районн.бюджет'!AE13+областной!AE13+інші!AE13</f>
        <v>0</v>
      </c>
      <c r="AF13" s="163">
        <f>'насел.'!AF13+пільги!AF13+субсидії!AF13+'держ.бюджет'!AF13+'місц.-районн.бюджет'!AF13+областной!AF13+інші!AF13</f>
        <v>0</v>
      </c>
      <c r="AG13" s="164" t="e">
        <f t="shared" si="7"/>
        <v>#DIV/0!</v>
      </c>
      <c r="AH13" s="163">
        <f>'насел.'!AH13+пільги!AH13+субсидії!AH13+'держ.бюджет'!AH13+'місц.-районн.бюджет'!AH13+областной!AH13+інші!AH13</f>
        <v>0</v>
      </c>
      <c r="AI13" s="163">
        <f>'насел.'!AI13+пільги!AI13+субсидії!AI13+'держ.бюджет'!AI13+'місц.-районн.бюджет'!AI13+областной!AI13+інші!AI13</f>
        <v>0</v>
      </c>
      <c r="AJ13" s="164" t="e">
        <f t="shared" si="8"/>
        <v>#DIV/0!</v>
      </c>
      <c r="AK13" s="163">
        <f>'насел.'!AK13+пільги!AJ13+субсидії!AK13+'держ.бюджет'!AK13+'місц.-районн.бюджет'!AK13+областной!AK13+інші!AK13</f>
        <v>0</v>
      </c>
      <c r="AL13" s="163">
        <f>'насел.'!AL13+пільги!AK13+субсидії!AL13+'держ.бюджет'!AL13+'місц.-районн.бюджет'!AL13+областной!AL13+інші!AL13</f>
        <v>0</v>
      </c>
      <c r="AM13" s="163" t="e">
        <f t="shared" si="9"/>
        <v>#DIV/0!</v>
      </c>
      <c r="AN13" s="163">
        <f>'насел.'!AN13+пільги!AM13+субсидії!AN13+'держ.бюджет'!AN13+'місц.-районн.бюджет'!AN13+областной!AN13+інші!AN13</f>
        <v>0</v>
      </c>
      <c r="AO13" s="163">
        <f>'насел.'!AO13+пільги!AN13+субсидії!AO13+'держ.бюджет'!AO13+'місц.-районн.бюджет'!AO13+областной!AO13+інші!AO13</f>
        <v>0</v>
      </c>
      <c r="AP13" s="163">
        <f>'насел.'!AP13+пільги!AO13+субсидії!AP13+'держ.бюджет'!AP13+'місц.-районн.бюджет'!AP13+областной!AP13+інші!AP13</f>
        <v>0</v>
      </c>
      <c r="AQ13" s="163">
        <f>'насел.'!AQ13+пільги!AP13+субсидії!AQ13+'держ.бюджет'!AQ13+'місц.-районн.бюджет'!AQ13+областной!AQ13+інші!AQ13</f>
        <v>0</v>
      </c>
      <c r="AR13" s="163">
        <f>'насел.'!AR13+пільги!AQ13+субсидії!AR13+'держ.бюджет'!AR13+'місц.-районн.бюджет'!AR13+областной!AR13+інші!AR13</f>
        <v>0</v>
      </c>
      <c r="AS13" s="163">
        <f>'насел.'!AS13+пільги!AR13+субсидії!AS13+'держ.бюджет'!AS13+'місц.-районн.бюджет'!AS13+областной!AS13+інші!AS13</f>
        <v>0</v>
      </c>
      <c r="AT13" s="163">
        <f>'насел.'!AT13+пільги!AS13+субсидії!AT13+'держ.бюджет'!AT13+'місц.-районн.бюджет'!AT13+областной!AT13+інші!AT13</f>
        <v>5131.860000000001</v>
      </c>
      <c r="AU13" s="163">
        <f>'насел.'!AU13+пільги!AT13+субсидії!AU13+'держ.бюджет'!AU13+'місц.-районн.бюджет'!AU13+областной!AU13+інші!AU13</f>
        <v>4783.110000000001</v>
      </c>
      <c r="AV13" s="164">
        <f t="shared" si="10"/>
        <v>93.2042183535794</v>
      </c>
      <c r="AW13" s="163">
        <f>'насел.'!AW13+пільги!AV13+субсидії!AW13+'держ.бюджет'!AW13+'місц.-районн.бюджет'!AW13+областной!AW13+інші!AW13</f>
        <v>348.7500000000003</v>
      </c>
      <c r="AX13" s="169">
        <f>'насел.'!AX13+пільги!AW13+субсидії!AX13+'держ.бюджет'!AX13+'місц.-районн.бюджет'!AX13+областной!AX13+інші!AX13</f>
        <v>833.15</v>
      </c>
      <c r="AY13" s="165">
        <f t="shared" si="13"/>
        <v>5131.860000000001</v>
      </c>
      <c r="AZ13" s="165">
        <f t="shared" si="14"/>
        <v>4783.110000000001</v>
      </c>
      <c r="BA13" s="165">
        <f t="shared" si="15"/>
        <v>348.75</v>
      </c>
      <c r="BB13" s="165">
        <f t="shared" si="16"/>
        <v>833.1499999999996</v>
      </c>
    </row>
    <row r="14" spans="1:54" ht="34.5" customHeight="1">
      <c r="A14" s="167" t="s">
        <v>11</v>
      </c>
      <c r="B14" s="168" t="s">
        <v>82</v>
      </c>
      <c r="C14" s="163">
        <f>'насел.'!C14+пільги!C14+субсидії!C14+'держ.бюджет'!C14+'місц.-районн.бюджет'!C14+областной!C14+інші!C14</f>
        <v>246.80000000000004</v>
      </c>
      <c r="D14" s="163">
        <f>'насел.'!D14+пільги!D14+субсидії!D14+'держ.бюджет'!D14+'місц.-районн.бюджет'!D14+областной!D14+інші!D14</f>
        <v>349.99999999999994</v>
      </c>
      <c r="E14" s="163">
        <f>'насел.'!E14+пільги!E14+субсидії!E14+'держ.бюджет'!E14+'місц.-районн.бюджет'!E14+областной!E14+інші!E14</f>
        <v>311.49999999999994</v>
      </c>
      <c r="F14" s="164">
        <f t="shared" si="0"/>
        <v>89</v>
      </c>
      <c r="G14" s="163">
        <f>'насел.'!G14+пільги!G14+субсидії!G14+'держ.бюджет'!G14+'місц.-районн.бюджет'!G14+областной!G14+інші!G14</f>
        <v>347.20000000000005</v>
      </c>
      <c r="H14" s="163">
        <f>'насел.'!H14+пільги!H14+субсидії!H14+'держ.бюджет'!H14+'місц.-районн.бюджет'!H14+областной!H14+інші!H14</f>
        <v>301.40000000000003</v>
      </c>
      <c r="I14" s="164">
        <f t="shared" si="1"/>
        <v>86.80875576036865</v>
      </c>
      <c r="J14" s="163">
        <f>'насел.'!J14+пільги!J14+субсидії!J14+'держ.бюджет'!J14+'місц.-районн.бюджет'!J14+областной!J14+інші!J14</f>
        <v>349.90000000000003</v>
      </c>
      <c r="K14" s="163">
        <f>'насел.'!K14+пільги!K14+субсидії!K14+'держ.бюджет'!K14+'місц.-районн.бюджет'!K14+областной!K14+інші!K14</f>
        <v>320.4</v>
      </c>
      <c r="L14" s="164">
        <f t="shared" si="2"/>
        <v>91.56901971991996</v>
      </c>
      <c r="M14" s="164">
        <f>'насел.'!M14+пільги!M14+субсидії!M14+'держ.бюджет'!M14+'місц.-районн.бюджет'!M14+областной!M14+інші!M14</f>
        <v>1047.1</v>
      </c>
      <c r="N14" s="164">
        <f>'насел.'!N14+пільги!N14+субсидії!N14+'держ.бюджет'!N14+'місц.-районн.бюджет'!N14+областной!N14+інші!N14</f>
        <v>933.3</v>
      </c>
      <c r="O14" s="164">
        <f t="shared" si="11"/>
        <v>89.1318880718174</v>
      </c>
      <c r="P14" s="163">
        <f>'насел.'!P14+пільги!P14+субсидії!P14+'держ.бюджет'!P14+'місц.-районн.бюджет'!P14+областной!P14+інші!P14</f>
        <v>345.8</v>
      </c>
      <c r="Q14" s="163">
        <f>'насел.'!Q14+пільги!Q14+субсидії!Q14+'держ.бюджет'!Q14+'місц.-районн.бюджет'!Q14+областной!Q14+інші!Q14</f>
        <v>318.40000000000003</v>
      </c>
      <c r="R14" s="163">
        <f t="shared" si="12"/>
        <v>92.07634470792367</v>
      </c>
      <c r="S14" s="163">
        <f>'насел.'!S14+пільги!S14+субсидії!S14+'держ.бюджет'!S14+'місц.-районн.бюджет'!S14+областной!S14+інші!S14</f>
        <v>344.6</v>
      </c>
      <c r="T14" s="163">
        <f>'насел.'!T14+пільги!T14+субсидії!T14+'держ.бюджет'!T14+'місц.-районн.бюджет'!T14+областной!T14+інші!T14</f>
        <v>303.40000000000003</v>
      </c>
      <c r="U14" s="164">
        <f t="shared" si="3"/>
        <v>88.04410911201394</v>
      </c>
      <c r="V14" s="163">
        <f>'насел.'!V14+пільги!V14+субсидії!V14+'держ.бюджет'!V14+'місц.-районн.бюджет'!V14+областной!V14+інші!V14</f>
        <v>335.70000000000005</v>
      </c>
      <c r="W14" s="163">
        <f>'насел.'!W14+пільги!W14+субсидії!W14+'держ.бюджет'!W14+'місц.-районн.бюджет'!W14+областной!W14+інші!W14</f>
        <v>308.40000000000003</v>
      </c>
      <c r="X14" s="164">
        <f t="shared" si="4"/>
        <v>91.86773905272565</v>
      </c>
      <c r="Y14" s="163">
        <f>'насел.'!Y14+пільги!Y14+субсидії!Y14+'держ.бюджет'!Y14+'місц.-районн.бюджет'!Y14+областной!Y14+інші!Y14</f>
        <v>1026.1000000000001</v>
      </c>
      <c r="Z14" s="163">
        <f>'насел.'!Z14+пільги!Z14+субсидії!Z14+'держ.бюджет'!Z14+'місц.-районн.бюджет'!Z14+областной!Z14+інші!Z14</f>
        <v>930.2</v>
      </c>
      <c r="AA14" s="164">
        <f t="shared" si="5"/>
        <v>90.65393236526653</v>
      </c>
      <c r="AB14" s="163">
        <f>'насел.'!AB14+пільги!AB14+субсидії!AB14+'держ.бюджет'!AB14+'місц.-районн.бюджет'!AB14+областной!AB14+інші!AB14</f>
        <v>0</v>
      </c>
      <c r="AC14" s="163">
        <f>'насел.'!AC14+пільги!AC14+субсидії!AC14+'держ.бюджет'!AC14+'місц.-районн.бюджет'!AC14+областной!AC14+інші!AC14</f>
        <v>0</v>
      </c>
      <c r="AD14" s="164" t="e">
        <f t="shared" si="6"/>
        <v>#DIV/0!</v>
      </c>
      <c r="AE14" s="163">
        <f>'насел.'!AE14+пільги!AE14+субсидії!AE14+'держ.бюджет'!AE14+'місц.-районн.бюджет'!AE14+областной!AE14+інші!AE14</f>
        <v>0</v>
      </c>
      <c r="AF14" s="163">
        <f>'насел.'!AF14+пільги!AF14+субсидії!AF14+'держ.бюджет'!AF14+'місц.-районн.бюджет'!AF14+областной!AF14+інші!AF14</f>
        <v>0</v>
      </c>
      <c r="AG14" s="164" t="e">
        <f t="shared" si="7"/>
        <v>#DIV/0!</v>
      </c>
      <c r="AH14" s="163">
        <f>'насел.'!AH14+пільги!AH14+субсидії!AH14+'держ.бюджет'!AH14+'місц.-районн.бюджет'!AH14+областной!AH14+інші!AH14</f>
        <v>0</v>
      </c>
      <c r="AI14" s="163">
        <f>'насел.'!AI14+пільги!AI14+субсидії!AI14+'держ.бюджет'!AI14+'місц.-районн.бюджет'!AI14+областной!AI14+інші!AI14</f>
        <v>0</v>
      </c>
      <c r="AJ14" s="164" t="e">
        <f t="shared" si="8"/>
        <v>#DIV/0!</v>
      </c>
      <c r="AK14" s="163">
        <f>'насел.'!AK14+пільги!AJ14+субсидії!AK14+'держ.бюджет'!AK14+'місц.-районн.бюджет'!AK14+областной!AK14+інші!AK14</f>
        <v>0</v>
      </c>
      <c r="AL14" s="163">
        <f>'насел.'!AL14+пільги!AK14+субсидії!AL14+'держ.бюджет'!AL14+'місц.-районн.бюджет'!AL14+областной!AL14+інші!AL14</f>
        <v>0</v>
      </c>
      <c r="AM14" s="163" t="e">
        <f t="shared" si="9"/>
        <v>#DIV/0!</v>
      </c>
      <c r="AN14" s="163">
        <f>'насел.'!AN14+пільги!AM14+субсидії!AN14+'держ.бюджет'!AN14+'місц.-районн.бюджет'!AN14+областной!AN14+інші!AN14</f>
        <v>0</v>
      </c>
      <c r="AO14" s="163">
        <f>'насел.'!AO14+пільги!AN14+субсидії!AO14+'держ.бюджет'!AO14+'місц.-районн.бюджет'!AO14+областной!AO14+інші!AO14</f>
        <v>0</v>
      </c>
      <c r="AP14" s="163">
        <f>'насел.'!AP14+пільги!AO14+субсидії!AP14+'держ.бюджет'!AP14+'місц.-районн.бюджет'!AP14+областной!AP14+інші!AP14</f>
        <v>0</v>
      </c>
      <c r="AQ14" s="163">
        <f>'насел.'!AQ14+пільги!AP14+субсидії!AQ14+'держ.бюджет'!AQ14+'місц.-районн.бюджет'!AQ14+областной!AQ14+інші!AQ14</f>
        <v>0</v>
      </c>
      <c r="AR14" s="163">
        <f>'насел.'!AR14+пільги!AQ14+субсидії!AR14+'держ.бюджет'!AR14+'місц.-районн.бюджет'!AR14+областной!AR14+інші!AR14</f>
        <v>0</v>
      </c>
      <c r="AS14" s="163">
        <f>'насел.'!AS14+пільги!AR14+субсидії!AS14+'держ.бюджет'!AS14+'місц.-районн.бюджет'!AS14+областной!AS14+інші!AS14</f>
        <v>0</v>
      </c>
      <c r="AT14" s="163">
        <f>'насел.'!AT14+пільги!AS14+субсидії!AT14+'держ.бюджет'!AT14+'місц.-районн.бюджет'!AT14+областной!AT14+інші!AT14</f>
        <v>2073.2</v>
      </c>
      <c r="AU14" s="163">
        <f>'насел.'!AU14+пільги!AT14+субсидії!AU14+'держ.бюджет'!AU14+'місц.-районн.бюджет'!AU14+областной!AU14+інші!AU14</f>
        <v>1863.4999999999998</v>
      </c>
      <c r="AV14" s="164">
        <f t="shared" si="10"/>
        <v>89.88520162068299</v>
      </c>
      <c r="AW14" s="163">
        <f>'насел.'!AW14+пільги!AV14+субсидії!AW14+'держ.бюджет'!AW14+'місц.-районн.бюджет'!AW14+областной!AW14+інші!AW14</f>
        <v>209.70000000000027</v>
      </c>
      <c r="AX14" s="169">
        <f>'насел.'!AX14+пільги!AW14+субсидії!AX14+'держ.бюджет'!AX14+'місц.-районн.бюджет'!AX14+областной!AX14+інші!AX14</f>
        <v>456.50000000000034</v>
      </c>
      <c r="AY14" s="165">
        <f t="shared" si="13"/>
        <v>2073.2</v>
      </c>
      <c r="AZ14" s="165">
        <f t="shared" si="14"/>
        <v>1863.5</v>
      </c>
      <c r="BA14" s="165">
        <f t="shared" si="15"/>
        <v>209.69999999999982</v>
      </c>
      <c r="BB14" s="165">
        <f t="shared" si="16"/>
        <v>456.5</v>
      </c>
    </row>
    <row r="15" spans="1:54" ht="34.5" customHeight="1">
      <c r="A15" s="167" t="s">
        <v>12</v>
      </c>
      <c r="B15" s="168" t="s">
        <v>53</v>
      </c>
      <c r="C15" s="163">
        <f>'насел.'!C15+пільги!C15+субсидії!C15+'держ.бюджет'!C15+'місц.-районн.бюджет'!C15+областной!C15+інші!C15</f>
        <v>2055</v>
      </c>
      <c r="D15" s="163">
        <f>'насел.'!D15+пільги!D15+субсидії!D15+'держ.бюджет'!D15+'місц.-районн.бюджет'!D15+областной!D15+інші!D15</f>
        <v>1276.8000000000002</v>
      </c>
      <c r="E15" s="163">
        <f>'насел.'!E15+пільги!E15+субсидії!E15+'держ.бюджет'!E15+'місц.-районн.бюджет'!E15+областной!E15+інші!E15</f>
        <v>1081.5</v>
      </c>
      <c r="F15" s="164">
        <f t="shared" si="0"/>
        <v>84.70394736842104</v>
      </c>
      <c r="G15" s="163">
        <f>'насел.'!G15+пільги!G15+субсидії!G15+'держ.бюджет'!G15+'місц.-районн.бюджет'!G15+областной!G15+інші!G15</f>
        <v>1293.8</v>
      </c>
      <c r="H15" s="163">
        <f>'насел.'!H15+пільги!H15+субсидії!H15+'держ.бюджет'!H15+'місц.-районн.бюджет'!H15+областной!H15+інші!H15</f>
        <v>1175.5</v>
      </c>
      <c r="I15" s="164">
        <f t="shared" si="1"/>
        <v>90.85639202349668</v>
      </c>
      <c r="J15" s="163">
        <f>'насел.'!J15+пільги!J15+субсидії!J15+'держ.бюджет'!J15+'місц.-районн.бюджет'!J15+областной!J15+інші!J15</f>
        <v>1334.3</v>
      </c>
      <c r="K15" s="163">
        <f>'насел.'!K15+пільги!K15+субсидії!K15+'держ.бюджет'!K15+'місц.-районн.бюджет'!K15+областной!K15+інші!K15</f>
        <v>1162.8999999999999</v>
      </c>
      <c r="L15" s="164">
        <f t="shared" si="2"/>
        <v>87.15431312298583</v>
      </c>
      <c r="M15" s="164">
        <f>'насел.'!M15+пільги!M15+субсидії!M15+'держ.бюджет'!M15+'місц.-районн.бюджет'!M15+областной!M15+інші!M15</f>
        <v>3904.8999999999996</v>
      </c>
      <c r="N15" s="164">
        <f>'насел.'!N15+пільги!N15+субсидії!N15+'держ.бюджет'!N15+'місц.-районн.бюджет'!N15+областной!N15+інші!N15</f>
        <v>3419.9</v>
      </c>
      <c r="O15" s="164">
        <f t="shared" si="11"/>
        <v>87.57970754692823</v>
      </c>
      <c r="P15" s="163">
        <f>'насел.'!P15+пільги!P15+субсидії!P15+'держ.бюджет'!P15+'місц.-районн.бюджет'!P15+областной!P15+інші!P15</f>
        <v>1427.7</v>
      </c>
      <c r="Q15" s="163">
        <f>'насел.'!Q15+пільги!Q15+субсидії!Q15+'держ.бюджет'!Q15+'місц.-районн.бюджет'!Q15+областной!Q15+інші!Q15</f>
        <v>1312.3999999999999</v>
      </c>
      <c r="R15" s="163">
        <f t="shared" si="12"/>
        <v>91.9240736849478</v>
      </c>
      <c r="S15" s="163">
        <f>'насел.'!S15+пільги!S15+субсидії!S15+'держ.бюджет'!S15+'місц.-районн.бюджет'!S15+областной!S15+інші!S15</f>
        <v>1520.7</v>
      </c>
      <c r="T15" s="163">
        <f>'насел.'!T15+пільги!T15+субсидії!T15+'держ.бюджет'!T15+'місц.-районн.бюджет'!T15+областной!T15+інші!T15</f>
        <v>1501.3999999999999</v>
      </c>
      <c r="U15" s="164">
        <f t="shared" si="3"/>
        <v>98.7308476359571</v>
      </c>
      <c r="V15" s="163">
        <f>'насел.'!V15+пільги!V15+субсидії!V15+'держ.бюджет'!V15+'місц.-районн.бюджет'!V15+областной!V15+інші!V15</f>
        <v>1570</v>
      </c>
      <c r="W15" s="163">
        <f>'насел.'!W15+пільги!W15+субсидії!W15+'держ.бюджет'!W15+'місц.-районн.бюджет'!W15+областной!W15+інші!W15</f>
        <v>1866.8</v>
      </c>
      <c r="X15" s="164">
        <f t="shared" si="4"/>
        <v>118.90445859872611</v>
      </c>
      <c r="Y15" s="163">
        <f>'насел.'!Y15+пільги!Y15+субсидії!Y15+'держ.бюджет'!Y15+'місц.-районн.бюджет'!Y15+областной!Y15+інші!Y15</f>
        <v>4518.4</v>
      </c>
      <c r="Z15" s="163">
        <f>'насел.'!Z15+пільги!Z15+субсидії!Z15+'держ.бюджет'!Z15+'місц.-районн.бюджет'!Z15+областной!Z15+інші!Z15</f>
        <v>4680.599999999999</v>
      </c>
      <c r="AA15" s="164">
        <f t="shared" si="5"/>
        <v>103.58976628895185</v>
      </c>
      <c r="AB15" s="163">
        <f>'насел.'!AB15+пільги!AB15+субсидії!AB15+'держ.бюджет'!AB15+'місц.-районн.бюджет'!AB15+областной!AB15+інші!AB15</f>
        <v>0</v>
      </c>
      <c r="AC15" s="163">
        <f>'насел.'!AC15+пільги!AC15+субсидії!AC15+'держ.бюджет'!AC15+'місц.-районн.бюджет'!AC15+областной!AC15+інші!AC15</f>
        <v>0</v>
      </c>
      <c r="AD15" s="164" t="e">
        <f t="shared" si="6"/>
        <v>#DIV/0!</v>
      </c>
      <c r="AE15" s="163">
        <f>'насел.'!AE15+пільги!AE15+субсидії!AE15+'держ.бюджет'!AE15+'місц.-районн.бюджет'!AE15+областной!AE15+інші!AE15</f>
        <v>0</v>
      </c>
      <c r="AF15" s="163">
        <f>'насел.'!AF15+пільги!AF15+субсидії!AF15+'держ.бюджет'!AF15+'місц.-районн.бюджет'!AF15+областной!AF15+інші!AF15</f>
        <v>0</v>
      </c>
      <c r="AG15" s="164" t="e">
        <f t="shared" si="7"/>
        <v>#DIV/0!</v>
      </c>
      <c r="AH15" s="163">
        <f>'насел.'!AH15+пільги!AH15+субсидії!AH15+'держ.бюджет'!AH15+'місц.-районн.бюджет'!AH15+областной!AH15+інші!AH15</f>
        <v>0</v>
      </c>
      <c r="AI15" s="163">
        <f>'насел.'!AI15+пільги!AI15+субсидії!AI15+'держ.бюджет'!AI15+'місц.-районн.бюджет'!AI15+областной!AI15+інші!AI15</f>
        <v>0</v>
      </c>
      <c r="AJ15" s="164" t="e">
        <f t="shared" si="8"/>
        <v>#DIV/0!</v>
      </c>
      <c r="AK15" s="163">
        <f>'насел.'!AK15+пільги!AJ15+субсидії!AK15+'держ.бюджет'!AK15+'місц.-районн.бюджет'!AK15+областной!AK15+інші!AK15</f>
        <v>0</v>
      </c>
      <c r="AL15" s="163">
        <f>'насел.'!AL15+пільги!AK15+субсидії!AL15+'держ.бюджет'!AL15+'місц.-районн.бюджет'!AL15+областной!AL15+інші!AL15</f>
        <v>0</v>
      </c>
      <c r="AM15" s="163" t="e">
        <f t="shared" si="9"/>
        <v>#DIV/0!</v>
      </c>
      <c r="AN15" s="163">
        <f>'насел.'!AN15+пільги!AM15+субсидії!AN15+'держ.бюджет'!AN15+'місц.-районн.бюджет'!AN15+областной!AN15+інші!AN15</f>
        <v>0</v>
      </c>
      <c r="AO15" s="163">
        <f>'насел.'!AO15+пільги!AN15+субсидії!AO15+'держ.бюджет'!AO15+'місц.-районн.бюджет'!AO15+областной!AO15+інші!AO15</f>
        <v>0</v>
      </c>
      <c r="AP15" s="163">
        <f>'насел.'!AP15+пільги!AO15+субсидії!AP15+'держ.бюджет'!AP15+'місц.-районн.бюджет'!AP15+областной!AP15+інші!AP15</f>
        <v>0</v>
      </c>
      <c r="AQ15" s="163">
        <f>'насел.'!AQ15+пільги!AP15+субсидії!AQ15+'держ.бюджет'!AQ15+'місц.-районн.бюджет'!AQ15+областной!AQ15+інші!AQ15</f>
        <v>0</v>
      </c>
      <c r="AR15" s="163">
        <f>'насел.'!AR15+пільги!AQ15+субсидії!AR15+'держ.бюджет'!AR15+'місц.-районн.бюджет'!AR15+областной!AR15+інші!AR15</f>
        <v>0</v>
      </c>
      <c r="AS15" s="163">
        <f>'насел.'!AS15+пільги!AR15+субсидії!AS15+'держ.бюджет'!AS15+'місц.-районн.бюджет'!AS15+областной!AS15+інші!AS15</f>
        <v>0</v>
      </c>
      <c r="AT15" s="163">
        <f>'насел.'!AT15+пільги!AS15+субсидії!AT15+'держ.бюджет'!AT15+'місц.-районн.бюджет'!AT15+областной!AT15+інші!AT15</f>
        <v>8423.3</v>
      </c>
      <c r="AU15" s="163">
        <f>'насел.'!AU15+пільги!AT15+субсидії!AU15+'держ.бюджет'!AU15+'місц.-районн.бюджет'!AU15+областной!AU15+інші!AU15</f>
        <v>8100.5</v>
      </c>
      <c r="AV15" s="164">
        <f t="shared" si="10"/>
        <v>96.16777272565385</v>
      </c>
      <c r="AW15" s="163">
        <f>'насел.'!AW15+пільги!AV15+субсидії!AW15+'держ.бюджет'!AW15+'місц.-районн.бюджет'!AW15+областной!AW15+інші!AW15</f>
        <v>322.7999999999993</v>
      </c>
      <c r="AX15" s="169">
        <f>'насел.'!AX15+пільги!AW15+субсидії!AX15+'держ.бюджет'!AX15+'місц.-районн.бюджет'!AX15+областной!AX15+інші!AX15</f>
        <v>2377.7999999999993</v>
      </c>
      <c r="AY15" s="165">
        <f t="shared" si="13"/>
        <v>8423.3</v>
      </c>
      <c r="AZ15" s="165">
        <f t="shared" si="14"/>
        <v>8100.5</v>
      </c>
      <c r="BA15" s="165">
        <f t="shared" si="15"/>
        <v>322.7999999999993</v>
      </c>
      <c r="BB15" s="165">
        <f t="shared" si="16"/>
        <v>2377.7999999999993</v>
      </c>
    </row>
    <row r="16" spans="1:54" ht="34.5" customHeight="1">
      <c r="A16" s="167" t="s">
        <v>13</v>
      </c>
      <c r="B16" s="168" t="s">
        <v>54</v>
      </c>
      <c r="C16" s="163">
        <f>'насел.'!C16+пільги!C16+субсидії!C16+'держ.бюджет'!C16+'місц.-районн.бюджет'!C16+областной!C16+інші!C16</f>
        <v>129.5</v>
      </c>
      <c r="D16" s="163">
        <f>'насел.'!D16+пільги!D16+субсидії!D16+'держ.бюджет'!D16+'місц.-районн.бюджет'!D16+областной!D16+інші!D16</f>
        <v>99.9</v>
      </c>
      <c r="E16" s="163">
        <f>'насел.'!E16+пільги!E16+субсидії!E16+'держ.бюджет'!E16+'місц.-районн.бюджет'!E16+областной!E16+інші!E16</f>
        <v>89.10000000000001</v>
      </c>
      <c r="F16" s="164">
        <f t="shared" si="0"/>
        <v>89.1891891891892</v>
      </c>
      <c r="G16" s="163">
        <f>'насел.'!G16+пільги!G16+субсидії!G16+'держ.бюджет'!G16+'місц.-районн.бюджет'!G16+областной!G16+інші!G16</f>
        <v>102.90000000000002</v>
      </c>
      <c r="H16" s="163">
        <f>'насел.'!H16+пільги!H16+субсидії!H16+'держ.бюджет'!H16+'місц.-районн.бюджет'!H16+областной!H16+інші!H16</f>
        <v>97.2</v>
      </c>
      <c r="I16" s="164">
        <f t="shared" si="1"/>
        <v>94.46064139941689</v>
      </c>
      <c r="J16" s="163">
        <f>'насел.'!J16+пільги!J16+субсидії!J16+'держ.бюджет'!J16+'місц.-районн.бюджет'!J16+областной!J16+інші!J16</f>
        <v>96.3</v>
      </c>
      <c r="K16" s="163">
        <f>'насел.'!K16+пільги!K16+субсидії!K16+'держ.бюджет'!K16+'місц.-районн.бюджет'!K16+областной!K16+інші!K16</f>
        <v>87.39999999999999</v>
      </c>
      <c r="L16" s="164">
        <f t="shared" si="2"/>
        <v>90.75804776739356</v>
      </c>
      <c r="M16" s="164">
        <f>'насел.'!M16+пільги!M16+субсидії!M16+'держ.бюджет'!M16+'місц.-районн.бюджет'!M16+областной!M16+інші!M16</f>
        <v>299.09999999999997</v>
      </c>
      <c r="N16" s="164">
        <f>'насел.'!N16+пільги!N16+субсидії!N16+'держ.бюджет'!N16+'місц.-районн.бюджет'!N16+областной!N16+інші!N16</f>
        <v>273.7</v>
      </c>
      <c r="O16" s="164">
        <f t="shared" si="11"/>
        <v>91.50785690404548</v>
      </c>
      <c r="P16" s="163">
        <f>'насел.'!P16+пільги!P16+субсидії!P16+'держ.бюджет'!P16+'місц.-районн.бюджет'!P16+областной!P16+інші!P16</f>
        <v>102.13</v>
      </c>
      <c r="Q16" s="163">
        <f>'насел.'!Q16+пільги!Q16+субсидії!Q16+'держ.бюджет'!Q16+'місц.-районн.бюджет'!Q16+областной!Q16+інші!Q16</f>
        <v>90.162</v>
      </c>
      <c r="R16" s="163">
        <f t="shared" si="12"/>
        <v>88.28160187995692</v>
      </c>
      <c r="S16" s="163">
        <f>'насел.'!S16+пільги!S16+субсидії!S16+'держ.бюджет'!S16+'місц.-районн.бюджет'!S16+областной!S16+інші!S16</f>
        <v>97.5</v>
      </c>
      <c r="T16" s="163">
        <f>'насел.'!T16+пільги!T16+субсидії!T16+'держ.бюджет'!T16+'місц.-районн.бюджет'!T16+областной!T16+інші!T16</f>
        <v>88.00000000000001</v>
      </c>
      <c r="U16" s="164">
        <f t="shared" si="3"/>
        <v>90.25641025641026</v>
      </c>
      <c r="V16" s="163">
        <f>'насел.'!V16+пільги!V16+субсидії!V16+'держ.бюджет'!V16+'місц.-районн.бюджет'!V16+областной!V16+інші!V16</f>
        <v>108.60000000000001</v>
      </c>
      <c r="W16" s="163">
        <f>'насел.'!W16+пільги!W16+субсидії!W16+'держ.бюджет'!W16+'місц.-районн.бюджет'!W16+областной!W16+інші!W16</f>
        <v>94.2</v>
      </c>
      <c r="X16" s="164">
        <f t="shared" si="4"/>
        <v>86.74033149171271</v>
      </c>
      <c r="Y16" s="163">
        <f>'насел.'!Y16+пільги!Y16+субсидії!Y16+'держ.бюджет'!Y16+'місц.-районн.бюджет'!Y16+областной!Y16+інші!Y16</f>
        <v>308.2300000000001</v>
      </c>
      <c r="Z16" s="163">
        <f>'насел.'!Z16+пільги!Z16+субсидії!Z16+'держ.бюджет'!Z16+'місц.-районн.бюджет'!Z16+областной!Z16+інші!Z16</f>
        <v>272.362</v>
      </c>
      <c r="AA16" s="164">
        <f t="shared" si="5"/>
        <v>88.36323524640689</v>
      </c>
      <c r="AB16" s="163">
        <f>'насел.'!AB16+пільги!AB16+субсидії!AB16+'держ.бюджет'!AB16+'місц.-районн.бюджет'!AB16+областной!AB16+інші!AB16</f>
        <v>0</v>
      </c>
      <c r="AC16" s="163">
        <f>'насел.'!AC16+пільги!AC16+субсидії!AC16+'держ.бюджет'!AC16+'місц.-районн.бюджет'!AC16+областной!AC16+інші!AC16</f>
        <v>0</v>
      </c>
      <c r="AD16" s="164" t="e">
        <f t="shared" si="6"/>
        <v>#DIV/0!</v>
      </c>
      <c r="AE16" s="163">
        <f>'насел.'!AE16+пільги!AE16+субсидії!AE16+'держ.бюджет'!AE16+'місц.-районн.бюджет'!AE16+областной!AE16+інші!AE16</f>
        <v>0</v>
      </c>
      <c r="AF16" s="163">
        <f>'насел.'!AF16+пільги!AF16+субсидії!AF16+'держ.бюджет'!AF16+'місц.-районн.бюджет'!AF16+областной!AF16+інші!AF16</f>
        <v>0</v>
      </c>
      <c r="AG16" s="164" t="e">
        <f t="shared" si="7"/>
        <v>#DIV/0!</v>
      </c>
      <c r="AH16" s="163">
        <f>'насел.'!AH16+пільги!AH16+субсидії!AH16+'держ.бюджет'!AH16+'місц.-районн.бюджет'!AH16+областной!AH16+інші!AH16</f>
        <v>0</v>
      </c>
      <c r="AI16" s="163">
        <f>'насел.'!AI16+пільги!AI16+субсидії!AI16+'держ.бюджет'!AI16+'місц.-районн.бюджет'!AI16+областной!AI16+інші!AI16</f>
        <v>0</v>
      </c>
      <c r="AJ16" s="164" t="e">
        <f t="shared" si="8"/>
        <v>#DIV/0!</v>
      </c>
      <c r="AK16" s="163">
        <f>'насел.'!AK16+пільги!AJ16+субсидії!AK16+'держ.бюджет'!AK16+'місц.-районн.бюджет'!AK16+областной!AK16+інші!AK16</f>
        <v>0</v>
      </c>
      <c r="AL16" s="163">
        <f>'насел.'!AL16+пільги!AK16+субсидії!AL16+'держ.бюджет'!AL16+'місц.-районн.бюджет'!AL16+областной!AL16+інші!AL16</f>
        <v>0</v>
      </c>
      <c r="AM16" s="163" t="e">
        <f t="shared" si="9"/>
        <v>#DIV/0!</v>
      </c>
      <c r="AN16" s="163">
        <f>'насел.'!AN16+пільги!AM16+субсидії!AN16+'держ.бюджет'!AN16+'місц.-районн.бюджет'!AN16+областной!AN16+інші!AN16</f>
        <v>0</v>
      </c>
      <c r="AO16" s="163">
        <f>'насел.'!AO16+пільги!AN16+субсидії!AO16+'держ.бюджет'!AO16+'місц.-районн.бюджет'!AO16+областной!AO16+інші!AO16</f>
        <v>0</v>
      </c>
      <c r="AP16" s="163">
        <f>'насел.'!AP16+пільги!AO16+субсидії!AP16+'держ.бюджет'!AP16+'місц.-районн.бюджет'!AP16+областной!AP16+інші!AP16</f>
        <v>0</v>
      </c>
      <c r="AQ16" s="163">
        <f>'насел.'!AQ16+пільги!AP16+субсидії!AQ16+'держ.бюджет'!AQ16+'місц.-районн.бюджет'!AQ16+областной!AQ16+інші!AQ16</f>
        <v>0</v>
      </c>
      <c r="AR16" s="163">
        <f>'насел.'!AR16+пільги!AQ16+субсидії!AR16+'держ.бюджет'!AR16+'місц.-районн.бюджет'!AR16+областной!AR16+інші!AR16</f>
        <v>0</v>
      </c>
      <c r="AS16" s="163">
        <f>'насел.'!AS16+пільги!AR16+субсидії!AS16+'держ.бюджет'!AS16+'місц.-районн.бюджет'!AS16+областной!AS16+інші!AS16</f>
        <v>0</v>
      </c>
      <c r="AT16" s="163">
        <f>'насел.'!AT16+пільги!AS16+субсидії!AT16+'держ.бюджет'!AT16+'місц.-районн.бюджет'!AT16+областной!AT16+інші!AT16</f>
        <v>607.33</v>
      </c>
      <c r="AU16" s="163">
        <f>'насел.'!AU16+пільги!AT16+субсидії!AU16+'держ.бюджет'!AU16+'місц.-районн.бюджет'!AU16+областной!AU16+інші!AU16</f>
        <v>546.0620000000001</v>
      </c>
      <c r="AV16" s="164">
        <f t="shared" si="10"/>
        <v>89.91190950554065</v>
      </c>
      <c r="AW16" s="163">
        <f>'насел.'!AW16+пільги!AV16+субсидії!AW16+'держ.бюджет'!AW16+'місц.-районн.бюджет'!AW16+областной!AW16+інші!AW16</f>
        <v>61.268</v>
      </c>
      <c r="AX16" s="169">
        <f>'насел.'!AX16+пільги!AW16+субсидії!AX16+'держ.бюджет'!AX16+'місц.-районн.бюджет'!AX16+областной!AX16+інші!AX16</f>
        <v>190.76799999999997</v>
      </c>
      <c r="AY16" s="165">
        <f t="shared" si="13"/>
        <v>607.33</v>
      </c>
      <c r="AZ16" s="165">
        <f t="shared" si="14"/>
        <v>546.062</v>
      </c>
      <c r="BA16" s="165">
        <f t="shared" si="15"/>
        <v>61.26800000000003</v>
      </c>
      <c r="BB16" s="165">
        <f t="shared" si="16"/>
        <v>190.76800000000003</v>
      </c>
    </row>
    <row r="17" spans="1:54" ht="34.5" customHeight="1">
      <c r="A17" s="167" t="s">
        <v>14</v>
      </c>
      <c r="B17" s="172" t="s">
        <v>83</v>
      </c>
      <c r="C17" s="163">
        <f>'насел.'!C17+пільги!C17+субсидії!C17+'держ.бюджет'!C17+'місц.-районн.бюджет'!C17+областной!C17+інші!C17</f>
        <v>5672.3</v>
      </c>
      <c r="D17" s="163">
        <f>'насел.'!D17+пільги!D17+субсидії!D17+'держ.бюджет'!D17+'місц.-районн.бюджет'!D17+областной!D17+інші!D17</f>
        <v>1138</v>
      </c>
      <c r="E17" s="163">
        <f>'насел.'!E17+пільги!E17+субсидії!E17+'держ.бюджет'!E17+'місц.-районн.бюджет'!E17+областной!E17+інші!E17</f>
        <v>1126.7</v>
      </c>
      <c r="F17" s="164">
        <f t="shared" si="0"/>
        <v>99.00702987697716</v>
      </c>
      <c r="G17" s="163">
        <f>'насел.'!G17+пільги!G17+субсидії!G17+'держ.бюджет'!G17+'місц.-районн.бюджет'!G17+областной!G17+інші!G17</f>
        <v>1108.5</v>
      </c>
      <c r="H17" s="163">
        <f>'насел.'!H17+пільги!H17+субсидії!H17+'держ.бюджет'!H17+'місц.-районн.бюджет'!H17+областной!H17+інші!H17</f>
        <v>1171.8000000000002</v>
      </c>
      <c r="I17" s="164">
        <f t="shared" si="1"/>
        <v>105.71041948579163</v>
      </c>
      <c r="J17" s="163">
        <f>'насел.'!J17+пільги!J17+субсидії!J17+'держ.бюджет'!J17+'місц.-районн.бюджет'!J17+областной!J17+інші!J17</f>
        <v>1207.8000000000002</v>
      </c>
      <c r="K17" s="163">
        <f>'насел.'!K17+пільги!K17+субсидії!K17+'держ.бюджет'!K17+'місц.-районн.бюджет'!K17+областной!K17+інші!K17</f>
        <v>918.0000000000001</v>
      </c>
      <c r="L17" s="164">
        <f t="shared" si="2"/>
        <v>76.00596125186289</v>
      </c>
      <c r="M17" s="164">
        <f>'насел.'!M17+пільги!M17+субсидії!M17+'держ.бюджет'!M17+'місц.-районн.бюджет'!M17+областной!M17+інші!M17</f>
        <v>3454.3</v>
      </c>
      <c r="N17" s="164">
        <f>'насел.'!N17+пільги!N17+субсидії!N17+'держ.бюджет'!N17+'місц.-районн.бюджет'!N17+областной!N17+інші!N17</f>
        <v>3216.5</v>
      </c>
      <c r="O17" s="164">
        <f t="shared" si="11"/>
        <v>93.11582665084097</v>
      </c>
      <c r="P17" s="163">
        <f>'насел.'!P17+пільги!P17+субсидії!P17+'держ.бюджет'!P17+'місц.-районн.бюджет'!P17+областной!P17+інші!P17</f>
        <v>1107.8000000000002</v>
      </c>
      <c r="Q17" s="163">
        <f>'насел.'!Q17+пільги!Q17+субсидії!Q17+'держ.бюджет'!Q17+'місц.-районн.бюджет'!Q17+областной!Q17+інші!Q17</f>
        <v>848.8000000000001</v>
      </c>
      <c r="R17" s="163">
        <f t="shared" si="12"/>
        <v>76.62032857916591</v>
      </c>
      <c r="S17" s="163">
        <f>'насел.'!S17+пільги!S17+субсидії!S17+'держ.бюджет'!S17+'місц.-районн.бюджет'!S17+областной!S17+інші!S17</f>
        <v>1085</v>
      </c>
      <c r="T17" s="163">
        <f>'насел.'!T17+пільги!T17+субсидії!T17+'держ.бюджет'!T17+'місц.-районн.бюджет'!T17+областной!T17+інші!T17</f>
        <v>920.0000000000001</v>
      </c>
      <c r="U17" s="164">
        <f t="shared" si="3"/>
        <v>84.7926267281106</v>
      </c>
      <c r="V17" s="163">
        <f>'насел.'!V17+пільги!V17+субсидії!V17+'держ.бюджет'!V17+'місц.-районн.бюджет'!V17+областной!V17+інші!V17</f>
        <v>1162.5</v>
      </c>
      <c r="W17" s="163">
        <f>'насел.'!W17+пільги!W17+субсидії!W17+'держ.бюджет'!W17+'місц.-районн.бюджет'!W17+областной!W17+інші!W17</f>
        <v>976.9000000000001</v>
      </c>
      <c r="X17" s="164">
        <f t="shared" si="4"/>
        <v>84.03440860215055</v>
      </c>
      <c r="Y17" s="163">
        <f>'насел.'!Y17+пільги!Y17+субсидії!Y17+'держ.бюджет'!Y17+'місц.-районн.бюджет'!Y17+областной!Y17+інші!Y17</f>
        <v>3355.3</v>
      </c>
      <c r="Z17" s="163">
        <f>'насел.'!Z17+пільги!Z17+субсидії!Z17+'держ.бюджет'!Z17+'місц.-районн.бюджет'!Z17+областной!Z17+інші!Z17</f>
        <v>2745.7000000000003</v>
      </c>
      <c r="AA17" s="164">
        <f t="shared" si="5"/>
        <v>81.83172890650613</v>
      </c>
      <c r="AB17" s="163">
        <f>'насел.'!AB17+пільги!AB17+субсидії!AB17+'держ.бюджет'!AB17+'місц.-районн.бюджет'!AB17+областной!AB17+інші!AB17</f>
        <v>0</v>
      </c>
      <c r="AC17" s="163">
        <f>'насел.'!AC17+пільги!AC17+субсидії!AC17+'держ.бюджет'!AC17+'місц.-районн.бюджет'!AC17+областной!AC17+інші!AC17</f>
        <v>0</v>
      </c>
      <c r="AD17" s="164" t="e">
        <f t="shared" si="6"/>
        <v>#DIV/0!</v>
      </c>
      <c r="AE17" s="163">
        <f>'насел.'!AE17+пільги!AE17+субсидії!AE17+'держ.бюджет'!AE17+'місц.-районн.бюджет'!AE17+областной!AE17+інші!AE17</f>
        <v>0</v>
      </c>
      <c r="AF17" s="163">
        <f>'насел.'!AF17+пільги!AF17+субсидії!AF17+'держ.бюджет'!AF17+'місц.-районн.бюджет'!AF17+областной!AF17+інші!AF17</f>
        <v>0</v>
      </c>
      <c r="AG17" s="164" t="e">
        <f t="shared" si="7"/>
        <v>#DIV/0!</v>
      </c>
      <c r="AH17" s="163">
        <f>'насел.'!AH17+пільги!AH17+субсидії!AH17+'держ.бюджет'!AH17+'місц.-районн.бюджет'!AH17+областной!AH17+інші!AH17</f>
        <v>0</v>
      </c>
      <c r="AI17" s="163">
        <f>'насел.'!AI17+пільги!AI17+субсидії!AI17+'держ.бюджет'!AI17+'місц.-районн.бюджет'!AI17+областной!AI17+інші!AI17</f>
        <v>0</v>
      </c>
      <c r="AJ17" s="164" t="e">
        <f t="shared" si="8"/>
        <v>#DIV/0!</v>
      </c>
      <c r="AK17" s="163">
        <f>'насел.'!AK17+пільги!AJ17+субсидії!AK17+'держ.бюджет'!AK17+'місц.-районн.бюджет'!AK17+областной!AK17+інші!AK17</f>
        <v>0</v>
      </c>
      <c r="AL17" s="163">
        <f>'насел.'!AL17+пільги!AK17+субсидії!AL17+'держ.бюджет'!AL17+'місц.-районн.бюджет'!AL17+областной!AL17+інші!AL17</f>
        <v>0</v>
      </c>
      <c r="AM17" s="163" t="e">
        <f t="shared" si="9"/>
        <v>#DIV/0!</v>
      </c>
      <c r="AN17" s="163">
        <f>'насел.'!AN17+пільги!AM17+субсидії!AN17+'держ.бюджет'!AN17+'місц.-районн.бюджет'!AN17+областной!AN17+інші!AN17</f>
        <v>0</v>
      </c>
      <c r="AO17" s="163">
        <f>'насел.'!AO17+пільги!AN17+субсидії!AO17+'держ.бюджет'!AO17+'місц.-районн.бюджет'!AO17+областной!AO17+інші!AO17</f>
        <v>0</v>
      </c>
      <c r="AP17" s="163">
        <f>'насел.'!AP17+пільги!AO17+субсидії!AP17+'держ.бюджет'!AP17+'місц.-районн.бюджет'!AP17+областной!AP17+інші!AP17</f>
        <v>0</v>
      </c>
      <c r="AQ17" s="163">
        <f>'насел.'!AQ17+пільги!AP17+субсидії!AQ17+'держ.бюджет'!AQ17+'місц.-районн.бюджет'!AQ17+областной!AQ17+інші!AQ17</f>
        <v>0</v>
      </c>
      <c r="AR17" s="163">
        <f>'насел.'!AR17+пільги!AQ17+субсидії!AR17+'держ.бюджет'!AR17+'місц.-районн.бюджет'!AR17+областной!AR17+інші!AR17</f>
        <v>0</v>
      </c>
      <c r="AS17" s="163">
        <f>'насел.'!AS17+пільги!AR17+субсидії!AS17+'держ.бюджет'!AS17+'місц.-районн.бюджет'!AS17+областной!AS17+інші!AS17</f>
        <v>0</v>
      </c>
      <c r="AT17" s="163">
        <f>'насел.'!AT17+пільги!AS17+субсидії!AT17+'держ.бюджет'!AT17+'місц.-районн.бюджет'!AT17+областной!AT17+інші!AT17</f>
        <v>6809.6</v>
      </c>
      <c r="AU17" s="163">
        <f>'насел.'!AU17+пільги!AT17+субсидії!AU17+'держ.бюджет'!AU17+'місц.-районн.бюджет'!AU17+областной!AU17+інші!AU17</f>
        <v>5962.2</v>
      </c>
      <c r="AV17" s="164">
        <f t="shared" si="10"/>
        <v>87.55580357142856</v>
      </c>
      <c r="AW17" s="163">
        <f>'насел.'!AW17+пільги!AV17+субсидії!AW17+'держ.бюджет'!AW17+'місц.-районн.бюджет'!AW17+областной!AW17+інші!AW17</f>
        <v>847.4000000000003</v>
      </c>
      <c r="AX17" s="169">
        <f>'насел.'!AX17+пільги!AW17+субсидії!AX17+'держ.бюджет'!AX17+'місц.-районн.бюджет'!AX17+областной!AX17+інші!AX17</f>
        <v>6519.700000000001</v>
      </c>
      <c r="AY17" s="165">
        <f t="shared" si="13"/>
        <v>6809.6</v>
      </c>
      <c r="AZ17" s="165">
        <f t="shared" si="14"/>
        <v>5962.200000000001</v>
      </c>
      <c r="BA17" s="165">
        <f t="shared" si="15"/>
        <v>847.3999999999996</v>
      </c>
      <c r="BB17" s="165">
        <f t="shared" si="16"/>
        <v>6519.700000000001</v>
      </c>
    </row>
    <row r="18" spans="1:54" ht="34.5" customHeight="1">
      <c r="A18" s="167" t="s">
        <v>15</v>
      </c>
      <c r="B18" s="172" t="s">
        <v>55</v>
      </c>
      <c r="C18" s="163">
        <f>'насел.'!C18+пільги!C18+субсидії!C18+'держ.бюджет'!C18+'місц.-районн.бюджет'!C18+областной!C18+інші!C18</f>
        <v>233.1</v>
      </c>
      <c r="D18" s="163">
        <f>'насел.'!D18+пільги!D18+субсидії!D18+'держ.бюджет'!D18+'місц.-районн.бюджет'!D18+областной!D18+інші!D18</f>
        <v>262.6</v>
      </c>
      <c r="E18" s="163">
        <f>'насел.'!E18+пільги!E18+субсидії!E18+'держ.бюджет'!E18+'місц.-районн.бюджет'!E18+областной!E18+інші!E18</f>
        <v>265</v>
      </c>
      <c r="F18" s="164">
        <f t="shared" si="0"/>
        <v>100.9139375476009</v>
      </c>
      <c r="G18" s="163">
        <f>'насел.'!G18+пільги!G18+субсидії!G18+'держ.бюджет'!G18+'місц.-районн.бюджет'!G18+областной!G18+інші!G18</f>
        <v>284.5</v>
      </c>
      <c r="H18" s="163">
        <f>'насел.'!H18+пільги!H18+субсидії!H18+'держ.бюджет'!H18+'місц.-районн.бюджет'!H18+областной!H18+інші!H18</f>
        <v>288.9</v>
      </c>
      <c r="I18" s="164">
        <f t="shared" si="1"/>
        <v>101.54657293497363</v>
      </c>
      <c r="J18" s="163">
        <f>'насел.'!J18+пільги!J18+субсидії!J18+'держ.бюджет'!J18+'місц.-районн.бюджет'!J18+областной!J18+інші!J18</f>
        <v>260.3</v>
      </c>
      <c r="K18" s="163">
        <f>'насел.'!K18+пільги!K18+субсидії!K18+'держ.бюджет'!K18+'місц.-районн.бюджет'!K18+областной!K18+інші!K18</f>
        <v>248.20000000000002</v>
      </c>
      <c r="L18" s="164">
        <f t="shared" si="2"/>
        <v>95.35151747983097</v>
      </c>
      <c r="M18" s="164">
        <f>'насел.'!M18+пільги!M18+субсидії!M18+'держ.бюджет'!M18+'місц.-районн.бюджет'!M18+областной!M18+інші!M18</f>
        <v>807.4</v>
      </c>
      <c r="N18" s="164">
        <f>'насел.'!N18+пільги!N18+субсидії!N18+'держ.бюджет'!N18+'місц.-районн.бюджет'!N18+областной!N18+інші!N18</f>
        <v>802.1</v>
      </c>
      <c r="O18" s="164">
        <f t="shared" si="11"/>
        <v>99.34357195937578</v>
      </c>
      <c r="P18" s="163">
        <f>'насел.'!P18+пільги!P18+субсидії!P18+'держ.бюджет'!P18+'місц.-районн.бюджет'!P18+областной!P18+інші!P18</f>
        <v>273.3</v>
      </c>
      <c r="Q18" s="163">
        <f>'насел.'!Q18+пільги!Q18+субсидії!Q18+'держ.бюджет'!Q18+'місц.-районн.бюджет'!Q18+областной!Q18+інші!Q18</f>
        <v>220.4</v>
      </c>
      <c r="R18" s="163">
        <f t="shared" si="12"/>
        <v>80.64398097328942</v>
      </c>
      <c r="S18" s="163">
        <f>'насел.'!S18+пільги!S18+субсидії!S18+'держ.бюджет'!S18+'місц.-районн.бюджет'!S18+областной!S18+інші!S18</f>
        <v>251.1</v>
      </c>
      <c r="T18" s="163">
        <f>'насел.'!T18+пільги!T18+субсидії!T18+'держ.бюджет'!T18+'місц.-районн.бюджет'!T18+областной!T18+інші!T18</f>
        <v>285</v>
      </c>
      <c r="U18" s="164">
        <f t="shared" si="3"/>
        <v>113.50059737156512</v>
      </c>
      <c r="V18" s="163">
        <f>'насел.'!V18+пільги!V18+субсидії!V18+'держ.бюджет'!V18+'місц.-районн.бюджет'!V18+областной!V18+інші!V18</f>
        <v>279.40000000000003</v>
      </c>
      <c r="W18" s="163">
        <f>'насел.'!W18+пільги!W18+субсидії!W18+'держ.бюджет'!W18+'місц.-районн.бюджет'!W18+областной!W18+інші!W18</f>
        <v>250.8</v>
      </c>
      <c r="X18" s="164">
        <f t="shared" si="4"/>
        <v>89.76377952755905</v>
      </c>
      <c r="Y18" s="163">
        <f>'насел.'!Y18+пільги!Y18+субсидії!Y18+'держ.бюджет'!Y18+'місц.-районн.бюджет'!Y18+областной!Y18+інші!Y18</f>
        <v>803.8000000000001</v>
      </c>
      <c r="Z18" s="163">
        <f>'насел.'!Z18+пільги!Z18+субсидії!Z18+'держ.бюджет'!Z18+'місц.-районн.бюджет'!Z18+областной!Z18+інші!Z18</f>
        <v>756.2</v>
      </c>
      <c r="AA18" s="164">
        <f t="shared" si="5"/>
        <v>94.07812888778302</v>
      </c>
      <c r="AB18" s="163">
        <f>'насел.'!AB18+пільги!AB18+субсидії!AB18+'держ.бюджет'!AB18+'місц.-районн.бюджет'!AB18+областной!AB18+інші!AB18</f>
        <v>0</v>
      </c>
      <c r="AC18" s="163">
        <f>'насел.'!AC18+пільги!AC18+субсидії!AC18+'держ.бюджет'!AC18+'місц.-районн.бюджет'!AC18+областной!AC18+інші!AC18</f>
        <v>0</v>
      </c>
      <c r="AD18" s="164" t="e">
        <f t="shared" si="6"/>
        <v>#DIV/0!</v>
      </c>
      <c r="AE18" s="163">
        <f>'насел.'!AE18+пільги!AE18+субсидії!AE18+'держ.бюджет'!AE18+'місц.-районн.бюджет'!AE18+областной!AE18+інші!AE18</f>
        <v>0</v>
      </c>
      <c r="AF18" s="163">
        <f>'насел.'!AF18+пільги!AF18+субсидії!AF18+'держ.бюджет'!AF18+'місц.-районн.бюджет'!AF18+областной!AF18+інші!AF18</f>
        <v>0</v>
      </c>
      <c r="AG18" s="164" t="e">
        <f t="shared" si="7"/>
        <v>#DIV/0!</v>
      </c>
      <c r="AH18" s="163">
        <f>'насел.'!AH18+пільги!AH18+субсидії!AH18+'держ.бюджет'!AH18+'місц.-районн.бюджет'!AH18+областной!AH18+інші!AH18</f>
        <v>0</v>
      </c>
      <c r="AI18" s="163">
        <f>'насел.'!AI18+пільги!AI18+субсидії!AI18+'держ.бюджет'!AI18+'місц.-районн.бюджет'!AI18+областной!AI18+інші!AI18</f>
        <v>0</v>
      </c>
      <c r="AJ18" s="164" t="e">
        <f t="shared" si="8"/>
        <v>#DIV/0!</v>
      </c>
      <c r="AK18" s="163">
        <f>'насел.'!AK18+пільги!AJ18+субсидії!AK18+'держ.бюджет'!AK18+'місц.-районн.бюджет'!AK18+областной!AK18+інші!AK18</f>
        <v>0</v>
      </c>
      <c r="AL18" s="163">
        <f>'насел.'!AL18+пільги!AK18+субсидії!AL18+'держ.бюджет'!AL18+'місц.-районн.бюджет'!AL18+областной!AL18+інші!AL18</f>
        <v>0</v>
      </c>
      <c r="AM18" s="163" t="e">
        <f t="shared" si="9"/>
        <v>#DIV/0!</v>
      </c>
      <c r="AN18" s="163">
        <f>'насел.'!AN18+пільги!AM18+субсидії!AN18+'держ.бюджет'!AN18+'місц.-районн.бюджет'!AN18+областной!AN18+інші!AN18</f>
        <v>0</v>
      </c>
      <c r="AO18" s="163">
        <f>'насел.'!AO18+пільги!AN18+субсидії!AO18+'держ.бюджет'!AO18+'місц.-районн.бюджет'!AO18+областной!AO18+інші!AO18</f>
        <v>0</v>
      </c>
      <c r="AP18" s="163">
        <f>'насел.'!AP18+пільги!AO18+субсидії!AP18+'держ.бюджет'!AP18+'місц.-районн.бюджет'!AP18+областной!AP18+інші!AP18</f>
        <v>0</v>
      </c>
      <c r="AQ18" s="163">
        <f>'насел.'!AQ18+пільги!AP18+субсидії!AQ18+'держ.бюджет'!AQ18+'місц.-районн.бюджет'!AQ18+областной!AQ18+інші!AQ18</f>
        <v>0</v>
      </c>
      <c r="AR18" s="163">
        <f>'насел.'!AR18+пільги!AQ18+субсидії!AR18+'держ.бюджет'!AR18+'місц.-районн.бюджет'!AR18+областной!AR18+інші!AR18</f>
        <v>0</v>
      </c>
      <c r="AS18" s="163">
        <f>'насел.'!AS18+пільги!AR18+субсидії!AS18+'держ.бюджет'!AS18+'місц.-районн.бюджет'!AS18+областной!AS18+інші!AS18</f>
        <v>0</v>
      </c>
      <c r="AT18" s="163">
        <f>'насел.'!AT18+пільги!AS18+субсидії!AT18+'держ.бюджет'!AT18+'місц.-районн.бюджет'!AT18+областной!AT18+інші!AT18</f>
        <v>1611.2</v>
      </c>
      <c r="AU18" s="163">
        <f>'насел.'!AU18+пільги!AT18+субсидії!AU18+'держ.бюджет'!AU18+'місц.-районн.бюджет'!AU18+областной!AU18+інші!AU18</f>
        <v>1558.3000000000004</v>
      </c>
      <c r="AV18" s="164">
        <f t="shared" si="10"/>
        <v>96.71673286991064</v>
      </c>
      <c r="AW18" s="163">
        <f>'насел.'!AW18+пільги!AV18+субсидії!AW18+'держ.бюджет'!AW18+'місц.-районн.бюджет'!AW18+областной!AW18+інші!AW18</f>
        <v>52.89999999999986</v>
      </c>
      <c r="AX18" s="169">
        <f>'насел.'!AX18+пільги!AW18+субсидії!AX18+'держ.бюджет'!AX18+'місц.-районн.бюджет'!AX18+областной!AX18+інші!AX18</f>
        <v>285.9999999999999</v>
      </c>
      <c r="AY18" s="165">
        <f t="shared" si="13"/>
        <v>1611.2</v>
      </c>
      <c r="AZ18" s="165">
        <f t="shared" si="14"/>
        <v>1558.3000000000002</v>
      </c>
      <c r="BA18" s="165">
        <f t="shared" si="15"/>
        <v>52.899999999999864</v>
      </c>
      <c r="BB18" s="165">
        <f t="shared" si="16"/>
        <v>285.9999999999998</v>
      </c>
    </row>
    <row r="19" spans="1:54" ht="34.5" customHeight="1">
      <c r="A19" s="167" t="s">
        <v>16</v>
      </c>
      <c r="B19" s="168" t="s">
        <v>56</v>
      </c>
      <c r="C19" s="163">
        <f>'насел.'!C19+пільги!C19+субсидії!C19+'держ.бюджет'!C19+'місц.-районн.бюджет'!C19+областной!C19+інші!C19</f>
        <v>2454.4</v>
      </c>
      <c r="D19" s="163">
        <f>'насел.'!D19+пільги!D19+субсидії!D19+'держ.бюджет'!D19+'місц.-районн.бюджет'!D19+областной!D19+інші!D19</f>
        <v>1329.8000000000002</v>
      </c>
      <c r="E19" s="163">
        <f>'насел.'!E19+пільги!E19+субсидії!E19+'держ.бюджет'!E19+'місц.-районн.бюджет'!E19+областной!E19+інші!E19</f>
        <v>1092.6</v>
      </c>
      <c r="F19" s="164">
        <f t="shared" si="0"/>
        <v>82.1627312377801</v>
      </c>
      <c r="G19" s="163">
        <f>'насел.'!G19+пільги!G19+субсидії!G19+'держ.бюджет'!G19+'місц.-районн.бюджет'!G19+областной!G19+інші!G19</f>
        <v>1276.9</v>
      </c>
      <c r="H19" s="163">
        <f>'насел.'!H19+пільги!H19+субсидії!H19+'держ.бюджет'!H19+'місц.-районн.бюджет'!H19+областной!H19+інші!H19</f>
        <v>1381.1000000000001</v>
      </c>
      <c r="I19" s="164">
        <f t="shared" si="1"/>
        <v>108.16038844075496</v>
      </c>
      <c r="J19" s="163">
        <f>'насел.'!J19+пільги!J19+субсидії!J19+'держ.бюджет'!J19+'місц.-районн.бюджет'!J19+областной!J19+інші!J19</f>
        <v>1268.9</v>
      </c>
      <c r="K19" s="163">
        <f>'насел.'!K19+пільги!K19+субсидії!K19+'держ.бюджет'!K19+'місц.-районн.бюджет'!K19+областной!K19+інші!K19</f>
        <v>1081.6</v>
      </c>
      <c r="L19" s="164">
        <f t="shared" si="2"/>
        <v>85.23918354480257</v>
      </c>
      <c r="M19" s="164">
        <f>'насел.'!M19+пільги!M19+субсидії!M19+'держ.бюджет'!M19+'місц.-районн.бюджет'!M19+областной!M19+інші!M19</f>
        <v>3875.6</v>
      </c>
      <c r="N19" s="164">
        <f>'насел.'!N19+пільги!N19+субсидії!N19+'держ.бюджет'!N19+'місц.-районн.бюджет'!N19+областной!N19+інші!N19</f>
        <v>3555.2999999999997</v>
      </c>
      <c r="O19" s="164">
        <f t="shared" si="11"/>
        <v>91.73547321705026</v>
      </c>
      <c r="P19" s="163">
        <f>'насел.'!P19+пільги!P19+субсидії!P19+'держ.бюджет'!P19+'місц.-районн.бюджет'!P19+областной!P19+інші!P19</f>
        <v>1222.7630000000001</v>
      </c>
      <c r="Q19" s="163">
        <f>'насел.'!Q19+пільги!Q19+субсидії!Q19+'держ.бюджет'!Q19+'місц.-районн.бюджет'!Q19+областной!Q19+інші!Q19</f>
        <v>1293.8159999999998</v>
      </c>
      <c r="R19" s="163">
        <f t="shared" si="12"/>
        <v>105.81085623297398</v>
      </c>
      <c r="S19" s="163">
        <f>'насел.'!S19+пільги!S19+субсидії!S19+'держ.бюджет'!S19+'місц.-районн.бюджет'!S19+областной!S19+інші!S19</f>
        <v>1257.6</v>
      </c>
      <c r="T19" s="163">
        <f>'насел.'!T19+пільги!T19+субсидії!T19+'держ.бюджет'!T19+'місц.-районн.бюджет'!T19+областной!T19+інші!T19</f>
        <v>1103.8</v>
      </c>
      <c r="U19" s="164">
        <f t="shared" si="3"/>
        <v>87.7703562340967</v>
      </c>
      <c r="V19" s="163">
        <f>'насел.'!V19+пільги!V19+субсидії!V19+'держ.бюджет'!V19+'місц.-районн.бюджет'!V19+областной!V19+інші!V19</f>
        <v>1267.1</v>
      </c>
      <c r="W19" s="163">
        <f>'насел.'!W19+пільги!W19+субсидії!W19+'держ.бюджет'!W19+'місц.-районн.бюджет'!W19+областной!W19+інші!W19</f>
        <v>1265.6999999999998</v>
      </c>
      <c r="X19" s="164">
        <f t="shared" si="4"/>
        <v>99.88951148291373</v>
      </c>
      <c r="Y19" s="163">
        <f>'насел.'!Y19+пільги!Y19+субсидії!Y19+'держ.бюджет'!Y19+'місц.-районн.бюджет'!Y19+областной!Y19+інші!Y19</f>
        <v>3747.4629999999997</v>
      </c>
      <c r="Z19" s="163">
        <f>'насел.'!Z19+пільги!Z19+субсидії!Z19+'держ.бюджет'!Z19+'місц.-районн.бюджет'!Z19+областной!Z19+інші!Z19</f>
        <v>3663.316</v>
      </c>
      <c r="AA19" s="164">
        <f t="shared" si="5"/>
        <v>97.75456088559113</v>
      </c>
      <c r="AB19" s="163">
        <f>'насел.'!AB19+пільги!AB19+субсидії!AB19+'держ.бюджет'!AB19+'місц.-районн.бюджет'!AB19+областной!AB19+інші!AB19</f>
        <v>0</v>
      </c>
      <c r="AC19" s="163">
        <f>'насел.'!AC19+пільги!AC19+субсидії!AC19+'держ.бюджет'!AC19+'місц.-районн.бюджет'!AC19+областной!AC19+інші!AC19</f>
        <v>0</v>
      </c>
      <c r="AD19" s="164" t="e">
        <f t="shared" si="6"/>
        <v>#DIV/0!</v>
      </c>
      <c r="AE19" s="163">
        <f>'насел.'!AE19+пільги!AE19+субсидії!AE19+'держ.бюджет'!AE19+'місц.-районн.бюджет'!AE19+областной!AE19+інші!AE19</f>
        <v>0</v>
      </c>
      <c r="AF19" s="163">
        <f>'насел.'!AF19+пільги!AF19+субсидії!AF19+'держ.бюджет'!AF19+'місц.-районн.бюджет'!AF19+областной!AF19+інші!AF19</f>
        <v>0</v>
      </c>
      <c r="AG19" s="164" t="e">
        <f t="shared" si="7"/>
        <v>#DIV/0!</v>
      </c>
      <c r="AH19" s="163">
        <f>'насел.'!AH19+пільги!AH19+субсидії!AH19+'держ.бюджет'!AH19+'місц.-районн.бюджет'!AH19+областной!AH19+інші!AH19</f>
        <v>0</v>
      </c>
      <c r="AI19" s="163">
        <f>'насел.'!AI19+пільги!AI19+субсидії!AI19+'держ.бюджет'!AI19+'місц.-районн.бюджет'!AI19+областной!AI19+інші!AI19</f>
        <v>0</v>
      </c>
      <c r="AJ19" s="164" t="e">
        <f t="shared" si="8"/>
        <v>#DIV/0!</v>
      </c>
      <c r="AK19" s="163">
        <f>'насел.'!AK19+пільги!AJ19+субсидії!AK19+'держ.бюджет'!AK19+'місц.-районн.бюджет'!AK19+областной!AK19+інші!AK19</f>
        <v>0</v>
      </c>
      <c r="AL19" s="163">
        <f>'насел.'!AL19+пільги!AK19+субсидії!AL19+'держ.бюджет'!AL19+'місц.-районн.бюджет'!AL19+областной!AL19+інші!AL19</f>
        <v>0</v>
      </c>
      <c r="AM19" s="163" t="e">
        <f t="shared" si="9"/>
        <v>#DIV/0!</v>
      </c>
      <c r="AN19" s="163">
        <f>'насел.'!AN19+пільги!AM19+субсидії!AN19+'держ.бюджет'!AN19+'місц.-районн.бюджет'!AN19+областной!AN19+інші!AN19</f>
        <v>0</v>
      </c>
      <c r="AO19" s="163">
        <f>'насел.'!AO19+пільги!AN19+субсидії!AO19+'держ.бюджет'!AO19+'місц.-районн.бюджет'!AO19+областной!AO19+інші!AO19</f>
        <v>0</v>
      </c>
      <c r="AP19" s="163">
        <f>'насел.'!AP19+пільги!AO19+субсидії!AP19+'держ.бюджет'!AP19+'місц.-районн.бюджет'!AP19+областной!AP19+інші!AP19</f>
        <v>0</v>
      </c>
      <c r="AQ19" s="163">
        <f>'насел.'!AQ19+пільги!AP19+субсидії!AQ19+'держ.бюджет'!AQ19+'місц.-районн.бюджет'!AQ19+областной!AQ19+інші!AQ19</f>
        <v>0</v>
      </c>
      <c r="AR19" s="163">
        <f>'насел.'!AR19+пільги!AQ19+субсидії!AR19+'держ.бюджет'!AR19+'місц.-районн.бюджет'!AR19+областной!AR19+інші!AR19</f>
        <v>0</v>
      </c>
      <c r="AS19" s="163">
        <f>'насел.'!AS19+пільги!AR19+субсидії!AS19+'держ.бюджет'!AS19+'місц.-районн.бюджет'!AS19+областной!AS19+інші!AS19</f>
        <v>0</v>
      </c>
      <c r="AT19" s="163">
        <f>'насел.'!AT19+пільги!AS19+субсидії!AT19+'держ.бюджет'!AT19+'місц.-районн.бюджет'!AT19+областной!AT19+інші!AT19</f>
        <v>7623.062999999998</v>
      </c>
      <c r="AU19" s="163">
        <f>'насел.'!AU19+пільги!AT19+субсидії!AU19+'держ.бюджет'!AU19+'місц.-районн.бюджет'!AU19+областной!AU19+інші!AU19</f>
        <v>7218.615999999998</v>
      </c>
      <c r="AV19" s="164">
        <f t="shared" si="10"/>
        <v>94.6944292602593</v>
      </c>
      <c r="AW19" s="163">
        <f>'насел.'!AW19+пільги!AV19+субсидії!AW19+'держ.бюджет'!AW19+'місц.-районн.бюджет'!AW19+областной!AW19+інші!AW19</f>
        <v>404.4469999999999</v>
      </c>
      <c r="AX19" s="169">
        <f>'насел.'!AX19+пільги!AW19+субсидії!AX19+'держ.бюджет'!AX19+'місц.-районн.бюджет'!AX19+областной!AX19+інші!AX19</f>
        <v>2858.8469999999998</v>
      </c>
      <c r="AY19" s="165">
        <f t="shared" si="13"/>
        <v>7623.063</v>
      </c>
      <c r="AZ19" s="165">
        <f t="shared" si="14"/>
        <v>7218.616</v>
      </c>
      <c r="BA19" s="165">
        <f t="shared" si="15"/>
        <v>404.4470000000001</v>
      </c>
      <c r="BB19" s="165">
        <f t="shared" si="16"/>
        <v>2858.8469999999998</v>
      </c>
    </row>
    <row r="20" spans="1:54" ht="34.5" customHeight="1">
      <c r="A20" s="167" t="s">
        <v>17</v>
      </c>
      <c r="B20" s="172" t="s">
        <v>57</v>
      </c>
      <c r="C20" s="163">
        <f>'насел.'!C20+пільги!C20+субсидії!C20+'держ.бюджет'!C20+'місц.-районн.бюджет'!C20+областной!C20+інші!C20</f>
        <v>629.3</v>
      </c>
      <c r="D20" s="176">
        <f>'насел.'!D20+пільги!D20+субсидії!D20+'держ.бюджет'!D20+'місц.-районн.бюджет'!D20+областной!D20+інші!D20</f>
        <v>396.1</v>
      </c>
      <c r="E20" s="176">
        <f>'насел.'!E20+пільги!E20+субсидії!E20+'держ.бюджет'!E20+'місц.-районн.бюджет'!E20+областной!E20+інші!E20</f>
        <v>309.09999999999997</v>
      </c>
      <c r="F20" s="177">
        <f t="shared" si="0"/>
        <v>78.03584953294622</v>
      </c>
      <c r="G20" s="176">
        <f>'насел.'!G20+пільги!G20+субсидії!G20+'держ.бюджет'!G20+'місц.-районн.бюджет'!G20+областной!G20+інші!G20</f>
        <v>469.20000000000005</v>
      </c>
      <c r="H20" s="176">
        <f>'насел.'!H20+пільги!H20+субсидії!H20+'держ.бюджет'!H20+'місц.-районн.бюджет'!H20+областной!H20+інші!H20</f>
        <v>367.5</v>
      </c>
      <c r="I20" s="177">
        <f t="shared" si="1"/>
        <v>78.32480818414321</v>
      </c>
      <c r="J20" s="163">
        <f>'насел.'!J20+пільги!J20+субсидії!J20+'держ.бюджет'!J20+'місц.-районн.бюджет'!J20+областной!J20+інші!J20</f>
        <v>479.18</v>
      </c>
      <c r="K20" s="163">
        <f>'насел.'!K20+пільги!K20+субсидії!K20+'держ.бюджет'!K20+'місц.-районн.бюджет'!K20+областной!K20+інші!K20</f>
        <v>416.52</v>
      </c>
      <c r="L20" s="177">
        <f t="shared" si="2"/>
        <v>86.92349430276722</v>
      </c>
      <c r="M20" s="177">
        <f>'насел.'!M20+пільги!M20+субсидії!M20+'держ.бюджет'!M20+'місц.-районн.бюджет'!M20+областной!M20+інші!M20</f>
        <v>1344.4799999999998</v>
      </c>
      <c r="N20" s="177">
        <f>'насел.'!N20+пільги!N20+субсидії!N20+'держ.бюджет'!N20+'місц.-районн.бюджет'!N20+областной!N20+інші!N20</f>
        <v>1093.12</v>
      </c>
      <c r="O20" s="177">
        <f t="shared" si="11"/>
        <v>81.30429608473165</v>
      </c>
      <c r="P20" s="176">
        <f>'насел.'!P20+пільги!P20+субсидії!P20+'держ.бюджет'!P20+'місц.-районн.бюджет'!P20+областной!P20+інші!P20</f>
        <v>486.01</v>
      </c>
      <c r="Q20" s="176">
        <f>'насел.'!Q20+пільги!Q20+субсидії!Q20+'держ.бюджет'!Q20+'місц.-районн.бюджет'!Q20+областной!Q20+інші!Q20</f>
        <v>428.19999999999993</v>
      </c>
      <c r="R20" s="163">
        <f t="shared" si="12"/>
        <v>88.10518302092548</v>
      </c>
      <c r="S20" s="176">
        <f>'насел.'!S20+пільги!S20+субсидії!S20+'держ.бюджет'!S20+'місц.-районн.бюджет'!S20+областной!S20+інші!S20</f>
        <v>532.5</v>
      </c>
      <c r="T20" s="176">
        <f>'насел.'!T20+пільги!T20+субсидії!T20+'держ.бюджет'!T20+'місц.-районн.бюджет'!T20+областной!T20+інші!T20</f>
        <v>534.9</v>
      </c>
      <c r="U20" s="177">
        <f t="shared" si="3"/>
        <v>100.45070422535211</v>
      </c>
      <c r="V20" s="176">
        <f>'насел.'!V20+пільги!V20+субсидії!V20+'держ.бюджет'!V20+'місц.-районн.бюджет'!V20+областной!V20+інші!V20</f>
        <v>578.5999999999999</v>
      </c>
      <c r="W20" s="176">
        <f>'насел.'!W20+пільги!W20+субсидії!W20+'держ.бюджет'!W20+'місц.-районн.бюджет'!W20+областной!W20+інші!W20</f>
        <v>468.8</v>
      </c>
      <c r="X20" s="177">
        <f t="shared" si="4"/>
        <v>81.02315935015557</v>
      </c>
      <c r="Y20" s="176">
        <f>'насел.'!Y20+пільги!Y20+субсидії!Y20+'держ.бюджет'!Y20+'місц.-районн.бюджет'!Y20+областной!Y20+інші!Y20</f>
        <v>1597.11</v>
      </c>
      <c r="Z20" s="176">
        <f>'насел.'!Z20+пільги!Z20+субсидії!Z20+'держ.бюджет'!Z20+'місц.-районн.бюджет'!Z20+областной!Z20+інші!Z20</f>
        <v>1431.9</v>
      </c>
      <c r="AA20" s="177">
        <f t="shared" si="5"/>
        <v>89.65569059113024</v>
      </c>
      <c r="AB20" s="176">
        <f>'насел.'!AB20+пільги!AB20+субсидії!AB20+'держ.бюджет'!AB20+'місц.-районн.бюджет'!AB20+областной!AB20+інші!AB20</f>
        <v>0</v>
      </c>
      <c r="AC20" s="176">
        <f>'насел.'!AC20+пільги!AC20+субсидії!AC20+'держ.бюджет'!AC20+'місц.-районн.бюджет'!AC20+областной!AC20+інші!AC20</f>
        <v>0</v>
      </c>
      <c r="AD20" s="177" t="e">
        <f t="shared" si="6"/>
        <v>#DIV/0!</v>
      </c>
      <c r="AE20" s="176">
        <f>'насел.'!AE20+пільги!AE20+субсидії!AE20+'держ.бюджет'!AE20+'місц.-районн.бюджет'!AE20+областной!AE20+інші!AE20</f>
        <v>0</v>
      </c>
      <c r="AF20" s="176">
        <f>'насел.'!AF20+пільги!AF20+субсидії!AF20+'держ.бюджет'!AF20+'місц.-районн.бюджет'!AF20+областной!AF20+інші!AF20</f>
        <v>0</v>
      </c>
      <c r="AG20" s="164" t="e">
        <f t="shared" si="7"/>
        <v>#DIV/0!</v>
      </c>
      <c r="AH20" s="163">
        <f>'насел.'!AH20+пільги!AH20+субсидії!AH20+'держ.бюджет'!AH20+'місц.-районн.бюджет'!AH20+областной!AH20+інші!AH20</f>
        <v>0</v>
      </c>
      <c r="AI20" s="163">
        <f>'насел.'!AI20+пільги!AI20+субсидії!AI20+'держ.бюджет'!AI20+'місц.-районн.бюджет'!AI20+областной!AI20+інші!AI20</f>
        <v>0</v>
      </c>
      <c r="AJ20" s="164" t="e">
        <f t="shared" si="8"/>
        <v>#DIV/0!</v>
      </c>
      <c r="AK20" s="176">
        <f>'насел.'!AK20+пільги!AJ20+субсидії!AK20+'держ.бюджет'!AK20+'місц.-районн.бюджет'!AK20+областной!AK20+інші!AK20</f>
        <v>0</v>
      </c>
      <c r="AL20" s="176">
        <f>'насел.'!AL20+пільги!AK20+субсидії!AL20+'держ.бюджет'!AL20+'місц.-районн.бюджет'!AL20+областной!AL20+інші!AL20</f>
        <v>0</v>
      </c>
      <c r="AM20" s="176" t="e">
        <f t="shared" si="9"/>
        <v>#DIV/0!</v>
      </c>
      <c r="AN20" s="176">
        <f>'насел.'!AN20+пільги!AM20+субсидії!AN20+'держ.бюджет'!AN20+'місц.-районн.бюджет'!AN20+областной!AN20+інші!AN20</f>
        <v>0</v>
      </c>
      <c r="AO20" s="176">
        <f>'насел.'!AO20+пільги!AN20+субсидії!AO20+'держ.бюджет'!AO20+'місц.-районн.бюджет'!AO20+областной!AO20+інші!AO20</f>
        <v>0</v>
      </c>
      <c r="AP20" s="176">
        <f>'насел.'!AP20+пільги!AO20+субсидії!AP20+'держ.бюджет'!AP20+'місц.-районн.бюджет'!AP20+областной!AP20+інші!AP20</f>
        <v>0</v>
      </c>
      <c r="AQ20" s="176">
        <f>'насел.'!AQ20+пільги!AP20+субсидії!AQ20+'держ.бюджет'!AQ20+'місц.-районн.бюджет'!AQ20+областной!AQ20+інші!AQ20</f>
        <v>0</v>
      </c>
      <c r="AR20" s="176">
        <f>'насел.'!AR20+пільги!AQ20+субсидії!AR20+'держ.бюджет'!AR20+'місц.-районн.бюджет'!AR20+областной!AR20+інші!AR20</f>
        <v>0</v>
      </c>
      <c r="AS20" s="176">
        <f>'насел.'!AS20+пільги!AR20+субсидії!AS20+'держ.бюджет'!AS20+'місц.-районн.бюджет'!AS20+областной!AS20+інші!AS20</f>
        <v>0</v>
      </c>
      <c r="AT20" s="163">
        <f>'насел.'!AT20+пільги!AS20+субсидії!AT20+'держ.бюджет'!AT20+'місц.-районн.бюджет'!AT20+областной!AT20+інші!AT20</f>
        <v>2941.5900000000006</v>
      </c>
      <c r="AU20" s="163">
        <f>'насел.'!AU20+пільги!AT20+субсидії!AU20+'держ.бюджет'!AU20+'місц.-районн.бюджет'!AU20+областной!AU20+інші!AU20</f>
        <v>2525.02</v>
      </c>
      <c r="AV20" s="164">
        <f t="shared" si="10"/>
        <v>85.83861109128054</v>
      </c>
      <c r="AW20" s="163">
        <f>'насел.'!AW20+пільги!AV20+субсидії!AW20+'держ.бюджет'!AW20+'місц.-районн.бюджет'!AW20+областной!AW20+інші!AW20</f>
        <v>416.57000000000016</v>
      </c>
      <c r="AX20" s="169">
        <f>'насел.'!AX20+пільги!AW20+субсидії!AX20+'держ.бюджет'!AX20+'місц.-районн.бюджет'!AX20+областной!AX20+інші!AX20</f>
        <v>1045.8700000000001</v>
      </c>
      <c r="AY20" s="165">
        <f t="shared" si="13"/>
        <v>2941.5899999999997</v>
      </c>
      <c r="AZ20" s="165">
        <f t="shared" si="14"/>
        <v>2525.02</v>
      </c>
      <c r="BA20" s="165">
        <f t="shared" si="15"/>
        <v>416.5699999999997</v>
      </c>
      <c r="BB20" s="165">
        <f t="shared" si="16"/>
        <v>1045.8699999999994</v>
      </c>
    </row>
    <row r="21" spans="1:54" s="178" customFormat="1" ht="34.5" customHeight="1">
      <c r="A21" s="167" t="s">
        <v>18</v>
      </c>
      <c r="B21" s="172" t="s">
        <v>58</v>
      </c>
      <c r="C21" s="163">
        <f>'насел.'!C21+пільги!C21+субсидії!C21+'держ.бюджет'!C21+'місц.-районн.бюджет'!C21+областной!C21+інші!C21</f>
        <v>2.4</v>
      </c>
      <c r="D21" s="163">
        <f>'насел.'!D21+пільги!D21+субсидії!D21+'держ.бюджет'!D21+'місц.-районн.бюджет'!D21+областной!D21+інші!D21</f>
        <v>23.3</v>
      </c>
      <c r="E21" s="163">
        <f>'насел.'!E21+пільги!E21+субсидії!E21+'держ.бюджет'!E21+'місц.-районн.бюджет'!E21+областной!E21+інші!E21</f>
        <v>17.400000000000002</v>
      </c>
      <c r="F21" s="164">
        <f t="shared" si="0"/>
        <v>74.67811158798284</v>
      </c>
      <c r="G21" s="163">
        <f>'насел.'!G21+пільги!G21+субсидії!G21+'держ.бюджет'!G21+'місц.-районн.бюджет'!G21+областной!G21+інші!G21</f>
        <v>29.000000000000004</v>
      </c>
      <c r="H21" s="163">
        <f>'насел.'!H21+пільги!H21+субсидії!H21+'держ.бюджет'!H21+'місц.-районн.бюджет'!H21+областной!H21+інші!H21</f>
        <v>21.200000000000003</v>
      </c>
      <c r="I21" s="164">
        <f t="shared" si="1"/>
        <v>73.10344827586206</v>
      </c>
      <c r="J21" s="163">
        <f>'насел.'!J21+пільги!J21+субсидії!J21+'держ.бюджет'!J21+'місц.-районн.бюджет'!J21+областной!J21+інші!J21</f>
        <v>28.018000000000004</v>
      </c>
      <c r="K21" s="163">
        <f>'насел.'!K21+пільги!K21+субсидії!K21+'держ.бюджет'!K21+'місц.-районн.бюджет'!K21+областной!K21+інші!K21</f>
        <v>24.158000000000005</v>
      </c>
      <c r="L21" s="164">
        <f t="shared" si="2"/>
        <v>86.22314226568635</v>
      </c>
      <c r="M21" s="164">
        <f>'насел.'!M21+пільги!M21+субсидії!M21+'держ.бюджет'!M21+'місц.-районн.бюджет'!M21+областной!M21+інші!M21</f>
        <v>80.31800000000001</v>
      </c>
      <c r="N21" s="164">
        <f>'насел.'!N21+пільги!N21+субсидії!N21+'держ.бюджет'!N21+'місц.-районн.бюджет'!N21+областной!N21+інші!N21</f>
        <v>62.758</v>
      </c>
      <c r="O21" s="164">
        <f t="shared" si="11"/>
        <v>78.13690579944719</v>
      </c>
      <c r="P21" s="163">
        <f>'насел.'!P21+пільги!P21+субсидії!P21+'держ.бюджет'!P21+'місц.-районн.бюджет'!P21+областной!P21+інші!P21</f>
        <v>38.33</v>
      </c>
      <c r="Q21" s="163">
        <f>'насел.'!Q21+пільги!Q21+субсидії!Q21+'держ.бюджет'!Q21+'місц.-районн.бюджет'!Q21+областной!Q21+інші!Q21</f>
        <v>39.829</v>
      </c>
      <c r="R21" s="163">
        <f t="shared" si="12"/>
        <v>103.91077484998696</v>
      </c>
      <c r="S21" s="163">
        <f>'насел.'!S21+пільги!S21+субсидії!S21+'держ.бюджет'!S21+'місц.-районн.бюджет'!S21+областной!S21+інші!S21</f>
        <v>39</v>
      </c>
      <c r="T21" s="163">
        <f>'насел.'!T21+пільги!T21+субсидії!T21+'держ.бюджет'!T21+'місц.-районн.бюджет'!T21+областной!T21+інші!T21</f>
        <v>40.4</v>
      </c>
      <c r="U21" s="164">
        <f t="shared" si="3"/>
        <v>103.58974358974358</v>
      </c>
      <c r="V21" s="163">
        <f>'насел.'!V21+пільги!V21+субсидії!V21+'держ.бюджет'!V21+'місц.-районн.бюджет'!V21+областной!V21+інші!V21</f>
        <v>40</v>
      </c>
      <c r="W21" s="163">
        <f>'насел.'!W21+пільги!W21+субсидії!W21+'держ.бюджет'!W21+'місц.-районн.бюджет'!W21+областной!W21+інші!W21</f>
        <v>36.1</v>
      </c>
      <c r="X21" s="164">
        <f t="shared" si="4"/>
        <v>90.25000000000001</v>
      </c>
      <c r="Y21" s="163">
        <f>'насел.'!Y21+пільги!Y21+субсидії!Y21+'держ.бюджет'!Y21+'місц.-районн.бюджет'!Y21+областной!Y21+інші!Y21</f>
        <v>117.33000000000001</v>
      </c>
      <c r="Z21" s="163">
        <f>'насел.'!Z21+пільги!Z21+субсидії!Z21+'держ.бюджет'!Z21+'місц.-районн.бюджет'!Z21+областной!Z21+інші!Z21</f>
        <v>116.32900000000002</v>
      </c>
      <c r="AA21" s="164">
        <f t="shared" si="5"/>
        <v>99.14685076280577</v>
      </c>
      <c r="AB21" s="163">
        <f>'насел.'!AB21+пільги!AB21+субсидії!AB21+'держ.бюджет'!AB21+'місц.-районн.бюджет'!AB21+областной!AB21+інші!AB21</f>
        <v>0</v>
      </c>
      <c r="AC21" s="163">
        <f>'насел.'!AC21+пільги!AC21+субсидії!AC21+'держ.бюджет'!AC21+'місц.-районн.бюджет'!AC21+областной!AC21+інші!AC21</f>
        <v>0</v>
      </c>
      <c r="AD21" s="164" t="e">
        <f t="shared" si="6"/>
        <v>#DIV/0!</v>
      </c>
      <c r="AE21" s="163">
        <f>'насел.'!AE21+пільги!AE21+субсидії!AE21+'держ.бюджет'!AE21+'місц.-районн.бюджет'!AE21+областной!AE21+інші!AE21</f>
        <v>0</v>
      </c>
      <c r="AF21" s="163">
        <f>'насел.'!AF21+пільги!AF21+субсидії!AF21+'держ.бюджет'!AF21+'місц.-районн.бюджет'!AF21+областной!AF21+інші!AF21</f>
        <v>0</v>
      </c>
      <c r="AG21" s="164" t="e">
        <f t="shared" si="7"/>
        <v>#DIV/0!</v>
      </c>
      <c r="AH21" s="163">
        <f>'насел.'!AH21+пільги!AH21+субсидії!AH21+'держ.бюджет'!AH21+'місц.-районн.бюджет'!AH21+областной!AH21+інші!AH21</f>
        <v>0</v>
      </c>
      <c r="AI21" s="163">
        <f>'насел.'!AI21+пільги!AI21+субсидії!AI21+'держ.бюджет'!AI21+'місц.-районн.бюджет'!AI21+областной!AI21+інші!AI21</f>
        <v>0</v>
      </c>
      <c r="AJ21" s="164" t="e">
        <f t="shared" si="8"/>
        <v>#DIV/0!</v>
      </c>
      <c r="AK21" s="163">
        <f>'насел.'!AK21+пільги!AJ21+субсидії!AK21+'держ.бюджет'!AK21+'місц.-районн.бюджет'!AK21+областной!AK21+інші!AK21</f>
        <v>0</v>
      </c>
      <c r="AL21" s="163">
        <f>'насел.'!AL21+пільги!AK21+субсидії!AL21+'держ.бюджет'!AL21+'місц.-районн.бюджет'!AL21+областной!AL21+інші!AL21</f>
        <v>0</v>
      </c>
      <c r="AM21" s="163" t="e">
        <f t="shared" si="9"/>
        <v>#DIV/0!</v>
      </c>
      <c r="AN21" s="163">
        <f>'насел.'!AN21+пільги!AM21+субсидії!AN21+'держ.бюджет'!AN21+'місц.-районн.бюджет'!AN21+областной!AN21+інші!AN21</f>
        <v>0</v>
      </c>
      <c r="AO21" s="163">
        <f>'насел.'!AO21+пільги!AN21+субсидії!AO21+'держ.бюджет'!AO21+'місц.-районн.бюджет'!AO21+областной!AO21+інші!AO21</f>
        <v>0</v>
      </c>
      <c r="AP21" s="163">
        <f>'насел.'!AP21+пільги!AO21+субсидії!AP21+'держ.бюджет'!AP21+'місц.-районн.бюджет'!AP21+областной!AP21+інші!AP21</f>
        <v>0</v>
      </c>
      <c r="AQ21" s="163">
        <f>'насел.'!AQ21+пільги!AP21+субсидії!AQ21+'держ.бюджет'!AQ21+'місц.-районн.бюджет'!AQ21+областной!AQ21+інші!AQ21</f>
        <v>0</v>
      </c>
      <c r="AR21" s="163">
        <f>'насел.'!AR21+пільги!AQ21+субсидії!AR21+'держ.бюджет'!AR21+'місц.-районн.бюджет'!AR21+областной!AR21+інші!AR21</f>
        <v>0</v>
      </c>
      <c r="AS21" s="163">
        <f>'насел.'!AS21+пільги!AR21+субсидії!AS21+'держ.бюджет'!AS21+'місц.-районн.бюджет'!AS21+областной!AS21+інші!AS21</f>
        <v>0</v>
      </c>
      <c r="AT21" s="163">
        <f>'насел.'!AT21+пільги!AS21+субсидії!AT21+'держ.бюджет'!AT21+'місц.-районн.бюджет'!AT21+областной!AT21+інші!AT21</f>
        <v>197.64800000000002</v>
      </c>
      <c r="AU21" s="163">
        <f>'насел.'!AU21+пільги!AT21+субсидії!AU21+'держ.бюджет'!AU21+'місц.-районн.бюджет'!AU21+областной!AU21+інші!AU21</f>
        <v>179.08700000000002</v>
      </c>
      <c r="AV21" s="164">
        <f t="shared" si="10"/>
        <v>90.6090625758925</v>
      </c>
      <c r="AW21" s="163">
        <f>'насел.'!AW21+пільги!AV21+субсидії!AW21+'держ.бюджет'!AW21+'місц.-районн.бюджет'!AW21+областной!AW21+інші!AW21</f>
        <v>18.561000000000007</v>
      </c>
      <c r="AX21" s="169">
        <f>'насел.'!AX21+пільги!AW21+субсидії!AX21+'держ.бюджет'!AX21+'місц.-районн.бюджет'!AX21+областной!AX21+інші!AX21</f>
        <v>20.961000000000013</v>
      </c>
      <c r="AY21" s="165">
        <f t="shared" si="13"/>
        <v>197.64800000000002</v>
      </c>
      <c r="AZ21" s="165">
        <f t="shared" si="14"/>
        <v>179.08700000000002</v>
      </c>
      <c r="BA21" s="165">
        <f t="shared" si="15"/>
        <v>18.561000000000007</v>
      </c>
      <c r="BB21" s="165">
        <f t="shared" si="16"/>
        <v>20.961000000000013</v>
      </c>
    </row>
    <row r="22" spans="1:54" ht="34.5" customHeight="1">
      <c r="A22" s="167" t="s">
        <v>19</v>
      </c>
      <c r="B22" s="172" t="s">
        <v>41</v>
      </c>
      <c r="C22" s="163">
        <f>'насел.'!C22+пільги!C22+субсидії!C22+'держ.бюджет'!C22+'місц.-районн.бюджет'!C22+областной!C22+інші!C22</f>
        <v>6.699999999999999</v>
      </c>
      <c r="D22" s="163">
        <f>'насел.'!D22+пільги!D22+субсидії!D22+'держ.бюджет'!D22+'місц.-районн.бюджет'!D22+областной!D22+інші!D22</f>
        <v>229.6</v>
      </c>
      <c r="E22" s="163">
        <f>'насел.'!E22+пільги!E22+субсидії!E22+'держ.бюджет'!E22+'місц.-районн.бюджет'!E22+областной!E22+інші!E22</f>
        <v>206.5</v>
      </c>
      <c r="F22" s="164">
        <f t="shared" si="0"/>
        <v>89.9390243902439</v>
      </c>
      <c r="G22" s="163">
        <f>'насел.'!G22+пільги!G22+субсидії!G22+'держ.бюджет'!G22+'місц.-районн.бюджет'!G22+областной!G22+інші!G22</f>
        <v>175.8</v>
      </c>
      <c r="H22" s="163">
        <f>'насел.'!H22+пільги!H22+субсидії!H22+'держ.бюджет'!H22+'місц.-районн.бюджет'!H22+областной!H22+інші!H22</f>
        <v>155.6</v>
      </c>
      <c r="I22" s="164">
        <f t="shared" si="1"/>
        <v>88.50967007963594</v>
      </c>
      <c r="J22" s="163">
        <f>'насел.'!J22+пільги!J22+субсидії!J22+'держ.бюджет'!J22+'місц.-районн.бюджет'!J22+областной!J22+інші!J22</f>
        <v>280.50000000000006</v>
      </c>
      <c r="K22" s="163">
        <f>'насел.'!K22+пільги!K22+субсидії!K22+'держ.бюджет'!K22+'місц.-районн.бюджет'!K22+областной!K22+інші!K22</f>
        <v>217.5</v>
      </c>
      <c r="L22" s="164">
        <f t="shared" si="2"/>
        <v>77.54010695187165</v>
      </c>
      <c r="M22" s="164">
        <f>'насел.'!M22+пільги!M22+субсидії!M22+'держ.бюджет'!M22+'місц.-районн.бюджет'!M22+областной!M22+інші!M22</f>
        <v>685.9</v>
      </c>
      <c r="N22" s="164">
        <f>'насел.'!N22+пільги!N22+субсидії!N22+'держ.бюджет'!N22+'місц.-районн.бюджет'!N22+областной!N22+інші!N22</f>
        <v>579.6</v>
      </c>
      <c r="O22" s="164">
        <f t="shared" si="11"/>
        <v>84.50211401078876</v>
      </c>
      <c r="P22" s="163">
        <f>'насел.'!P22+пільги!P22+субсидії!P22+'держ.бюджет'!P22+'місц.-районн.бюджет'!P22+областной!P22+інші!P22</f>
        <v>298</v>
      </c>
      <c r="Q22" s="163">
        <f>'насел.'!Q22+пільги!Q22+субсидії!Q22+'держ.бюджет'!Q22+'місц.-районн.бюджет'!Q22+областной!Q22+інші!Q22</f>
        <v>240.89999999999992</v>
      </c>
      <c r="R22" s="163">
        <f t="shared" si="12"/>
        <v>80.83892617449662</v>
      </c>
      <c r="S22" s="163">
        <f>'насел.'!S22+пільги!S22+субсидії!S22+'держ.бюджет'!S22+'місц.-районн.бюджет'!S22+областной!S22+інші!S22</f>
        <v>172.10000000000002</v>
      </c>
      <c r="T22" s="163">
        <f>'насел.'!T22+пільги!T22+субсидії!T22+'держ.бюджет'!T22+'місц.-районн.бюджет'!T22+областной!T22+інші!T22</f>
        <v>141.20000000000002</v>
      </c>
      <c r="U22" s="164">
        <f t="shared" si="3"/>
        <v>82.04532248692621</v>
      </c>
      <c r="V22" s="163">
        <f>'насел.'!V22+пільги!V22+субсидії!V22+'держ.бюджет'!V22+'місц.-районн.бюджет'!V22+областной!V22+інші!V22</f>
        <v>296.4</v>
      </c>
      <c r="W22" s="163">
        <f>'насел.'!W22+пільги!W22+субсидії!W22+'держ.бюджет'!W22+'місц.-районн.бюджет'!W22+областной!W22+інші!W22</f>
        <v>246.3</v>
      </c>
      <c r="X22" s="164">
        <f t="shared" si="4"/>
        <v>83.09716599190284</v>
      </c>
      <c r="Y22" s="163">
        <f>'насел.'!Y22+пільги!Y22+субсидії!Y22+'держ.бюджет'!Y22+'місц.-районн.бюджет'!Y22+областной!Y22+інші!Y22</f>
        <v>766.5</v>
      </c>
      <c r="Z22" s="163">
        <f>'насел.'!Z22+пільги!Z22+субсидії!Z22+'держ.бюджет'!Z22+'місц.-районн.бюджет'!Z22+областной!Z22+інші!Z22</f>
        <v>628.4</v>
      </c>
      <c r="AA22" s="164">
        <f t="shared" si="5"/>
        <v>81.98303979125897</v>
      </c>
      <c r="AB22" s="163">
        <f>'насел.'!AB22+пільги!AB22+субсидії!AB22+'держ.бюджет'!AB22+'місц.-районн.бюджет'!AB22+областной!AB22+інші!AB22</f>
        <v>0</v>
      </c>
      <c r="AC22" s="163">
        <f>'насел.'!AC22+пільги!AC22+субсидії!AC22+'держ.бюджет'!AC22+'місц.-районн.бюджет'!AC22+областной!AC22+інші!AC22</f>
        <v>0</v>
      </c>
      <c r="AD22" s="164" t="e">
        <f t="shared" si="6"/>
        <v>#DIV/0!</v>
      </c>
      <c r="AE22" s="163">
        <f>'насел.'!AE22+пільги!AE22+субсидії!AE22+'держ.бюджет'!AE22+'місц.-районн.бюджет'!AE22+областной!AE22+інші!AE22</f>
        <v>0</v>
      </c>
      <c r="AF22" s="163">
        <f>'насел.'!AF22+пільги!AF22+субсидії!AF22+'держ.бюджет'!AF22+'місц.-районн.бюджет'!AF22+областной!AF22+інші!AF22</f>
        <v>0</v>
      </c>
      <c r="AG22" s="164" t="e">
        <f t="shared" si="7"/>
        <v>#DIV/0!</v>
      </c>
      <c r="AH22" s="163">
        <f>'насел.'!AH22+пільги!AH22+субсидії!AH22+'держ.бюджет'!AH22+'місц.-районн.бюджет'!AH22+областной!AH22+інші!AH22</f>
        <v>0</v>
      </c>
      <c r="AI22" s="163">
        <f>'насел.'!AI22+пільги!AI22+субсидії!AI22+'держ.бюджет'!AI22+'місц.-районн.бюджет'!AI22+областной!AI22+інші!AI22</f>
        <v>0</v>
      </c>
      <c r="AJ22" s="164" t="e">
        <f t="shared" si="8"/>
        <v>#DIV/0!</v>
      </c>
      <c r="AK22" s="163">
        <f>'насел.'!AK22+пільги!AJ22+субсидії!AK22+'держ.бюджет'!AK22+'місц.-районн.бюджет'!AK22+областной!AK22+інші!AK22</f>
        <v>0</v>
      </c>
      <c r="AL22" s="163">
        <f>'насел.'!AL22+пільги!AK22+субсидії!AL22+'держ.бюджет'!AL22+'місц.-районн.бюджет'!AL22+областной!AL22+інші!AL22</f>
        <v>0</v>
      </c>
      <c r="AM22" s="163" t="e">
        <f t="shared" si="9"/>
        <v>#DIV/0!</v>
      </c>
      <c r="AN22" s="163">
        <f>'насел.'!AN22+пільги!AM22+субсидії!AN22+'держ.бюджет'!AN22+'місц.-районн.бюджет'!AN22+областной!AN22+інші!AN22</f>
        <v>0</v>
      </c>
      <c r="AO22" s="163">
        <f>'насел.'!AO22+пільги!AN22+субсидії!AO22+'держ.бюджет'!AO22+'місц.-районн.бюджет'!AO22+областной!AO22+інші!AO22</f>
        <v>0</v>
      </c>
      <c r="AP22" s="163">
        <f>'насел.'!AP22+пільги!AO22+субсидії!AP22+'держ.бюджет'!AP22+'місц.-районн.бюджет'!AP22+областной!AP22+інші!AP22</f>
        <v>0</v>
      </c>
      <c r="AQ22" s="163">
        <f>'насел.'!AQ22+пільги!AP22+субсидії!AQ22+'держ.бюджет'!AQ22+'місц.-районн.бюджет'!AQ22+областной!AQ22+інші!AQ22</f>
        <v>0</v>
      </c>
      <c r="AR22" s="163">
        <f>'насел.'!AR22+пільги!AQ22+субсидії!AR22+'держ.бюджет'!AR22+'місц.-районн.бюджет'!AR22+областной!AR22+інші!AR22</f>
        <v>0</v>
      </c>
      <c r="AS22" s="163">
        <f>'насел.'!AS22+пільги!AR22+субсидії!AS22+'держ.бюджет'!AS22+'місц.-районн.бюджет'!AS22+областной!AS22+інші!AS22</f>
        <v>0</v>
      </c>
      <c r="AT22" s="163">
        <f>'насел.'!AT22+пільги!AS22+субсидії!AT22+'держ.бюджет'!AT22+'місц.-районн.бюджет'!AT22+областной!AT22+інші!AT22</f>
        <v>1452.3999999999999</v>
      </c>
      <c r="AU22" s="163">
        <f>'насел.'!AU22+пільги!AT22+субсидії!AU22+'держ.бюджет'!AU22+'місц.-районн.бюджет'!AU22+областной!AU22+інші!AU22</f>
        <v>1208</v>
      </c>
      <c r="AV22" s="164">
        <f t="shared" si="10"/>
        <v>83.17267970256128</v>
      </c>
      <c r="AW22" s="163">
        <f>'насел.'!AW22+пільги!AV22+субсидії!AW22+'держ.бюджет'!AW22+'місц.-районн.бюджет'!AW22+областной!AW22+інші!AW22</f>
        <v>244.40000000000015</v>
      </c>
      <c r="AX22" s="169">
        <f>'насел.'!AX22+пільги!AW22+субсидії!AX22+'держ.бюджет'!AX22+'місц.-районн.бюджет'!AX22+областной!AX22+інші!AX22</f>
        <v>251.1000000000002</v>
      </c>
      <c r="AY22" s="165">
        <f t="shared" si="13"/>
        <v>1452.4</v>
      </c>
      <c r="AZ22" s="165">
        <f t="shared" si="14"/>
        <v>1208</v>
      </c>
      <c r="BA22" s="165">
        <f t="shared" si="15"/>
        <v>244.4000000000001</v>
      </c>
      <c r="BB22" s="165">
        <f t="shared" si="16"/>
        <v>251.10000000000014</v>
      </c>
    </row>
    <row r="23" spans="1:54" ht="34.5" customHeight="1">
      <c r="A23" s="167" t="s">
        <v>20</v>
      </c>
      <c r="B23" s="172" t="s">
        <v>84</v>
      </c>
      <c r="C23" s="163">
        <f>'насел.'!C23+пільги!C23+субсидії!C23+'держ.бюджет'!C23+'місц.-районн.бюджет'!C23+областной!C23+інші!C23</f>
        <v>29.9</v>
      </c>
      <c r="D23" s="163">
        <f>'насел.'!D23+пільги!D23+субсидії!D23+'держ.бюджет'!D23+'місц.-районн.бюджет'!D23+областной!D23+інші!D23</f>
        <v>37.199999999999996</v>
      </c>
      <c r="E23" s="163">
        <f>'насел.'!E23+пільги!E23+субсидії!E23+'держ.бюджет'!E23+'місц.-районн.бюджет'!E23+областной!E23+інші!E23</f>
        <v>35.9</v>
      </c>
      <c r="F23" s="164">
        <f t="shared" si="0"/>
        <v>96.50537634408603</v>
      </c>
      <c r="G23" s="163">
        <f>'насел.'!G23+пільги!G23+субсидії!G23+'держ.бюджет'!G23+'місц.-районн.бюджет'!G23+областной!G23+інші!G23</f>
        <v>35.800000000000004</v>
      </c>
      <c r="H23" s="163">
        <f>'насел.'!H23+пільги!H23+субсидії!H23+'держ.бюджет'!H23+'місц.-районн.бюджет'!H23+областной!H23+інші!H23</f>
        <v>26.5</v>
      </c>
      <c r="I23" s="164">
        <f t="shared" si="1"/>
        <v>74.02234636871508</v>
      </c>
      <c r="J23" s="163">
        <f>'насел.'!J23+пільги!J23+субсидії!J23+'держ.бюджет'!J23+'місц.-районн.бюджет'!J23+областной!J23+інші!J23</f>
        <v>32.2</v>
      </c>
      <c r="K23" s="163">
        <f>'насел.'!K23+пільги!K23+субсидії!K23+'держ.бюджет'!K23+'місц.-районн.бюджет'!K23+областной!K23+інші!K23</f>
        <v>33.800000000000004</v>
      </c>
      <c r="L23" s="164">
        <f t="shared" si="2"/>
        <v>104.96894409937889</v>
      </c>
      <c r="M23" s="164">
        <f>'насел.'!M23+пільги!M23+субсидії!M23+'держ.бюджет'!M23+'місц.-районн.бюджет'!M23+областной!M23+інші!M23</f>
        <v>105.2</v>
      </c>
      <c r="N23" s="164">
        <f>'насел.'!N23+пільги!N23+субсидії!N23+'держ.бюджет'!N23+'місц.-районн.бюджет'!N23+областной!N23+інші!N23</f>
        <v>96.19999999999999</v>
      </c>
      <c r="O23" s="164">
        <f t="shared" si="11"/>
        <v>91.44486692015208</v>
      </c>
      <c r="P23" s="163">
        <f>'насел.'!P23+пільги!P23+субсидії!P23+'держ.бюджет'!P23+'місц.-районн.бюджет'!P23+областной!P23+інші!P23</f>
        <v>34</v>
      </c>
      <c r="Q23" s="163">
        <f>'насел.'!Q23+пільги!Q23+субсидії!Q23+'держ.бюджет'!Q23+'місц.-районн.бюджет'!Q23+областной!Q23+інші!Q23</f>
        <v>27.5</v>
      </c>
      <c r="R23" s="163">
        <f t="shared" si="12"/>
        <v>80.88235294117648</v>
      </c>
      <c r="S23" s="163">
        <f>'насел.'!S23+пільги!S23+субсидії!S23+'держ.бюджет'!S23+'місц.-районн.бюджет'!S23+областной!S23+інші!S23</f>
        <v>38.6</v>
      </c>
      <c r="T23" s="163">
        <f>'насел.'!T23+пільги!T23+субсидії!T23+'держ.бюджет'!T23+'місц.-районн.бюджет'!T23+областной!T23+інші!T23</f>
        <v>38.60000000000001</v>
      </c>
      <c r="U23" s="164">
        <f t="shared" si="3"/>
        <v>100.00000000000003</v>
      </c>
      <c r="V23" s="163">
        <f>'насел.'!V23+пільги!V23+субсидії!V23+'держ.бюджет'!V23+'місц.-районн.бюджет'!V23+областной!V23+інші!V23</f>
        <v>38.300000000000004</v>
      </c>
      <c r="W23" s="163">
        <f>'насел.'!W23+пільги!W23+субсидії!W23+'держ.бюджет'!W23+'місц.-районн.бюджет'!W23+областной!W23+інші!W23</f>
        <v>29.4</v>
      </c>
      <c r="X23" s="164">
        <f t="shared" si="4"/>
        <v>76.76240208877283</v>
      </c>
      <c r="Y23" s="163">
        <f>'насел.'!Y23+пільги!Y23+субсидії!Y23+'держ.бюджет'!Y23+'місц.-районн.бюджет'!Y23+областной!Y23+інші!Y23</f>
        <v>110.89999999999999</v>
      </c>
      <c r="Z23" s="163">
        <f>'насел.'!Z23+пільги!Z23+субсидії!Z23+'держ.бюджет'!Z23+'місц.-районн.бюджет'!Z23+областной!Z23+інші!Z23</f>
        <v>95.5</v>
      </c>
      <c r="AA23" s="164">
        <f t="shared" si="5"/>
        <v>86.1136158701533</v>
      </c>
      <c r="AB23" s="163">
        <f>'насел.'!AB23+пільги!AB23+субсидії!AB23+'держ.бюджет'!AB23+'місц.-районн.бюджет'!AB23+областной!AB23+інші!AB23</f>
        <v>0</v>
      </c>
      <c r="AC23" s="163">
        <f>'насел.'!AC23+пільги!AC23+субсидії!AC23+'держ.бюджет'!AC23+'місц.-районн.бюджет'!AC23+областной!AC23+інші!AC23</f>
        <v>0</v>
      </c>
      <c r="AD23" s="164" t="e">
        <f t="shared" si="6"/>
        <v>#DIV/0!</v>
      </c>
      <c r="AE23" s="163">
        <f>'насел.'!AE23+пільги!AE23+субсидії!AE23+'держ.бюджет'!AE23+'місц.-районн.бюджет'!AE23+областной!AE23+інші!AE23</f>
        <v>0</v>
      </c>
      <c r="AF23" s="163">
        <f>'насел.'!AF23+пільги!AF23+субсидії!AF23+'держ.бюджет'!AF23+'місц.-районн.бюджет'!AF23+областной!AF23+інші!AF23</f>
        <v>0</v>
      </c>
      <c r="AG23" s="164" t="e">
        <f t="shared" si="7"/>
        <v>#DIV/0!</v>
      </c>
      <c r="AH23" s="163">
        <f>'насел.'!AH23+пільги!AH23+субсидії!AH23+'держ.бюджет'!AH23+'місц.-районн.бюджет'!AH23+областной!AH23+інші!AH23</f>
        <v>0</v>
      </c>
      <c r="AI23" s="163">
        <f>'насел.'!AI23+пільги!AI23+субсидії!AI23+'держ.бюджет'!AI23+'місц.-районн.бюджет'!AI23+областной!AI23+інші!AI23</f>
        <v>0</v>
      </c>
      <c r="AJ23" s="164" t="e">
        <f t="shared" si="8"/>
        <v>#DIV/0!</v>
      </c>
      <c r="AK23" s="163">
        <f>'насел.'!AK23+пільги!AJ23+субсидії!AK23+'держ.бюджет'!AK23+'місц.-районн.бюджет'!AK23+областной!AK23+інші!AK23</f>
        <v>0</v>
      </c>
      <c r="AL23" s="163">
        <f>'насел.'!AL23+пільги!AK23+субсидії!AL23+'держ.бюджет'!AL23+'місц.-районн.бюджет'!AL23+областной!AL23+інші!AL23</f>
        <v>0</v>
      </c>
      <c r="AM23" s="163" t="e">
        <f t="shared" si="9"/>
        <v>#DIV/0!</v>
      </c>
      <c r="AN23" s="163">
        <f>'насел.'!AN23+пільги!AM23+субсидії!AN23+'держ.бюджет'!AN23+'місц.-районн.бюджет'!AN23+областной!AN23+інші!AN23</f>
        <v>0</v>
      </c>
      <c r="AO23" s="163">
        <f>'насел.'!AO23+пільги!AN23+субсидії!AO23+'держ.бюджет'!AO23+'місц.-районн.бюджет'!AO23+областной!AO23+інші!AO23</f>
        <v>0</v>
      </c>
      <c r="AP23" s="163">
        <f>'насел.'!AP23+пільги!AO23+субсидії!AP23+'держ.бюджет'!AP23+'місц.-районн.бюджет'!AP23+областной!AP23+інші!AP23</f>
        <v>0</v>
      </c>
      <c r="AQ23" s="163">
        <f>'насел.'!AQ23+пільги!AP23+субсидії!AQ23+'держ.бюджет'!AQ23+'місц.-районн.бюджет'!AQ23+областной!AQ23+інші!AQ23</f>
        <v>0</v>
      </c>
      <c r="AR23" s="163">
        <f>'насел.'!AR23+пільги!AQ23+субсидії!AR23+'держ.бюджет'!AR23+'місц.-районн.бюджет'!AR23+областной!AR23+інші!AR23</f>
        <v>0</v>
      </c>
      <c r="AS23" s="163">
        <f>'насел.'!AS23+пільги!AR23+субсидії!AS23+'держ.бюджет'!AS23+'місц.-районн.бюджет'!AS23+областной!AS23+інші!AS23</f>
        <v>0</v>
      </c>
      <c r="AT23" s="163">
        <f>'насел.'!AT23+пільги!AS23+субсидії!AT23+'держ.бюджет'!AT23+'місц.-районн.бюджет'!AT23+областной!AT23+інші!AT23</f>
        <v>216.1</v>
      </c>
      <c r="AU23" s="163">
        <f>'насел.'!AU23+пільги!AT23+субсидії!AU23+'держ.бюджет'!AU23+'місц.-районн.бюджет'!AU23+областной!AU23+інші!AU23</f>
        <v>191.70000000000002</v>
      </c>
      <c r="AV23" s="164">
        <f t="shared" si="10"/>
        <v>88.70893105043962</v>
      </c>
      <c r="AW23" s="163">
        <f>'насел.'!AW23+пільги!AV23+субсидії!AW23+'держ.бюджет'!AW23+'місц.-районн.бюджет'!AW23+областной!AW23+інші!AW23</f>
        <v>24.39999999999998</v>
      </c>
      <c r="AX23" s="169">
        <f>'насел.'!AX23+пільги!AW23+субсидії!AX23+'держ.бюджет'!AX23+'місц.-районн.бюджет'!AX23+областной!AX23+інші!AX23</f>
        <v>54.3</v>
      </c>
      <c r="AY23" s="165">
        <f t="shared" si="13"/>
        <v>216.1</v>
      </c>
      <c r="AZ23" s="165">
        <f t="shared" si="14"/>
        <v>191.7</v>
      </c>
      <c r="BA23" s="165">
        <f t="shared" si="15"/>
        <v>24.400000000000006</v>
      </c>
      <c r="BB23" s="165">
        <f t="shared" si="16"/>
        <v>54.30000000000001</v>
      </c>
    </row>
    <row r="24" spans="1:54" ht="34.5" customHeight="1">
      <c r="A24" s="167" t="s">
        <v>21</v>
      </c>
      <c r="B24" s="172" t="s">
        <v>40</v>
      </c>
      <c r="C24" s="163">
        <f>'насел.'!C24+пільги!C24+субсидії!C24+'держ.бюджет'!C24+'місц.-районн.бюджет'!C24+областной!C24+інші!C24</f>
        <v>2846.8999999999996</v>
      </c>
      <c r="D24" s="163">
        <f>'насел.'!D24+пільги!D24+субсидії!D24+'держ.бюджет'!D24+'місц.-районн.бюджет'!D24+областной!D24+інші!D24</f>
        <v>2226.3</v>
      </c>
      <c r="E24" s="163">
        <f>'насел.'!E24+пільги!E24+субсидії!E24+'держ.бюджет'!E24+'місц.-районн.бюджет'!E24+областной!E24+інші!E24</f>
        <v>2223.1</v>
      </c>
      <c r="F24" s="164">
        <f t="shared" si="0"/>
        <v>99.8562637560077</v>
      </c>
      <c r="G24" s="163">
        <f>'насел.'!G24+пільги!G24+субсидії!G24+'держ.бюджет'!G24+'місц.-районн.бюджет'!G24+областной!G24+інші!G24</f>
        <v>2331.7999999999997</v>
      </c>
      <c r="H24" s="163">
        <f>'насел.'!H24+пільги!H24+субсидії!H24+'держ.бюджет'!H24+'місц.-районн.бюджет'!H24+областной!H24+інші!H24</f>
        <v>2178.3</v>
      </c>
      <c r="I24" s="164">
        <f t="shared" si="1"/>
        <v>93.4171026674672</v>
      </c>
      <c r="J24" s="163">
        <f>'насел.'!J24+пільги!J24+субсидії!J24+'держ.бюджет'!J24+'місц.-районн.бюджет'!J24+областной!J24+інші!J24</f>
        <v>2252.5</v>
      </c>
      <c r="K24" s="163">
        <f>'насел.'!K24+пільги!K24+субсидії!K24+'держ.бюджет'!K24+'місц.-районн.бюджет'!K24+областной!K24+інші!K24</f>
        <v>1977.6999999999998</v>
      </c>
      <c r="L24" s="164">
        <f t="shared" si="2"/>
        <v>87.80022197558269</v>
      </c>
      <c r="M24" s="164">
        <f>'насел.'!M24+пільги!M24+субсидії!M24+'держ.бюджет'!M24+'місц.-районн.бюджет'!M24+областной!M24+інші!M24</f>
        <v>6810.6</v>
      </c>
      <c r="N24" s="164">
        <f>'насел.'!N24+пільги!N24+субсидії!N24+'держ.бюджет'!N24+'місц.-районн.бюджет'!N24+областной!N24+інші!N24</f>
        <v>6379.099999999999</v>
      </c>
      <c r="O24" s="164">
        <f t="shared" si="11"/>
        <v>93.66428802161334</v>
      </c>
      <c r="P24" s="163">
        <f>'насел.'!P24+пільги!P24+субсидії!P24+'держ.бюджет'!P24+'місц.-районн.бюджет'!P24+областной!P24+інші!P24</f>
        <v>2197</v>
      </c>
      <c r="Q24" s="163">
        <f>'насел.'!Q24+пільги!Q24+субсидії!Q24+'держ.бюджет'!Q24+'місц.-районн.бюджет'!Q24+областной!Q24+інші!Q24</f>
        <v>2208.2999999999997</v>
      </c>
      <c r="R24" s="163">
        <f t="shared" si="12"/>
        <v>100.51433773327263</v>
      </c>
      <c r="S24" s="163">
        <f>'насел.'!S24+пільги!S24+субсидії!S24+'держ.бюджет'!S24+'місц.-районн.бюджет'!S24+областной!S24+інші!S24</f>
        <v>2191.4</v>
      </c>
      <c r="T24" s="163">
        <f>'насел.'!T24+пільги!T24+субсидії!T24+'держ.бюджет'!T24+'місц.-районн.бюджет'!T24+областной!T24+інші!T24</f>
        <v>2008.8999999999999</v>
      </c>
      <c r="U24" s="164">
        <f t="shared" si="3"/>
        <v>91.67199050835082</v>
      </c>
      <c r="V24" s="163">
        <f>'насел.'!V24+пільги!V24+субсидії!V24+'держ.бюджет'!V24+'місц.-районн.бюджет'!V24+областной!V24+інші!V24</f>
        <v>2265.5999999999995</v>
      </c>
      <c r="W24" s="163">
        <f>'насел.'!W24+пільги!W24+субсидії!W24+'держ.бюджет'!W24+'місц.-районн.бюджет'!W24+областной!W24+інші!W24</f>
        <v>2165.5</v>
      </c>
      <c r="X24" s="164">
        <f t="shared" si="4"/>
        <v>95.5817443502825</v>
      </c>
      <c r="Y24" s="163">
        <f>'насел.'!Y24+пільги!Y24+субсидії!Y24+'держ.бюджет'!Y24+'місц.-районн.бюджет'!Y24+областной!Y24+інші!Y24</f>
        <v>6654</v>
      </c>
      <c r="Z24" s="163">
        <f>'насел.'!Z24+пільги!Z24+субсидії!Z24+'держ.бюджет'!Z24+'місц.-районн.бюджет'!Z24+областной!Z24+інші!Z24</f>
        <v>6382.7</v>
      </c>
      <c r="AA24" s="164">
        <f t="shared" si="5"/>
        <v>95.92275323113915</v>
      </c>
      <c r="AB24" s="163">
        <f>'насел.'!AB24+пільги!AB24+субсидії!AB24+'держ.бюджет'!AB24+'місц.-районн.бюджет'!AB24+областной!AB24+інші!AB24</f>
        <v>0</v>
      </c>
      <c r="AC24" s="163">
        <f>'насел.'!AC24+пільги!AC24+субсидії!AC24+'держ.бюджет'!AC24+'місц.-районн.бюджет'!AC24+областной!AC24+інші!AC24</f>
        <v>0</v>
      </c>
      <c r="AD24" s="164" t="e">
        <f t="shared" si="6"/>
        <v>#DIV/0!</v>
      </c>
      <c r="AE24" s="163">
        <f>'насел.'!AE24+пільги!AE24+субсидії!AE24+'держ.бюджет'!AE24+'місц.-районн.бюджет'!AE24+областной!AE24+інші!AE24</f>
        <v>0</v>
      </c>
      <c r="AF24" s="163">
        <f>'насел.'!AF24+пільги!AF24+субсидії!AF24+'держ.бюджет'!AF24+'місц.-районн.бюджет'!AF24+областной!AF24+інші!AF24</f>
        <v>0</v>
      </c>
      <c r="AG24" s="164" t="e">
        <f t="shared" si="7"/>
        <v>#DIV/0!</v>
      </c>
      <c r="AH24" s="163">
        <f>'насел.'!AH24+пільги!AH24+субсидії!AH24+'держ.бюджет'!AH24+'місц.-районн.бюджет'!AH24+областной!AH24+інші!AH24</f>
        <v>0</v>
      </c>
      <c r="AI24" s="163">
        <f>'насел.'!AI24+пільги!AI24+субсидії!AI24+'держ.бюджет'!AI24+'місц.-районн.бюджет'!AI24+областной!AI24+інші!AI24</f>
        <v>0</v>
      </c>
      <c r="AJ24" s="164" t="e">
        <f t="shared" si="8"/>
        <v>#DIV/0!</v>
      </c>
      <c r="AK24" s="163">
        <f>'насел.'!AK24+пільги!AJ24+субсидії!AK24+'держ.бюджет'!AK24+'місц.-районн.бюджет'!AK24+областной!AK24+інші!AK24</f>
        <v>0</v>
      </c>
      <c r="AL24" s="163">
        <f>'насел.'!AL24+пільги!AK24+субсидії!AL24+'держ.бюджет'!AL24+'місц.-районн.бюджет'!AL24+областной!AL24+інші!AL24</f>
        <v>0</v>
      </c>
      <c r="AM24" s="163" t="e">
        <f t="shared" si="9"/>
        <v>#DIV/0!</v>
      </c>
      <c r="AN24" s="163">
        <f>'насел.'!AN24+пільги!AM24+субсидії!AN24+'держ.бюджет'!AN24+'місц.-районн.бюджет'!AN24+областной!AN24+інші!AN24</f>
        <v>0</v>
      </c>
      <c r="AO24" s="163">
        <f>'насел.'!AO24+пільги!AN24+субсидії!AO24+'держ.бюджет'!AO24+'місц.-районн.бюджет'!AO24+областной!AO24+інші!AO24</f>
        <v>0</v>
      </c>
      <c r="AP24" s="163">
        <f>'насел.'!AP24+пільги!AO24+субсидії!AP24+'держ.бюджет'!AP24+'місц.-районн.бюджет'!AP24+областной!AP24+інші!AP24</f>
        <v>0</v>
      </c>
      <c r="AQ24" s="163">
        <f>'насел.'!AQ24+пільги!AP24+субсидії!AQ24+'держ.бюджет'!AQ24+'місц.-районн.бюджет'!AQ24+областной!AQ24+інші!AQ24</f>
        <v>0</v>
      </c>
      <c r="AR24" s="163">
        <f>'насел.'!AR24+пільги!AQ24+субсидії!AR24+'держ.бюджет'!AR24+'місц.-районн.бюджет'!AR24+областной!AR24+інші!AR24</f>
        <v>0</v>
      </c>
      <c r="AS24" s="163">
        <f>'насел.'!AS24+пільги!AR24+субсидії!AS24+'держ.бюджет'!AS24+'місц.-районн.бюджет'!AS24+областной!AS24+інші!AS24</f>
        <v>0</v>
      </c>
      <c r="AT24" s="163">
        <f>'насел.'!AT24+пільги!AS24+субсидії!AT24+'держ.бюджет'!AT24+'місц.-районн.бюджет'!AT24+областной!AT24+інші!AT24</f>
        <v>13464.6</v>
      </c>
      <c r="AU24" s="163">
        <f>'насел.'!AU24+пільги!AT24+субсидії!AU24+'держ.бюджет'!AU24+'місц.-районн.бюджет'!AU24+областной!AU24+інші!AU24</f>
        <v>12761.800000000001</v>
      </c>
      <c r="AV24" s="164">
        <f t="shared" si="10"/>
        <v>94.78038708910775</v>
      </c>
      <c r="AW24" s="163">
        <f>'насел.'!AW24+пільги!AV24+субсидії!AW24+'держ.бюджет'!AW24+'місц.-районн.бюджет'!AW24+областной!AW24+інші!AW24</f>
        <v>702</v>
      </c>
      <c r="AX24" s="169">
        <f>'насел.'!AX24+пільги!AW24+субсидії!AX24+'держ.бюджет'!AX24+'місц.-районн.бюджет'!AX24+областной!AX24+інші!AX24</f>
        <v>3549.7000000000003</v>
      </c>
      <c r="AY24" s="165">
        <f t="shared" si="13"/>
        <v>13464.6</v>
      </c>
      <c r="AZ24" s="165">
        <f t="shared" si="14"/>
        <v>12761.8</v>
      </c>
      <c r="BA24" s="165">
        <f t="shared" si="15"/>
        <v>702.8000000000011</v>
      </c>
      <c r="BB24" s="165">
        <f t="shared" si="16"/>
        <v>3549.7000000000007</v>
      </c>
    </row>
    <row r="25" spans="1:54" ht="34.5" customHeight="1">
      <c r="A25" s="167" t="s">
        <v>22</v>
      </c>
      <c r="B25" s="168" t="s">
        <v>43</v>
      </c>
      <c r="C25" s="163">
        <f>'насел.'!C25+пільги!C25+субсидії!C25+'держ.бюджет'!C25+'місц.-районн.бюджет'!C25+областной!C25+інші!C25</f>
        <v>235.8</v>
      </c>
      <c r="D25" s="163">
        <f>'насел.'!D25+пільги!D25+субсидії!D25+'держ.бюджет'!D25+'місц.-районн.бюджет'!D25+областной!D25+інші!D25</f>
        <v>391.5</v>
      </c>
      <c r="E25" s="163">
        <f>'насел.'!E25+пільги!E25+субсидії!E25+'держ.бюджет'!E25+'місц.-районн.бюджет'!E25+областной!E25+інші!E25</f>
        <v>339.5</v>
      </c>
      <c r="F25" s="164">
        <f t="shared" si="0"/>
        <v>86.71775223499361</v>
      </c>
      <c r="G25" s="163">
        <f>'насел.'!G25+пільги!G25+субсидії!G25+'держ.бюджет'!G25+'місц.-районн.бюджет'!G25+областной!G25+інші!G25</f>
        <v>479.79999999999995</v>
      </c>
      <c r="H25" s="163">
        <f>'насел.'!H25+пільги!H25+субсидії!H25+'держ.бюджет'!H25+'місц.-районн.бюджет'!H25+областной!H25+інші!H25</f>
        <v>363.8</v>
      </c>
      <c r="I25" s="164">
        <f t="shared" si="1"/>
        <v>75.82325969153814</v>
      </c>
      <c r="J25" s="163">
        <f>'насел.'!J25+пільги!J25+субсидії!J25+'держ.бюджет'!J25+'місц.-районн.бюджет'!J25+областной!J25+інші!J25</f>
        <v>484.64259000000004</v>
      </c>
      <c r="K25" s="163">
        <f>'насел.'!K25+пільги!K25+субсидії!K25+'держ.бюджет'!K25+'місц.-районн.бюджет'!K25+областной!K25+інші!K25</f>
        <v>418.3786799999999</v>
      </c>
      <c r="L25" s="164">
        <f>K25/J25*100</f>
        <v>86.32726232335459</v>
      </c>
      <c r="M25" s="164">
        <f>'насел.'!M25+пільги!M25+субсидії!M25+'держ.бюджет'!M25+'місц.-районн.бюджет'!M25+областной!M25+інші!M25</f>
        <v>1355.94259</v>
      </c>
      <c r="N25" s="164">
        <f>'насел.'!N25+пільги!N25+субсидії!N25+'держ.бюджет'!N25+'місц.-районн.бюджет'!N25+областной!N25+інші!N25</f>
        <v>1121.6786799999998</v>
      </c>
      <c r="O25" s="164">
        <f t="shared" si="11"/>
        <v>82.72316898018519</v>
      </c>
      <c r="P25" s="163">
        <f>'насел.'!P25+пільги!P25+субсидії!P25+'держ.бюджет'!P25+'місц.-районн.бюджет'!P25+областной!P25+інші!P25</f>
        <v>451.60737</v>
      </c>
      <c r="Q25" s="163">
        <f>'насел.'!Q25+пільги!Q25+субсидії!Q25+'держ.бюджет'!Q25+'місц.-районн.бюджет'!Q25+областной!Q25+інші!Q25</f>
        <v>459.20261</v>
      </c>
      <c r="R25" s="163">
        <f t="shared" si="12"/>
        <v>101.68182374880197</v>
      </c>
      <c r="S25" s="163">
        <f>'насел.'!S25+пільги!S25+субсидії!S25+'держ.бюджет'!S25+'місц.-районн.бюджет'!S25+областной!S25+інші!S25</f>
        <v>435.00000000000006</v>
      </c>
      <c r="T25" s="163">
        <f>'насел.'!T25+пільги!T25+субсидії!T25+'держ.бюджет'!T25+'місц.-районн.бюджет'!T25+областной!T25+інші!T25</f>
        <v>434.2</v>
      </c>
      <c r="U25" s="164">
        <f t="shared" si="3"/>
        <v>99.81609195402297</v>
      </c>
      <c r="V25" s="163">
        <f>'насел.'!V25+пільги!V25+субсидії!V25+'держ.бюджет'!V25+'місц.-районн.бюджет'!V25+областной!V25+інші!V25</f>
        <v>480.4</v>
      </c>
      <c r="W25" s="163">
        <f>'насел.'!W25+пільги!W25+субсидії!W25+'держ.бюджет'!W25+'місц.-районн.бюджет'!W25+областной!W25+інші!W25</f>
        <v>434.6</v>
      </c>
      <c r="X25" s="164">
        <f t="shared" si="4"/>
        <v>90.46627810158202</v>
      </c>
      <c r="Y25" s="163">
        <f>'насел.'!Y25+пільги!Y25+субсидії!Y25+'держ.бюджет'!Y25+'місц.-районн.бюджет'!Y25+областной!Y25+інші!Y25</f>
        <v>1367.00737</v>
      </c>
      <c r="Z25" s="163">
        <f>'насел.'!Z25+пільги!Z25+субсидії!Z25+'держ.бюджет'!Z25+'місц.-районн.бюджет'!Z25+областной!Z25+інші!Z25</f>
        <v>1328.00261</v>
      </c>
      <c r="AA25" s="164">
        <f t="shared" si="5"/>
        <v>97.14670448338548</v>
      </c>
      <c r="AB25" s="163">
        <f>'насел.'!AB25+пільги!AB25+субсидії!AB25+'держ.бюджет'!AB25+'місц.-районн.бюджет'!AB25+областной!AB25+інші!AB25</f>
        <v>0</v>
      </c>
      <c r="AC25" s="163">
        <f>'насел.'!AC25+пільги!AC25+субсидії!AC25+'держ.бюджет'!AC25+'місц.-районн.бюджет'!AC25+областной!AC25+інші!AC25</f>
        <v>0</v>
      </c>
      <c r="AD25" s="164" t="e">
        <f t="shared" si="6"/>
        <v>#DIV/0!</v>
      </c>
      <c r="AE25" s="163">
        <f>'насел.'!AE25+пільги!AE25+субсидії!AE25+'держ.бюджет'!AE25+'місц.-районн.бюджет'!AE25+областной!AE25+інші!AE25</f>
        <v>0</v>
      </c>
      <c r="AF25" s="163">
        <f>'насел.'!AF25+пільги!AF25+субсидії!AF25+'держ.бюджет'!AF25+'місц.-районн.бюджет'!AF25+областной!AF25+інші!AF25</f>
        <v>0</v>
      </c>
      <c r="AG25" s="164" t="e">
        <f t="shared" si="7"/>
        <v>#DIV/0!</v>
      </c>
      <c r="AH25" s="163">
        <f>'насел.'!AH25+пільги!AH25+субсидії!AH25+'держ.бюджет'!AH25+'місц.-районн.бюджет'!AH25+областной!AH25+інші!AH25</f>
        <v>0</v>
      </c>
      <c r="AI25" s="163">
        <f>'насел.'!AI25+пільги!AI25+субсидії!AI25+'держ.бюджет'!AI25+'місц.-районн.бюджет'!AI25+областной!AI25+інші!AI25</f>
        <v>0</v>
      </c>
      <c r="AJ25" s="164" t="e">
        <f t="shared" si="8"/>
        <v>#DIV/0!</v>
      </c>
      <c r="AK25" s="163">
        <f>'насел.'!AK25+пільги!AJ25+субсидії!AK25+'держ.бюджет'!AK25+'місц.-районн.бюджет'!AK25+областной!AK25+інші!AK25</f>
        <v>0</v>
      </c>
      <c r="AL25" s="163">
        <f>'насел.'!AL25+пільги!AK25+субсидії!AL25+'держ.бюджет'!AL25+'місц.-районн.бюджет'!AL25+областной!AL25+інші!AL25</f>
        <v>0</v>
      </c>
      <c r="AM25" s="163" t="e">
        <f t="shared" si="9"/>
        <v>#DIV/0!</v>
      </c>
      <c r="AN25" s="163">
        <f>'насел.'!AN25+пільги!AM25+субсидії!AN25+'держ.бюджет'!AN25+'місц.-районн.бюджет'!AN25+областной!AN25+інші!AN25</f>
        <v>0</v>
      </c>
      <c r="AO25" s="163">
        <f>'насел.'!AO25+пільги!AN25+субсидії!AO25+'держ.бюджет'!AO25+'місц.-районн.бюджет'!AO25+областной!AO25+інші!AO25</f>
        <v>0</v>
      </c>
      <c r="AP25" s="163">
        <f>'насел.'!AP25+пільги!AO25+субсидії!AP25+'держ.бюджет'!AP25+'місц.-районн.бюджет'!AP25+областной!AP25+інші!AP25</f>
        <v>0</v>
      </c>
      <c r="AQ25" s="163">
        <f>'насел.'!AQ25+пільги!AP25+субсидії!AQ25+'держ.бюджет'!AQ25+'місц.-районн.бюджет'!AQ25+областной!AQ25+інші!AQ25</f>
        <v>0</v>
      </c>
      <c r="AR25" s="163">
        <f>'насел.'!AR25+пільги!AQ25+субсидії!AR25+'держ.бюджет'!AR25+'місц.-районн.бюджет'!AR25+областной!AR25+інші!AR25</f>
        <v>0</v>
      </c>
      <c r="AS25" s="163">
        <f>'насел.'!AS25+пільги!AR25+субсидії!AS25+'держ.бюджет'!AS25+'місц.-районн.бюджет'!AS25+областной!AS25+інші!AS25</f>
        <v>0</v>
      </c>
      <c r="AT25" s="163">
        <f>'насел.'!AT25+пільги!AS25+субсидії!AT25+'держ.бюджет'!AT25+'місц.-районн.бюджет'!AT25+областной!AT25+інші!AT25</f>
        <v>2722.94996</v>
      </c>
      <c r="AU25" s="163">
        <f>'насел.'!AU25+пільги!AT25+субсидії!AU25+'держ.бюджет'!AU25+'місц.-районн.бюджет'!AU25+областной!AU25+інші!AU25</f>
        <v>2449.68129</v>
      </c>
      <c r="AV25" s="164">
        <f t="shared" si="10"/>
        <v>89.96424194295514</v>
      </c>
      <c r="AW25" s="163">
        <f>'насел.'!AW25+пільги!AV25+субсидії!AW25+'держ.бюджет'!AW25+'місц.-районн.бюджет'!AW25+областной!AW25+інші!AW25</f>
        <v>273.26866999999993</v>
      </c>
      <c r="AX25" s="169">
        <f>'насел.'!AX25+пільги!AW25+субсидії!AX25+'держ.бюджет'!AX25+'місц.-районн.бюджет'!AX25+областной!AX25+інші!AX25</f>
        <v>509.06867</v>
      </c>
      <c r="AY25" s="165">
        <f t="shared" si="13"/>
        <v>2722.94996</v>
      </c>
      <c r="AZ25" s="165">
        <f t="shared" si="14"/>
        <v>2449.6812899999995</v>
      </c>
      <c r="BA25" s="165">
        <f t="shared" si="15"/>
        <v>273.2686700000004</v>
      </c>
      <c r="BB25" s="165">
        <f t="shared" si="16"/>
        <v>509.06867000000057</v>
      </c>
    </row>
    <row r="26" spans="1:54" ht="34.5" customHeight="1">
      <c r="A26" s="167" t="s">
        <v>23</v>
      </c>
      <c r="B26" s="172" t="s">
        <v>85</v>
      </c>
      <c r="C26" s="163">
        <f>'насел.'!C26+пільги!C26+субсидії!C26+'держ.бюджет'!C26+'місц.-районн.бюджет'!C26+областной!C26+інші!C26</f>
        <v>163</v>
      </c>
      <c r="D26" s="163">
        <f>'насел.'!D26+пільги!D26+субсидії!D26+'держ.бюджет'!D26+'місц.-районн.бюджет'!D26+областной!D26+інші!D26</f>
        <v>27.400000000000002</v>
      </c>
      <c r="E26" s="163">
        <f>'насел.'!E26+пільги!E26+субсидії!E26+'держ.бюджет'!E26+'місц.-районн.бюджет'!E26+областной!E26+інші!E26</f>
        <v>27.7</v>
      </c>
      <c r="F26" s="164">
        <f t="shared" si="0"/>
        <v>101.09489051094889</v>
      </c>
      <c r="G26" s="163">
        <f>'насел.'!G26+пільги!G26+субсидії!G26+'держ.бюджет'!G26+'місц.-районн.бюджет'!G26+областной!G26+інші!G26</f>
        <v>35.1</v>
      </c>
      <c r="H26" s="163">
        <f>'насел.'!H26+пільги!H26+субсидії!H26+'держ.бюджет'!H26+'місц.-районн.бюджет'!H26+областной!H26+інші!H26</f>
        <v>28.6</v>
      </c>
      <c r="I26" s="164">
        <f t="shared" si="1"/>
        <v>81.48148148148148</v>
      </c>
      <c r="J26" s="163">
        <f>'насел.'!J26+пільги!J26+субсидії!J26+'держ.бюджет'!J26+'місц.-районн.бюджет'!J26+областной!J26+інші!J26</f>
        <v>31.6</v>
      </c>
      <c r="K26" s="163">
        <f>'насел.'!K26+пільги!K26+субсидії!K26+'держ.бюджет'!K26+'місц.-районн.бюджет'!K26+областной!K26+інші!K26</f>
        <v>25.8</v>
      </c>
      <c r="L26" s="164">
        <f>K26/J26*100</f>
        <v>81.64556962025317</v>
      </c>
      <c r="M26" s="164">
        <f>'насел.'!M26+пільги!M26+субсидії!M26+'держ.бюджет'!M26+'місц.-районн.бюджет'!M26+областной!M26+інші!M26</f>
        <v>94.10000000000001</v>
      </c>
      <c r="N26" s="164">
        <f>'насел.'!N26+пільги!N26+субсидії!N26+'держ.бюджет'!N26+'місц.-районн.бюджет'!N26+областной!N26+інші!N26</f>
        <v>82.1</v>
      </c>
      <c r="O26" s="164">
        <f t="shared" si="11"/>
        <v>87.24760892667373</v>
      </c>
      <c r="P26" s="163">
        <f>'насел.'!P26+пільги!P26+субсидії!P26+'держ.бюджет'!P26+'місц.-районн.бюджет'!P26+областной!P26+інші!P26</f>
        <v>28</v>
      </c>
      <c r="Q26" s="163">
        <f>'насел.'!Q26+пільги!Q26+субсидії!Q26+'держ.бюджет'!Q26+'місц.-районн.бюджет'!Q26+областной!Q26+інші!Q26</f>
        <v>25.4</v>
      </c>
      <c r="R26" s="163">
        <f t="shared" si="12"/>
        <v>90.71428571428571</v>
      </c>
      <c r="S26" s="163">
        <f>'насел.'!S26+пільги!S26+субсидії!S26+'держ.бюджет'!S26+'місц.-районн.бюджет'!S26+областной!S26+інші!S26</f>
        <v>28.1</v>
      </c>
      <c r="T26" s="163">
        <f>'насел.'!T26+пільги!T26+субсидії!T26+'держ.бюджет'!T26+'місц.-районн.бюджет'!T26+областной!T26+інші!T26</f>
        <v>21.7</v>
      </c>
      <c r="U26" s="164">
        <f t="shared" si="3"/>
        <v>77.22419928825623</v>
      </c>
      <c r="V26" s="163">
        <f>'насел.'!V26+пільги!V26+субсидії!V26+'держ.бюджет'!V26+'місц.-районн.бюджет'!V26+областной!V26+інші!V26</f>
        <v>30.200000000000003</v>
      </c>
      <c r="W26" s="163">
        <f>'насел.'!W26+пільги!W26+субсидії!W26+'держ.бюджет'!W26+'місц.-районн.бюджет'!W26+областной!W26+інші!W26</f>
        <v>24.200000000000003</v>
      </c>
      <c r="X26" s="164">
        <f t="shared" si="4"/>
        <v>80.13245033112582</v>
      </c>
      <c r="Y26" s="163">
        <f>'насел.'!Y26+пільги!Y26+субсидії!Y26+'держ.бюджет'!Y26+'місц.-районн.бюджет'!Y26+областной!Y26+інші!Y26</f>
        <v>86.3</v>
      </c>
      <c r="Z26" s="163">
        <f>'насел.'!Z26+пільги!Z26+субсидії!Z26+'держ.бюджет'!Z26+'місц.-районн.бюджет'!Z26+областной!Z26+інші!Z26</f>
        <v>71.29999999999998</v>
      </c>
      <c r="AA26" s="164">
        <f t="shared" si="5"/>
        <v>82.61877172653533</v>
      </c>
      <c r="AB26" s="163">
        <f>'насел.'!AB26+пільги!AB26+субсидії!AB26+'держ.бюджет'!AB26+'місц.-районн.бюджет'!AB26+областной!AB26+інші!AB26</f>
        <v>0</v>
      </c>
      <c r="AC26" s="163">
        <f>'насел.'!AC26+пільги!AC26+субсидії!AC26+'держ.бюджет'!AC26+'місц.-районн.бюджет'!AC26+областной!AC26+інші!AC26</f>
        <v>0</v>
      </c>
      <c r="AD26" s="164" t="e">
        <f t="shared" si="6"/>
        <v>#DIV/0!</v>
      </c>
      <c r="AE26" s="163">
        <f>'насел.'!AE26+пільги!AE26+субсидії!AE26+'держ.бюджет'!AE26+'місц.-районн.бюджет'!AE26+областной!AE26+інші!AE26</f>
        <v>0</v>
      </c>
      <c r="AF26" s="163">
        <f>'насел.'!AF26+пільги!AF26+субсидії!AF26+'держ.бюджет'!AF26+'місц.-районн.бюджет'!AF26+областной!AF26+інші!AF26</f>
        <v>0</v>
      </c>
      <c r="AG26" s="164" t="e">
        <f t="shared" si="7"/>
        <v>#DIV/0!</v>
      </c>
      <c r="AH26" s="163">
        <f>'насел.'!AH26+пільги!AH26+субсидії!AH26+'держ.бюджет'!AH26+'місц.-районн.бюджет'!AH26+областной!AH26+інші!AH26</f>
        <v>0</v>
      </c>
      <c r="AI26" s="163">
        <f>'насел.'!AI26+пільги!AI26+субсидії!AI26+'держ.бюджет'!AI26+'місц.-районн.бюджет'!AI26+областной!AI26+інші!AI26</f>
        <v>0</v>
      </c>
      <c r="AJ26" s="164" t="e">
        <f t="shared" si="8"/>
        <v>#DIV/0!</v>
      </c>
      <c r="AK26" s="163">
        <f>'насел.'!AK26+пільги!AJ26+субсидії!AK26+'держ.бюджет'!AK26+'місц.-районн.бюджет'!AK26+областной!AK26+інші!AK26</f>
        <v>0</v>
      </c>
      <c r="AL26" s="163">
        <f>'насел.'!AL26+пільги!AK26+субсидії!AL26+'держ.бюджет'!AL26+'місц.-районн.бюджет'!AL26+областной!AL26+інші!AL26</f>
        <v>0</v>
      </c>
      <c r="AM26" s="163" t="e">
        <f t="shared" si="9"/>
        <v>#DIV/0!</v>
      </c>
      <c r="AN26" s="163">
        <f>'насел.'!AN26+пільги!AM26+субсидії!AN26+'держ.бюджет'!AN26+'місц.-районн.бюджет'!AN26+областной!AN26+інші!AN26</f>
        <v>0</v>
      </c>
      <c r="AO26" s="163">
        <f>'насел.'!AO26+пільги!AN26+субсидії!AO26+'держ.бюджет'!AO26+'місц.-районн.бюджет'!AO26+областной!AO26+інші!AO26</f>
        <v>0</v>
      </c>
      <c r="AP26" s="163">
        <f>'насел.'!AP26+пільги!AO26+субсидії!AP26+'держ.бюджет'!AP26+'місц.-районн.бюджет'!AP26+областной!AP26+інші!AP26</f>
        <v>0</v>
      </c>
      <c r="AQ26" s="163">
        <f>'насел.'!AQ26+пільги!AP26+субсидії!AQ26+'держ.бюджет'!AQ26+'місц.-районн.бюджет'!AQ26+областной!AQ26+інші!AQ26</f>
        <v>0</v>
      </c>
      <c r="AR26" s="163">
        <f>'насел.'!AR26+пільги!AQ26+субсидії!AR26+'держ.бюджет'!AR26+'місц.-районн.бюджет'!AR26+областной!AR26+інші!AR26</f>
        <v>0</v>
      </c>
      <c r="AS26" s="163">
        <f>'насел.'!AS26+пільги!AR26+субсидії!AS26+'держ.бюджет'!AS26+'місц.-районн.бюджет'!AS26+областной!AS26+інші!AS26</f>
        <v>0</v>
      </c>
      <c r="AT26" s="163">
        <f>'насел.'!AT26+пільги!AS26+субсидії!AT26+'держ.бюджет'!AT26+'місц.-районн.бюджет'!AT26+областной!AT26+інші!AT26</f>
        <v>180.4</v>
      </c>
      <c r="AU26" s="163">
        <f>'насел.'!AU26+пільги!AT26+субсидії!AU26+'держ.бюджет'!AU26+'місц.-районн.бюджет'!AU26+областной!AU26+інші!AU26</f>
        <v>153.39999999999998</v>
      </c>
      <c r="AV26" s="164">
        <f t="shared" si="10"/>
        <v>85.03325942350331</v>
      </c>
      <c r="AW26" s="163">
        <f>'насел.'!AW26+пільги!AV26+субсидії!AW26+'держ.бюджет'!AW26+'місц.-районн.бюджет'!AW26+областной!AW26+інші!AW26</f>
        <v>27.00000000000003</v>
      </c>
      <c r="AX26" s="169">
        <f>'насел.'!AX26+пільги!AW26+субсидії!AX26+'держ.бюджет'!AX26+'місц.-районн.бюджет'!AX26+областной!AX26+інші!AX26</f>
        <v>190.00000000000003</v>
      </c>
      <c r="AY26" s="165">
        <f t="shared" si="13"/>
        <v>180.4</v>
      </c>
      <c r="AZ26" s="165">
        <f t="shared" si="14"/>
        <v>153.39999999999998</v>
      </c>
      <c r="BA26" s="165">
        <f t="shared" si="15"/>
        <v>27.00000000000003</v>
      </c>
      <c r="BB26" s="165">
        <f t="shared" si="16"/>
        <v>190</v>
      </c>
    </row>
    <row r="27" spans="1:54" s="2" customFormat="1" ht="34.5" customHeight="1">
      <c r="A27" s="11" t="s">
        <v>24</v>
      </c>
      <c r="B27" s="60" t="s">
        <v>59</v>
      </c>
      <c r="C27" s="15">
        <f>'насел.'!C27+пільги!C27+субсидії!C27+'держ.бюджет'!C27+'місц.-районн.бюджет'!C27+областной!C27+інші!C27</f>
        <v>-357.8</v>
      </c>
      <c r="D27" s="15">
        <f>'насел.'!D27+пільги!D27+субсидії!D27+'держ.бюджет'!D27+'місц.-районн.бюджет'!D27+областной!D27+інші!D27</f>
        <v>527.2</v>
      </c>
      <c r="E27" s="15">
        <f>'насел.'!E27+пільги!E27+субсидії!E27+'держ.бюджет'!E27+'місц.-районн.бюджет'!E27+областной!E27+інші!E27</f>
        <v>503</v>
      </c>
      <c r="F27" s="9">
        <f t="shared" si="0"/>
        <v>95.40971168437025</v>
      </c>
      <c r="G27" s="15">
        <f>'насел.'!G27+пільги!G27+субсидії!G27+'держ.бюджет'!G27+'місц.-районн.бюджет'!G27+областной!G27+інші!G27</f>
        <v>533.5</v>
      </c>
      <c r="H27" s="15">
        <f>'насел.'!H27+пільги!H27+субсидії!H27+'держ.бюджет'!H27+'місц.-районн.бюджет'!H27+областной!H27+інші!H27</f>
        <v>530.4</v>
      </c>
      <c r="I27" s="9">
        <f t="shared" si="1"/>
        <v>99.41893158388004</v>
      </c>
      <c r="J27" s="15">
        <f>'насел.'!J27+пільги!J27+субсидії!J27+'держ.бюджет'!J27+'місц.-районн.бюджет'!J27+областной!J27+інші!J27</f>
        <v>520.9</v>
      </c>
      <c r="K27" s="15">
        <f>'насел.'!K27+пільги!K27+субсидії!K27+'держ.бюджет'!K27+'місц.-районн.бюджет'!K27+областной!K27+інші!K27</f>
        <v>403.40000000000003</v>
      </c>
      <c r="L27" s="9">
        <f>K27/J27*100</f>
        <v>77.44288731042428</v>
      </c>
      <c r="M27" s="9">
        <f>'насел.'!M27+пільги!M27+субсидії!M27+'держ.бюджет'!M27+'місц.-районн.бюджет'!M27+областной!M27+інші!M27</f>
        <v>1581.6</v>
      </c>
      <c r="N27" s="9">
        <f>'насел.'!N27+пільги!N27+субсидії!N27+'держ.бюджет'!N27+'місц.-районн.бюджет'!N27+областной!N27+інші!N27</f>
        <v>1436.8000000000002</v>
      </c>
      <c r="O27" s="9">
        <f t="shared" si="11"/>
        <v>90.84471421345475</v>
      </c>
      <c r="P27" s="15">
        <f>'насел.'!P27+пільги!P27+субсидії!P27+'держ.бюджет'!P27+'місц.-районн.бюджет'!P27+областной!P27+інші!P27</f>
        <v>505.99999999999994</v>
      </c>
      <c r="Q27" s="15">
        <f>'насел.'!Q27+пільги!Q27+субсидії!Q27+'держ.бюджет'!Q27+'місц.-районн.бюджет'!Q27+областной!Q27+інші!Q27</f>
        <v>455.4</v>
      </c>
      <c r="R27" s="15">
        <f t="shared" si="12"/>
        <v>90</v>
      </c>
      <c r="S27" s="15">
        <f>'насел.'!S27+пільги!S27+субсидії!S27+'держ.бюджет'!S27+'місц.-районн.бюджет'!S27+областной!S27+інші!S27</f>
        <v>786.9000000000001</v>
      </c>
      <c r="T27" s="15">
        <f>'насел.'!T27+пільги!T27+субсидії!T27+'держ.бюджет'!T27+'місц.-районн.бюджет'!T27+областной!T27+інші!T27</f>
        <v>495.1</v>
      </c>
      <c r="U27" s="9">
        <f t="shared" si="3"/>
        <v>62.91777862498411</v>
      </c>
      <c r="V27" s="15">
        <f>'насел.'!V27+пільги!V27+субсидії!V27+'держ.бюджет'!V27+'місц.-районн.бюджет'!V27+областной!V27+інші!V27</f>
        <v>522.4</v>
      </c>
      <c r="W27" s="15">
        <f>'насел.'!W27+пільги!W27+субсидії!W27+'держ.бюджет'!W27+'місц.-районн.бюджет'!W27+областной!W27+інші!W27</f>
        <v>443.59999999999997</v>
      </c>
      <c r="X27" s="9">
        <f t="shared" si="4"/>
        <v>84.91577335375192</v>
      </c>
      <c r="Y27" s="15">
        <f>'насел.'!Y27+пільги!Y27+субсидії!Y27+'держ.бюджет'!Y27+'місц.-районн.бюджет'!Y27+областной!Y27+інші!Y27</f>
        <v>1815.3</v>
      </c>
      <c r="Z27" s="15">
        <f>'насел.'!Z27+пільги!Z27+субсидії!Z27+'держ.бюджет'!Z27+'місц.-районн.бюджет'!Z27+областной!Z27+інші!Z27</f>
        <v>1394.1000000000001</v>
      </c>
      <c r="AA27" s="9">
        <f t="shared" si="5"/>
        <v>76.79722359940506</v>
      </c>
      <c r="AB27" s="15">
        <f>'насел.'!AB27+пільги!AB27+субсидії!AB27+'держ.бюджет'!AB27+'місц.-районн.бюджет'!AB27+областной!AB27+інші!AB27</f>
        <v>0</v>
      </c>
      <c r="AC27" s="15">
        <f>'насел.'!AC27+пільги!AC27+субсидії!AC27+'держ.бюджет'!AC27+'місц.-районн.бюджет'!AC27+областной!AC27+інші!AC27</f>
        <v>0</v>
      </c>
      <c r="AD27" s="9" t="e">
        <f t="shared" si="6"/>
        <v>#DIV/0!</v>
      </c>
      <c r="AE27" s="15">
        <f>'насел.'!AE27+пільги!AE27+субсидії!AE27+'держ.бюджет'!AE27+'місц.-районн.бюджет'!AE27+областной!AE27+інші!AE27</f>
        <v>0</v>
      </c>
      <c r="AF27" s="15">
        <f>'насел.'!AF27+пільги!AF27+субсидії!AF27+'держ.бюджет'!AF27+'місц.-районн.бюджет'!AF27+областной!AF27+інші!AF27</f>
        <v>0</v>
      </c>
      <c r="AG27" s="9" t="e">
        <f t="shared" si="7"/>
        <v>#DIV/0!</v>
      </c>
      <c r="AH27" s="15">
        <f>'насел.'!AH27+пільги!AH27+субсидії!AH27+'держ.бюджет'!AH27+'місц.-районн.бюджет'!AH27+областной!AH27+інші!AH27</f>
        <v>0</v>
      </c>
      <c r="AI27" s="15">
        <f>'насел.'!AI27+пільги!AI27+субсидії!AI27+'держ.бюджет'!AI27+'місц.-районн.бюджет'!AI27+областной!AI27+інші!AI27</f>
        <v>0</v>
      </c>
      <c r="AJ27" s="9" t="e">
        <f t="shared" si="8"/>
        <v>#DIV/0!</v>
      </c>
      <c r="AK27" s="15">
        <f>'насел.'!AK27+пільги!AJ27+субсидії!AK27+'держ.бюджет'!AK27+'місц.-районн.бюджет'!AK27+областной!AK27+інші!AK27</f>
        <v>0</v>
      </c>
      <c r="AL27" s="15">
        <f>'насел.'!AL27+пільги!AK27+субсидії!AL27+'держ.бюджет'!AL27+'місц.-районн.бюджет'!AL27+областной!AL27+інші!AL27</f>
        <v>0</v>
      </c>
      <c r="AM27" s="15" t="e">
        <f t="shared" si="9"/>
        <v>#DIV/0!</v>
      </c>
      <c r="AN27" s="15">
        <f>'насел.'!AN27+пільги!AM27+субсидії!AN27+'держ.бюджет'!AN27+'місц.-районн.бюджет'!AN27+областной!AN27+інші!AN27</f>
        <v>0</v>
      </c>
      <c r="AO27" s="15">
        <f>'насел.'!AO27+пільги!AN27+субсидії!AO27+'держ.бюджет'!AO27+'місц.-районн.бюджет'!AO27+областной!AO27+інші!AO27</f>
        <v>0</v>
      </c>
      <c r="AP27" s="15">
        <f>'насел.'!AP27+пільги!AO27+субсидії!AP27+'держ.бюджет'!AP27+'місц.-районн.бюджет'!AP27+областной!AP27+інші!AP27</f>
        <v>0</v>
      </c>
      <c r="AQ27" s="15">
        <f>'насел.'!AQ27+пільги!AP27+субсидії!AQ27+'держ.бюджет'!AQ27+'місц.-районн.бюджет'!AQ27+областной!AQ27+інші!AQ27</f>
        <v>0</v>
      </c>
      <c r="AR27" s="15">
        <f>'насел.'!AR27+пільги!AQ27+субсидії!AR27+'держ.бюджет'!AR27+'місц.-районн.бюджет'!AR27+областной!AR27+інші!AR27</f>
        <v>0</v>
      </c>
      <c r="AS27" s="15">
        <f>'насел.'!AS27+пільги!AR27+субсидії!AS27+'держ.бюджет'!AS27+'місц.-районн.бюджет'!AS27+областной!AS27+інші!AS27</f>
        <v>0</v>
      </c>
      <c r="AT27" s="15">
        <f>'насел.'!AT27+пільги!AS27+субсидії!AT27+'держ.бюджет'!AT27+'місц.-районн.бюджет'!AT27+областной!AT27+інші!AT27</f>
        <v>3396.9</v>
      </c>
      <c r="AU27" s="15">
        <f>'насел.'!AU27+пільги!AT27+субсидії!AU27+'держ.бюджет'!AU27+'місц.-районн.бюджет'!AU27+областной!AU27+інші!AU27</f>
        <v>2830.9000000000005</v>
      </c>
      <c r="AV27" s="9">
        <f t="shared" si="10"/>
        <v>83.3377491242015</v>
      </c>
      <c r="AW27" s="15">
        <f>'насел.'!AW27+пільги!AV27+субсидії!AW27+'держ.бюджет'!AW27+'місц.-районн.бюджет'!AW27+областной!AW27+інші!AW27</f>
        <v>565.9999999999998</v>
      </c>
      <c r="AX27" s="102">
        <f>'насел.'!AX27+пільги!AW27+субсидії!AX27+'держ.бюджет'!AX27+'місц.-районн.бюджет'!AX27+областной!AX27+інші!AX27</f>
        <v>208.19999999999962</v>
      </c>
      <c r="AY27" s="38">
        <f t="shared" si="13"/>
        <v>3396.8999999999996</v>
      </c>
      <c r="AZ27" s="38">
        <f t="shared" si="14"/>
        <v>2830.9000000000005</v>
      </c>
      <c r="BA27" s="38">
        <f t="shared" si="15"/>
        <v>565.9999999999991</v>
      </c>
      <c r="BB27" s="38">
        <f t="shared" si="16"/>
        <v>208.1999999999989</v>
      </c>
    </row>
    <row r="28" spans="1:54" ht="34.5" customHeight="1">
      <c r="A28" s="167" t="s">
        <v>25</v>
      </c>
      <c r="B28" s="179" t="s">
        <v>86</v>
      </c>
      <c r="C28" s="163">
        <f>'насел.'!C28+пільги!C28+субсидії!C28+'держ.бюджет'!C28+'місц.-районн.бюджет'!C28+областной!C28+інші!C28</f>
        <v>387.4</v>
      </c>
      <c r="D28" s="163">
        <f>'насел.'!D28+пільги!D28+субсидії!D28+'держ.бюджет'!D28+'місц.-районн.бюджет'!D28+областной!D28+інші!D28</f>
        <v>397.5</v>
      </c>
      <c r="E28" s="163">
        <f>'насел.'!E28+пільги!E28+субсидії!E28+'держ.бюджет'!E28+'місц.-районн.бюджет'!E28+областной!E28+інші!E28</f>
        <v>288.6</v>
      </c>
      <c r="F28" s="164">
        <f t="shared" si="0"/>
        <v>72.60377358490567</v>
      </c>
      <c r="G28" s="163">
        <f>'насел.'!G28+пільги!G28+субсидії!G28+'держ.бюджет'!G28+'місц.-районн.бюджет'!G28+областной!G28+інші!G28</f>
        <v>433.70000000000005</v>
      </c>
      <c r="H28" s="163">
        <f>'насел.'!H28+пільги!H28+субсидії!H28+'держ.бюджет'!H28+'місц.-районн.бюджет'!H28+областной!H28+інші!H28</f>
        <v>396.4</v>
      </c>
      <c r="I28" s="164">
        <f t="shared" si="1"/>
        <v>91.39958496656674</v>
      </c>
      <c r="J28" s="163">
        <f>'насел.'!J28+пільги!J28+субсидії!J28+'держ.бюджет'!J28+'місц.-районн.бюджет'!J28+областной!J28+інші!J28</f>
        <v>416.40000000000003</v>
      </c>
      <c r="K28" s="163">
        <f>'насел.'!K28+пільги!K28+субсидії!K28+'держ.бюджет'!K28+'місц.-районн.бюджет'!K28+областной!K28+інші!K28</f>
        <v>425.6</v>
      </c>
      <c r="L28" s="180">
        <f>K28/J28*100</f>
        <v>102.20941402497598</v>
      </c>
      <c r="M28" s="164">
        <f>'насел.'!M28+пільги!M28+субсидії!M28+'держ.бюджет'!M28+'місц.-районн.бюджет'!M28+областной!M28+інші!M28</f>
        <v>1247.6</v>
      </c>
      <c r="N28" s="164">
        <f>'насел.'!N28+пільги!N28+субсидії!N28+'держ.бюджет'!N28+'місц.-районн.бюджет'!N28+областной!N28+інші!N28</f>
        <v>1110.6</v>
      </c>
      <c r="O28" s="164">
        <f t="shared" si="11"/>
        <v>89.01891631933312</v>
      </c>
      <c r="P28" s="163">
        <f>'насел.'!P28+пільги!P28+субсидії!P28+'держ.бюджет'!P28+'місц.-районн.бюджет'!P28+областной!P28+інші!P28</f>
        <v>418.5</v>
      </c>
      <c r="Q28" s="163">
        <f>'насел.'!Q28+пільги!Q28+субсидії!Q28+'держ.бюджет'!Q28+'місц.-районн.бюджет'!Q28+областной!Q28+інші!Q28</f>
        <v>446.2</v>
      </c>
      <c r="R28" s="163">
        <f t="shared" si="12"/>
        <v>106.61887694145757</v>
      </c>
      <c r="S28" s="163">
        <f>'насел.'!S28+пільги!S28+субсидії!S28+'держ.бюджет'!S28+'місц.-районн.бюджет'!S28+областной!S28+інші!S28</f>
        <v>412.6</v>
      </c>
      <c r="T28" s="163">
        <f>'насел.'!T28+пільги!T28+субсидії!T28+'держ.бюджет'!T28+'місц.-районн.бюджет'!T28+областной!T28+інші!T28</f>
        <v>389.6</v>
      </c>
      <c r="U28" s="164">
        <f t="shared" si="3"/>
        <v>94.42559379544353</v>
      </c>
      <c r="V28" s="163">
        <f>'насел.'!V28+пільги!V28+субсидії!V28+'держ.бюджет'!V28+'місц.-районн.бюджет'!V28+областной!V28+інші!V28</f>
        <v>499.0999999999999</v>
      </c>
      <c r="W28" s="163">
        <f>'насел.'!W28+пільги!W28+субсидії!W28+'держ.бюджет'!W28+'місц.-районн.бюджет'!W28+областной!W28+інші!W28</f>
        <v>454.59999999999997</v>
      </c>
      <c r="X28" s="164">
        <f t="shared" si="4"/>
        <v>91.08395111200161</v>
      </c>
      <c r="Y28" s="163">
        <f>'насел.'!Y28+пільги!Y28+субсидії!Y28+'держ.бюджет'!Y28+'місц.-районн.бюджет'!Y28+областной!Y28+інші!Y28</f>
        <v>1330.2</v>
      </c>
      <c r="Z28" s="163">
        <f>'насел.'!Z28+пільги!Z28+субсидії!Z28+'держ.бюджет'!Z28+'місц.-районн.бюджет'!Z28+областной!Z28+інші!Z28</f>
        <v>1290.4</v>
      </c>
      <c r="AA28" s="164">
        <f t="shared" si="5"/>
        <v>97.0079687265073</v>
      </c>
      <c r="AB28" s="163">
        <f>'насел.'!AB28+пільги!AB28+субсидії!AB28+'держ.бюджет'!AB28+'місц.-районн.бюджет'!AB28+областной!AB28+інші!AB28</f>
        <v>0</v>
      </c>
      <c r="AC28" s="163">
        <f>'насел.'!AC28+пільги!AC28+субсидії!AC28+'держ.бюджет'!AC28+'місц.-районн.бюджет'!AC28+областной!AC28+інші!AC28</f>
        <v>0</v>
      </c>
      <c r="AD28" s="164" t="e">
        <f t="shared" si="6"/>
        <v>#DIV/0!</v>
      </c>
      <c r="AE28" s="163">
        <f>'насел.'!AE28+пільги!AE28+субсидії!AE28+'держ.бюджет'!AE28+'місц.-районн.бюджет'!AE28+областной!AE28+інші!AE28</f>
        <v>0</v>
      </c>
      <c r="AF28" s="163">
        <f>'насел.'!AF28+пільги!AF28+субсидії!AF28+'держ.бюджет'!AF28+'місц.-районн.бюджет'!AF28+областной!AF28+інші!AF28</f>
        <v>0</v>
      </c>
      <c r="AG28" s="164" t="e">
        <f t="shared" si="7"/>
        <v>#DIV/0!</v>
      </c>
      <c r="AH28" s="163">
        <f>'насел.'!AH28+пільги!AH28+субсидії!AH28+'держ.бюджет'!AH28+'місц.-районн.бюджет'!AH28+областной!AH28+інші!AH28</f>
        <v>0</v>
      </c>
      <c r="AI28" s="163">
        <f>'насел.'!AI28+пільги!AI28+субсидії!AI28+'держ.бюджет'!AI28+'місц.-районн.бюджет'!AI28+областной!AI28+інші!AI28</f>
        <v>0</v>
      </c>
      <c r="AJ28" s="164" t="e">
        <f t="shared" si="8"/>
        <v>#DIV/0!</v>
      </c>
      <c r="AK28" s="163">
        <f>'насел.'!AK28+пільги!AJ28+субсидії!AK28+'держ.бюджет'!AK28+'місц.-районн.бюджет'!AK28+областной!AK28+інші!AK28</f>
        <v>0</v>
      </c>
      <c r="AL28" s="163">
        <f>'насел.'!AL28+пільги!AK28+субсидії!AL28+'держ.бюджет'!AL28+'місц.-районн.бюджет'!AL28+областной!AL28+інші!AL28</f>
        <v>0</v>
      </c>
      <c r="AM28" s="163" t="e">
        <f t="shared" si="9"/>
        <v>#DIV/0!</v>
      </c>
      <c r="AN28" s="163">
        <f>'насел.'!AN28+пільги!AM28+субсидії!AN28+'держ.бюджет'!AN28+'місц.-районн.бюджет'!AN28+областной!AN28+інші!AN28</f>
        <v>0</v>
      </c>
      <c r="AO28" s="163">
        <f>'насел.'!AO28+пільги!AN28+субсидії!AO28+'держ.бюджет'!AO28+'місц.-районн.бюджет'!AO28+областной!AO28+інші!AO28</f>
        <v>0</v>
      </c>
      <c r="AP28" s="163">
        <f>'насел.'!AP28+пільги!AO28+субсидії!AP28+'держ.бюджет'!AP28+'місц.-районн.бюджет'!AP28+областной!AP28+інші!AP28</f>
        <v>0</v>
      </c>
      <c r="AQ28" s="163">
        <f>'насел.'!AQ28+пільги!AP28+субсидії!AQ28+'держ.бюджет'!AQ28+'місц.-районн.бюджет'!AQ28+областной!AQ28+інші!AQ28</f>
        <v>0</v>
      </c>
      <c r="AR28" s="163">
        <f>'насел.'!AR28+пільги!AQ28+субсидії!AR28+'держ.бюджет'!AR28+'місц.-районн.бюджет'!AR28+областной!AR28+інші!AR28</f>
        <v>0</v>
      </c>
      <c r="AS28" s="163">
        <f>'насел.'!AS28+пільги!AR28+субсидії!AS28+'держ.бюджет'!AS28+'місц.-районн.бюджет'!AS28+областной!AS28+інші!AS28</f>
        <v>0</v>
      </c>
      <c r="AT28" s="163">
        <f>'насел.'!AT28+пільги!AS28+субсидії!AT28+'держ.бюджет'!AT28+'місц.-районн.бюджет'!AT28+областной!AT28+інші!AT28</f>
        <v>2577.8</v>
      </c>
      <c r="AU28" s="163">
        <f>'насел.'!AU28+пільги!AT28+субсидії!AU28+'держ.бюджет'!AU28+'місц.-районн.бюджет'!AU28+областной!AU28+інші!AU28</f>
        <v>2401</v>
      </c>
      <c r="AV28" s="164">
        <f t="shared" si="10"/>
        <v>93.14143843587554</v>
      </c>
      <c r="AW28" s="163">
        <f>'насел.'!AW28+пільги!AV28+субсидії!AW28+'держ.бюджет'!AW28+'місц.-районн.бюджет'!AW28+областной!AW28+інші!AW28</f>
        <v>176.79999999999984</v>
      </c>
      <c r="AX28" s="169">
        <f>'насел.'!AX28+пільги!AW28+субсидії!AX28+'держ.бюджет'!AX28+'місц.-районн.бюджет'!AX28+областной!AX28+інші!AX28</f>
        <v>564.1999999999999</v>
      </c>
      <c r="AY28" s="165">
        <f t="shared" si="13"/>
        <v>2577.8</v>
      </c>
      <c r="AZ28" s="165">
        <f t="shared" si="14"/>
        <v>2401</v>
      </c>
      <c r="BA28" s="165">
        <f t="shared" si="15"/>
        <v>176.80000000000018</v>
      </c>
      <c r="BB28" s="165">
        <f t="shared" si="16"/>
        <v>564.2000000000003</v>
      </c>
    </row>
    <row r="29" spans="1:54" ht="34.5" customHeight="1">
      <c r="A29" s="167" t="s">
        <v>26</v>
      </c>
      <c r="B29" s="168" t="s">
        <v>2</v>
      </c>
      <c r="C29" s="181">
        <f>'насел.'!C29+пільги!C29+субсидії!C29+'держ.бюджет'!C29+'місц.-районн.бюджет'!C29+областной!C29+інші!C29</f>
        <v>0</v>
      </c>
      <c r="D29" s="181"/>
      <c r="E29" s="181"/>
      <c r="F29" s="140"/>
      <c r="G29" s="181"/>
      <c r="H29" s="181"/>
      <c r="I29" s="140"/>
      <c r="J29" s="163">
        <f>'насел.'!J29+пільги!J29+субсидії!J29+'держ.бюджет'!J29+'місц.-районн.бюджет'!J29+областной!J29+інші!J29</f>
        <v>0</v>
      </c>
      <c r="K29" s="163">
        <f>'насел.'!K29+пільги!K29+субсидії!K29+'держ.бюджет'!K29+'місц.-районн.бюджет'!K29+областной!K29+інші!K29</f>
        <v>0</v>
      </c>
      <c r="L29" s="182"/>
      <c r="M29" s="140"/>
      <c r="N29" s="140"/>
      <c r="O29" s="140"/>
      <c r="P29" s="181"/>
      <c r="Q29" s="181"/>
      <c r="R29" s="181" t="e">
        <f t="shared" si="12"/>
        <v>#DIV/0!</v>
      </c>
      <c r="S29" s="181"/>
      <c r="T29" s="181"/>
      <c r="U29" s="182"/>
      <c r="V29" s="181"/>
      <c r="W29" s="181"/>
      <c r="X29" s="182"/>
      <c r="Y29" s="181"/>
      <c r="Z29" s="181"/>
      <c r="AA29" s="140"/>
      <c r="AB29" s="181"/>
      <c r="AC29" s="181"/>
      <c r="AD29" s="182"/>
      <c r="AE29" s="181"/>
      <c r="AF29" s="181"/>
      <c r="AG29" s="140" t="e">
        <f t="shared" si="7"/>
        <v>#DIV/0!</v>
      </c>
      <c r="AH29" s="181"/>
      <c r="AI29" s="181"/>
      <c r="AJ29" s="164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>
        <f>'насел.'!AT29+пільги!AS29+субсидії!AT29+'держ.бюджет'!AT29+'місц.-районн.бюджет'!AT29+областной!AT29+інші!AT29</f>
        <v>0</v>
      </c>
      <c r="AU29" s="181">
        <f>'насел.'!AU29+пільги!AT29+субсидії!AU29+'держ.бюджет'!AU29+'місц.-районн.бюджет'!AU29+областной!AU29+інші!AU29</f>
        <v>0</v>
      </c>
      <c r="AV29" s="140" t="e">
        <f t="shared" si="10"/>
        <v>#DIV/0!</v>
      </c>
      <c r="AW29" s="181">
        <f>'насел.'!AW29+пільги!AV29+субсидії!AW29+'держ.бюджет'!AW29+'місц.-районн.бюджет'!AW29+областной!AW29+інші!AW29</f>
        <v>0</v>
      </c>
      <c r="AX29" s="140">
        <f>'насел.'!AX29+пільги!AW29+субсидії!AX29+'держ.бюджет'!AX29+'місц.-районн.бюджет'!AX29+областной!AX29+інші!AX29</f>
        <v>0</v>
      </c>
      <c r="AY29" s="165">
        <f t="shared" si="13"/>
        <v>0</v>
      </c>
      <c r="AZ29" s="165">
        <f t="shared" si="14"/>
        <v>0</v>
      </c>
      <c r="BA29" s="165"/>
      <c r="BB29" s="165"/>
    </row>
    <row r="30" spans="1:54" ht="34.5" customHeight="1">
      <c r="A30" s="167" t="s">
        <v>27</v>
      </c>
      <c r="B30" s="172" t="s">
        <v>39</v>
      </c>
      <c r="C30" s="163">
        <f>'насел.'!C30+пільги!C30+субсидії!C30+'держ.бюджет'!C30+'місц.-районн.бюджет'!C30+областной!C30+інші!C30</f>
        <v>-31.599999999999994</v>
      </c>
      <c r="D30" s="163">
        <f>'насел.'!D30+пільги!D30+субсидії!D30+'держ.бюджет'!D30+'місц.-районн.бюджет'!D30+областной!D30+інші!D30</f>
        <v>145.9</v>
      </c>
      <c r="E30" s="163">
        <f>'насел.'!E30+пільги!E30+субсидії!E30+'держ.бюджет'!E30+'місц.-районн.бюджет'!E30+областной!E30+інші!E30</f>
        <v>140.39999999999998</v>
      </c>
      <c r="F30" s="164">
        <f t="shared" si="0"/>
        <v>96.2302947224126</v>
      </c>
      <c r="G30" s="163">
        <f>'насел.'!G30+пільги!G30+субсидії!G30+'держ.бюджет'!G30+'місц.-районн.бюджет'!G30+областной!G30+інші!G30</f>
        <v>176.9</v>
      </c>
      <c r="H30" s="163">
        <f>'насел.'!H30+пільги!H30+субсидії!H30+'держ.бюджет'!H30+'місц.-районн.бюджет'!H30+областной!H30+інші!H30</f>
        <v>166</v>
      </c>
      <c r="I30" s="164">
        <f t="shared" si="1"/>
        <v>93.83832673827021</v>
      </c>
      <c r="J30" s="163">
        <f>'насел.'!J30+пільги!J30+субсидії!J30+'держ.бюджет'!J30+'місц.-районн.бюджет'!J30+областной!J30+інші!J30</f>
        <v>145.5</v>
      </c>
      <c r="K30" s="163">
        <f>'насел.'!K30+пільги!K30+субсидії!K30+'держ.бюджет'!K30+'місц.-районн.бюджет'!K30+областной!K30+інші!K30</f>
        <v>142.20000000000002</v>
      </c>
      <c r="L30" s="174">
        <f aca="true" t="shared" si="17" ref="L30:L45">K30/J30*100</f>
        <v>97.7319587628866</v>
      </c>
      <c r="M30" s="164">
        <f>'насел.'!M30+пільги!M30+субсидії!M30+'держ.бюджет'!M30+'місц.-районн.бюджет'!M30+областной!M30+інші!M30</f>
        <v>468.30000000000007</v>
      </c>
      <c r="N30" s="164">
        <f>'насел.'!N30+пільги!N30+субсидії!N30+'держ.бюджет'!N30+'місц.-районн.бюджет'!N30+областной!N30+інші!N30</f>
        <v>448.6</v>
      </c>
      <c r="O30" s="164">
        <f t="shared" si="11"/>
        <v>95.7932948964339</v>
      </c>
      <c r="P30" s="163">
        <f>'насел.'!P30+пільги!P30+субсидії!P30+'держ.бюджет'!P30+'місц.-районн.бюджет'!P30+областной!P30+інші!P30</f>
        <v>138</v>
      </c>
      <c r="Q30" s="163">
        <f>'насел.'!Q30+пільги!Q30+субсидії!Q30+'держ.бюджет'!Q30+'місц.-районн.бюджет'!Q30+областной!Q30+інші!Q30</f>
        <v>137.29999999999998</v>
      </c>
      <c r="R30" s="163">
        <f t="shared" si="12"/>
        <v>99.49275362318839</v>
      </c>
      <c r="S30" s="163">
        <f>'насел.'!S30+пільги!S30+субсидії!S30+'держ.бюджет'!S30+'місц.-районн.бюджет'!S30+областной!S30+інші!S30</f>
        <v>135.5</v>
      </c>
      <c r="T30" s="163">
        <f>'насел.'!T30+пільги!T30+субсидії!T30+'держ.бюджет'!T30+'місц.-районн.бюджет'!T30+областной!T30+інші!T30</f>
        <v>127.9</v>
      </c>
      <c r="U30" s="164">
        <f aca="true" t="shared" si="18" ref="U30:U41">T30/S30*100</f>
        <v>94.39114391143913</v>
      </c>
      <c r="V30" s="163">
        <f>'насел.'!V30+пільги!V30+субсидії!V30+'держ.бюджет'!V30+'місц.-районн.бюджет'!V30+областной!V30+інші!V30</f>
        <v>175.29999999999998</v>
      </c>
      <c r="W30" s="163">
        <f>'насел.'!W30+пільги!W30+субсидії!W30+'держ.бюджет'!W30+'місц.-районн.бюджет'!W30+областной!W30+інші!W30</f>
        <v>158.70000000000002</v>
      </c>
      <c r="X30" s="164">
        <f aca="true" t="shared" si="19" ref="X30:X41">W30/V30*100</f>
        <v>90.530519110097</v>
      </c>
      <c r="Y30" s="163">
        <f>'насел.'!Y30+пільги!Y30+субсидії!Y30+'держ.бюджет'!Y30+'місц.-районн.бюджет'!Y30+областной!Y30+інші!Y30</f>
        <v>448.8</v>
      </c>
      <c r="Z30" s="163">
        <f>'насел.'!Z30+пільги!Z30+субсидії!Z30+'держ.бюджет'!Z30+'місц.-районн.бюджет'!Z30+областной!Z30+інші!Z30</f>
        <v>423.9</v>
      </c>
      <c r="AA30" s="164">
        <f aca="true" t="shared" si="20" ref="AA30:AA45">Z30/Y30*100</f>
        <v>94.45187165775401</v>
      </c>
      <c r="AB30" s="163">
        <f>'насел.'!AB30+пільги!AB30+субсидії!AB30+'держ.бюджет'!AB30+'місц.-районн.бюджет'!AB30+областной!AB30+інші!AB30</f>
        <v>0</v>
      </c>
      <c r="AC30" s="163">
        <f>'насел.'!AC30+пільги!AC30+субсидії!AC30+'держ.бюджет'!AC30+'місц.-районн.бюджет'!AC30+областной!AC30+інші!AC30</f>
        <v>0</v>
      </c>
      <c r="AD30" s="164" t="e">
        <f aca="true" t="shared" si="21" ref="AD30:AD41">AC30/AB30*100</f>
        <v>#DIV/0!</v>
      </c>
      <c r="AE30" s="163">
        <f>'насел.'!AE30+пільги!AE30+субсидії!AE30+'держ.бюджет'!AE30+'місц.-районн.бюджет'!AE30+областной!AE30+інші!AE30</f>
        <v>0</v>
      </c>
      <c r="AF30" s="163">
        <f>'насел.'!AF30+пільги!AF30+субсидії!AF30+'держ.бюджет'!AF30+'місц.-районн.бюджет'!AF30+областной!AF30+інші!AF30</f>
        <v>0</v>
      </c>
      <c r="AG30" s="164" t="e">
        <f t="shared" si="7"/>
        <v>#DIV/0!</v>
      </c>
      <c r="AH30" s="163">
        <f>'насел.'!AH30+пільги!AH30+субсидії!AH30+'держ.бюджет'!AH30+'місц.-районн.бюджет'!AH30+областной!AH30+інші!AH30</f>
        <v>0</v>
      </c>
      <c r="AI30" s="163">
        <f>'насел.'!AI30+пільги!AI30+субсидії!AI30+'держ.бюджет'!AI30+'місц.-районн.бюджет'!AI30+областной!AI30+інші!AI30</f>
        <v>0</v>
      </c>
      <c r="AJ30" s="164" t="e">
        <f t="shared" si="8"/>
        <v>#DIV/0!</v>
      </c>
      <c r="AK30" s="163">
        <f>'насел.'!AK30+пільги!AJ30+субсидії!AK30+'держ.бюджет'!AK30+'місц.-районн.бюджет'!AK30+областной!AK30+інші!AK30</f>
        <v>0</v>
      </c>
      <c r="AL30" s="163">
        <f>'насел.'!AL30+пільги!AK30+субсидії!AL30+'держ.бюджет'!AL30+'місц.-районн.бюджет'!AL30+областной!AL30+інші!AL30</f>
        <v>0</v>
      </c>
      <c r="AM30" s="163" t="e">
        <f t="shared" si="9"/>
        <v>#DIV/0!</v>
      </c>
      <c r="AN30" s="163">
        <f>'насел.'!AN30+пільги!AM30+субсидії!AN30+'держ.бюджет'!AN30+'місц.-районн.бюджет'!AN30+областной!AN30+інші!AN30</f>
        <v>0</v>
      </c>
      <c r="AO30" s="163">
        <f>'насел.'!AO30+пільги!AN30+субсидії!AO30+'держ.бюджет'!AO30+'місц.-районн.бюджет'!AO30+областной!AO30+інші!AO30</f>
        <v>0</v>
      </c>
      <c r="AP30" s="163">
        <f>'насел.'!AP30+пільги!AO30+субсидії!AP30+'держ.бюджет'!AP30+'місц.-районн.бюджет'!AP30+областной!AP30+інші!AP30</f>
        <v>0</v>
      </c>
      <c r="AQ30" s="163">
        <f>'насел.'!AQ30+пільги!AP30+субсидії!AQ30+'держ.бюджет'!AQ30+'місц.-районн.бюджет'!AQ30+областной!AQ30+інші!AQ30</f>
        <v>0</v>
      </c>
      <c r="AR30" s="163">
        <f>'насел.'!AR30+пільги!AQ30+субсидії!AR30+'держ.бюджет'!AR30+'місц.-районн.бюджет'!AR30+областной!AR30+інші!AR30</f>
        <v>0</v>
      </c>
      <c r="AS30" s="163">
        <f>'насел.'!AS30+пільги!AR30+субсидії!AS30+'держ.бюджет'!AS30+'місц.-районн.бюджет'!AS30+областной!AS30+інші!AS30</f>
        <v>0</v>
      </c>
      <c r="AT30" s="163">
        <f>'насел.'!AT30+пільги!AS30+субсидії!AT30+'держ.бюджет'!AT30+'місц.-районн.бюджет'!AT30+областной!AT30+інші!AT30</f>
        <v>917.1</v>
      </c>
      <c r="AU30" s="163">
        <f>'насел.'!AU30+пільги!AT30+субсидії!AU30+'держ.бюджет'!AU30+'місц.-районн.бюджет'!AU30+областной!AU30+інші!AU30</f>
        <v>872.4999999999999</v>
      </c>
      <c r="AV30" s="164">
        <f t="shared" si="10"/>
        <v>95.13684440082868</v>
      </c>
      <c r="AW30" s="163">
        <f>'насел.'!AW30+пільги!AV30+субсидії!AW30+'держ.бюджет'!AW30+'місц.-районн.бюджет'!AW30+областной!AW30+інші!AW30</f>
        <v>44.60000000000003</v>
      </c>
      <c r="AX30" s="169">
        <f>'насел.'!AX30+пільги!AW30+субсидії!AX30+'держ.бюджет'!AX30+'місц.-районн.бюджет'!AX30+областной!AX30+інші!AX30</f>
        <v>13.000000000000071</v>
      </c>
      <c r="AY30" s="165">
        <f t="shared" si="13"/>
        <v>917.1000000000001</v>
      </c>
      <c r="AZ30" s="165">
        <f t="shared" si="14"/>
        <v>872.5</v>
      </c>
      <c r="BA30" s="165">
        <f t="shared" si="15"/>
        <v>44.600000000000136</v>
      </c>
      <c r="BB30" s="165">
        <f t="shared" si="16"/>
        <v>13.000000000000114</v>
      </c>
    </row>
    <row r="31" spans="1:54" ht="34.5" customHeight="1">
      <c r="A31" s="167" t="s">
        <v>28</v>
      </c>
      <c r="B31" s="172" t="s">
        <v>3</v>
      </c>
      <c r="C31" s="163">
        <f>'насел.'!C31+пільги!C31+субсидії!C31+'держ.бюджет'!C31+'місц.-районн.бюджет'!C31+областной!C31+інші!C31</f>
        <v>157.2</v>
      </c>
      <c r="D31" s="163">
        <f>'насел.'!D31+пільги!D31+субсидії!D31+'держ.бюджет'!D31+'місц.-районн.бюджет'!D31+областной!D31+інші!D31</f>
        <v>232.69999999999996</v>
      </c>
      <c r="E31" s="163">
        <f>'насел.'!E31+пільги!E31+субсидії!E31+'держ.бюджет'!E31+'місц.-районн.бюджет'!E31+областной!E31+інші!E31</f>
        <v>170.49999999999997</v>
      </c>
      <c r="F31" s="164">
        <f t="shared" si="0"/>
        <v>73.27030511388053</v>
      </c>
      <c r="G31" s="163">
        <f>'насел.'!G31+пільги!G31+субсидії!G31+'держ.бюджет'!G31+'місц.-районн.бюджет'!G31+областной!G31+інші!G31</f>
        <v>232.7</v>
      </c>
      <c r="H31" s="163">
        <f>'насел.'!H31+пільги!H31+субсидії!H31+'держ.бюджет'!H31+'місц.-районн.бюджет'!H31+областной!H31+інші!H31</f>
        <v>186.1</v>
      </c>
      <c r="I31" s="164">
        <f t="shared" si="1"/>
        <v>79.97421572840567</v>
      </c>
      <c r="J31" s="163">
        <f>'насел.'!J31+пільги!J31+субсидії!J31+'держ.бюджет'!J31+'місц.-районн.бюджет'!J31+областной!J31+інші!J31</f>
        <v>240.29999999999998</v>
      </c>
      <c r="K31" s="163">
        <f>'насел.'!K31+пільги!K31+субсидії!K31+'держ.бюджет'!K31+'місц.-районн.бюджет'!K31+областной!K31+інші!K31</f>
        <v>212.1</v>
      </c>
      <c r="L31" s="174">
        <f t="shared" si="17"/>
        <v>88.26466916354558</v>
      </c>
      <c r="M31" s="164">
        <f>'насел.'!M31+пільги!M31+субсидії!M31+'держ.бюджет'!M31+'місц.-районн.бюджет'!M31+областной!M31+інші!M31</f>
        <v>705.6999999999999</v>
      </c>
      <c r="N31" s="164">
        <f>'насел.'!N31+пільги!N31+субсидії!N31+'держ.бюджет'!N31+'місц.-районн.бюджет'!N31+областной!N31+інші!N31</f>
        <v>568.7</v>
      </c>
      <c r="O31" s="164">
        <f t="shared" si="11"/>
        <v>80.58665155165086</v>
      </c>
      <c r="P31" s="163">
        <f>'насел.'!P31+пільги!P31+субсидії!P31+'держ.бюджет'!P31+'місц.-районн.бюджет'!P31+областной!P31+інші!P31</f>
        <v>222.1</v>
      </c>
      <c r="Q31" s="163">
        <f>'насел.'!Q31+пільги!Q31+субсидії!Q31+'держ.бюджет'!Q31+'місц.-районн.бюджет'!Q31+областной!Q31+інші!Q31</f>
        <v>196.6</v>
      </c>
      <c r="R31" s="163">
        <f t="shared" si="12"/>
        <v>88.5186852769023</v>
      </c>
      <c r="S31" s="163">
        <f>'насел.'!S31+пільги!S31+субсидії!S31+'держ.бюджет'!S31+'місц.-районн.бюджет'!S31+областной!S31+інші!S31</f>
        <v>285.40000000000003</v>
      </c>
      <c r="T31" s="163">
        <f>'насел.'!T31+пільги!T31+субсидії!T31+'держ.бюджет'!T31+'місц.-районн.бюджет'!T31+областной!T31+інші!T31</f>
        <v>254.3</v>
      </c>
      <c r="U31" s="164">
        <f t="shared" si="18"/>
        <v>89.1030133146461</v>
      </c>
      <c r="V31" s="163">
        <f>'насел.'!V31+пільги!V31+субсидії!V31+'держ.бюджет'!V31+'місц.-районн.бюджет'!V31+областной!V31+інші!V31</f>
        <v>253.5</v>
      </c>
      <c r="W31" s="163">
        <f>'насел.'!W31+пільги!W31+субсидії!W31+'держ.бюджет'!W31+'місц.-районн.бюджет'!W31+областной!W31+інші!W31</f>
        <v>211.8</v>
      </c>
      <c r="X31" s="164">
        <f t="shared" si="19"/>
        <v>83.55029585798816</v>
      </c>
      <c r="Y31" s="163">
        <f>'насел.'!Y31+пільги!Y31+субсидії!Y31+'держ.бюджет'!Y31+'місц.-районн.бюджет'!Y31+областной!Y31+інші!Y31</f>
        <v>761</v>
      </c>
      <c r="Z31" s="163">
        <f>'насел.'!Z31+пільги!Z31+субсидії!Z31+'держ.бюджет'!Z31+'місц.-районн.бюджет'!Z31+областной!Z31+інші!Z31</f>
        <v>662.6999999999999</v>
      </c>
      <c r="AA31" s="164">
        <f t="shared" si="20"/>
        <v>87.08278580814716</v>
      </c>
      <c r="AB31" s="163">
        <f>'насел.'!AB31+пільги!AB31+субсидії!AB31+'держ.бюджет'!AB31+'місц.-районн.бюджет'!AB31+областной!AB31+інші!AB31</f>
        <v>0</v>
      </c>
      <c r="AC31" s="163">
        <f>'насел.'!AC31+пільги!AC31+субсидії!AC31+'держ.бюджет'!AC31+'місц.-районн.бюджет'!AC31+областной!AC31+інші!AC31</f>
        <v>0</v>
      </c>
      <c r="AD31" s="164" t="e">
        <f t="shared" si="21"/>
        <v>#DIV/0!</v>
      </c>
      <c r="AE31" s="163">
        <f>'насел.'!AE31+пільги!AE31+субсидії!AE31+'держ.бюджет'!AE31+'місц.-районн.бюджет'!AE31+областной!AE31+інші!AE31</f>
        <v>0</v>
      </c>
      <c r="AF31" s="163">
        <f>'насел.'!AF31+пільги!AF31+субсидії!AF31+'держ.бюджет'!AF31+'місц.-районн.бюджет'!AF31+областной!AF31+інші!AF31</f>
        <v>0</v>
      </c>
      <c r="AG31" s="164" t="e">
        <f t="shared" si="7"/>
        <v>#DIV/0!</v>
      </c>
      <c r="AH31" s="163">
        <f>'насел.'!AH31+пільги!AH31+субсидії!AH31+'держ.бюджет'!AH31+'місц.-районн.бюджет'!AH31+областной!AH31+інші!AH31</f>
        <v>0</v>
      </c>
      <c r="AI31" s="163">
        <f>'насел.'!AI31+пільги!AI31+субсидії!AI31+'держ.бюджет'!AI31+'місц.-районн.бюджет'!AI31+областной!AI31+інші!AI31</f>
        <v>0</v>
      </c>
      <c r="AJ31" s="164" t="e">
        <f t="shared" si="8"/>
        <v>#DIV/0!</v>
      </c>
      <c r="AK31" s="163">
        <f>'насел.'!AK31+пільги!AJ31+субсидії!AK31+'держ.бюджет'!AK31+'місц.-районн.бюджет'!AK31+областной!AK31+інші!AK31</f>
        <v>0</v>
      </c>
      <c r="AL31" s="163">
        <f>'насел.'!AL31+пільги!AK31+субсидії!AL31+'держ.бюджет'!AL31+'місц.-районн.бюджет'!AL31+областной!AL31+інші!AL31</f>
        <v>0</v>
      </c>
      <c r="AM31" s="163" t="e">
        <f t="shared" si="9"/>
        <v>#DIV/0!</v>
      </c>
      <c r="AN31" s="163">
        <f>'насел.'!AN31+пільги!AM31+субсидії!AN31+'держ.бюджет'!AN31+'місц.-районн.бюджет'!AN31+областной!AN31+інші!AN31</f>
        <v>0</v>
      </c>
      <c r="AO31" s="163">
        <f>'насел.'!AO31+пільги!AN31+субсидії!AO31+'держ.бюджет'!AO31+'місц.-районн.бюджет'!AO31+областной!AO31+інші!AO31</f>
        <v>0</v>
      </c>
      <c r="AP31" s="163">
        <f>'насел.'!AP31+пільги!AO31+субсидії!AP31+'держ.бюджет'!AP31+'місц.-районн.бюджет'!AP31+областной!AP31+інші!AP31</f>
        <v>0</v>
      </c>
      <c r="AQ31" s="163">
        <f>'насел.'!AQ31+пільги!AP31+субсидії!AQ31+'держ.бюджет'!AQ31+'місц.-районн.бюджет'!AQ31+областной!AQ31+інші!AQ31</f>
        <v>0</v>
      </c>
      <c r="AR31" s="163">
        <f>'насел.'!AR31+пільги!AQ31+субсидії!AR31+'держ.бюджет'!AR31+'місц.-районн.бюджет'!AR31+областной!AR31+інші!AR31</f>
        <v>0</v>
      </c>
      <c r="AS31" s="163">
        <f>'насел.'!AS31+пільги!AR31+субсидії!AS31+'держ.бюджет'!AS31+'місц.-районн.бюджет'!AS31+областной!AS31+інші!AS31</f>
        <v>0</v>
      </c>
      <c r="AT31" s="163">
        <f>'насел.'!AT31+пільги!AS31+субсидії!AT31+'держ.бюджет'!AT31+'місц.-районн.бюджет'!AT31+областной!AT31+інші!AT31</f>
        <v>1466.7</v>
      </c>
      <c r="AU31" s="163">
        <f>'насел.'!AU31+пільги!AT31+субсидії!AU31+'держ.бюджет'!AU31+'місц.-районн.бюджет'!AU31+областной!AU31+інші!AU31</f>
        <v>1231.4</v>
      </c>
      <c r="AV31" s="164">
        <f t="shared" si="10"/>
        <v>83.9571827913002</v>
      </c>
      <c r="AW31" s="163">
        <f>'насел.'!AW31+пільги!AV31+субсидії!AW31+'держ.бюджет'!AW31+'місц.-районн.бюджет'!AW31+областной!AW31+інші!AW31</f>
        <v>235.29999999999995</v>
      </c>
      <c r="AX31" s="169">
        <f>'насел.'!AX31+пільги!AW31+субсидії!AX31+'держ.бюджет'!AX31+'місц.-районн.бюджет'!AX31+областной!AX31+інші!AX31</f>
        <v>392.5</v>
      </c>
      <c r="AY31" s="165">
        <f t="shared" si="13"/>
        <v>1466.6999999999998</v>
      </c>
      <c r="AZ31" s="165">
        <f t="shared" si="14"/>
        <v>1231.4</v>
      </c>
      <c r="BA31" s="165">
        <f t="shared" si="15"/>
        <v>235.29999999999973</v>
      </c>
      <c r="BB31" s="165">
        <f t="shared" si="16"/>
        <v>392.4999999999998</v>
      </c>
    </row>
    <row r="32" spans="1:54" ht="34.5" customHeight="1">
      <c r="A32" s="167"/>
      <c r="B32" s="172" t="s">
        <v>87</v>
      </c>
      <c r="C32" s="163">
        <f>'насел.'!C32+пільги!C32+субсидії!C32+'держ.бюджет'!C32+'місц.-районн.бюджет'!C32+областной!C32+інші!C32</f>
        <v>12796.699999999999</v>
      </c>
      <c r="D32" s="163">
        <f>'насел.'!D32+пільги!D32+субсидії!D32+'держ.бюджет'!D32+'місц.-районн.бюджет'!D32+областной!D32+інші!D32</f>
        <v>2801.2</v>
      </c>
      <c r="E32" s="163">
        <f>'насел.'!E32+пільги!E32+субсидії!E32+'держ.бюджет'!E32+'місц.-районн.бюджет'!E32+областной!E32+інші!E32</f>
        <v>2612.7000000000003</v>
      </c>
      <c r="F32" s="164">
        <f t="shared" si="0"/>
        <v>93.27074111095246</v>
      </c>
      <c r="G32" s="163">
        <f>'насел.'!G32+пільги!G32+субсидії!G32+'держ.бюджет'!G32+'місц.-районн.бюджет'!G32+областной!G32+інші!G32</f>
        <v>2948.1200000000003</v>
      </c>
      <c r="H32" s="163">
        <f>'насел.'!H32+пільги!H32+субсидії!H32+'держ.бюджет'!H32+'місц.-районн.бюджет'!H32+областной!H32+інші!H32</f>
        <v>2594.2799999999997</v>
      </c>
      <c r="I32" s="164">
        <f t="shared" si="1"/>
        <v>87.99777485312671</v>
      </c>
      <c r="J32" s="163">
        <f>'насел.'!J32+пільги!J32+субсидії!J32+'держ.бюджет'!J32+'місц.-районн.бюджет'!J32+областной!J32+інші!J32</f>
        <v>2939.3466899999994</v>
      </c>
      <c r="K32" s="163">
        <f>'насел.'!K32+пільги!K32+субсидії!K32+'держ.бюджет'!K32+'місц.-районн.бюджет'!K32+областной!K32+інші!K32</f>
        <v>2513.98826</v>
      </c>
      <c r="L32" s="174">
        <f t="shared" si="17"/>
        <v>85.52881048543479</v>
      </c>
      <c r="M32" s="163">
        <f>'насел.'!M32+пільги!M32+субсидії!M32+'держ.бюджет'!M32+'місц.-районн.бюджет'!M32+областной!M32+інші!M32</f>
        <v>8688.66669</v>
      </c>
      <c r="N32" s="163">
        <f>'насел.'!N32+пільги!N32+субсидії!N32+'держ.бюджет'!N32+'місц.-районн.бюджет'!N32+областной!N32+інші!N32</f>
        <v>7720.96826</v>
      </c>
      <c r="O32" s="164">
        <f t="shared" si="11"/>
        <v>88.86252097673687</v>
      </c>
      <c r="P32" s="163">
        <f>'насел.'!P32+пільги!P32+субсидії!P32+'держ.бюджет'!P32+'місц.-районн.бюджет'!P32+областной!P32+інші!P32</f>
        <v>3008.3</v>
      </c>
      <c r="Q32" s="163">
        <f>'насел.'!Q32+пільги!Q32+субсидії!Q32+'держ.бюджет'!Q32+'місц.-районн.бюджет'!Q32+областной!Q32+інші!Q32</f>
        <v>2287.6</v>
      </c>
      <c r="R32" s="163">
        <f t="shared" si="12"/>
        <v>76.04294784429743</v>
      </c>
      <c r="S32" s="163">
        <f>'насел.'!S32+пільги!S32+субсидії!S32+'держ.бюджет'!S32+'місц.-районн.бюджет'!S32+областной!S32+інші!S32</f>
        <v>2819.7999999999997</v>
      </c>
      <c r="T32" s="163">
        <f>'насел.'!T32+пільги!T32+субсидії!T32+'держ.бюджет'!T32+'місц.-районн.бюджет'!T32+областной!T32+інші!T32</f>
        <v>2020.1000000000001</v>
      </c>
      <c r="U32" s="164">
        <f t="shared" si="18"/>
        <v>71.63983261224202</v>
      </c>
      <c r="V32" s="163">
        <f>'насел.'!V32+пільги!V32+субсидії!V32+'держ.бюджет'!V32+'місц.-районн.бюджет'!V32+областной!V32+інші!V32</f>
        <v>2285.6</v>
      </c>
      <c r="W32" s="163">
        <f>'насел.'!W32+пільги!W32+субсидії!W32+'держ.бюджет'!W32+'місц.-районн.бюджет'!W32+областной!W32+інші!W32</f>
        <v>3380.2</v>
      </c>
      <c r="X32" s="164">
        <f t="shared" si="19"/>
        <v>147.89114455722785</v>
      </c>
      <c r="Y32" s="163">
        <f>'насел.'!Y32+пільги!Y32+субсидії!Y32+'держ.бюджет'!Y32+'місц.-районн.бюджет'!Y32+областной!Y32+інші!Y32</f>
        <v>8113.7</v>
      </c>
      <c r="Z32" s="163">
        <f>'насел.'!Z32+пільги!Z32+субсидії!Z32+'держ.бюджет'!Z32+'місц.-районн.бюджет'!Z32+областной!Z32+інші!Z32</f>
        <v>7687.9</v>
      </c>
      <c r="AA32" s="163" t="e">
        <f>'насел.'!AA32+пільги!AA32+субсидії!AA32+'держ.бюджет'!AA32+'місц.-районн.бюджет'!AA32+областной!AA32+інші!AA32</f>
        <v>#DIV/0!</v>
      </c>
      <c r="AB32" s="163">
        <f>'насел.'!AB32+пільги!AB32+субсидії!AB32+'держ.бюджет'!AB32+'місц.-районн.бюджет'!AB32+областной!AB32+інші!AB32</f>
        <v>0</v>
      </c>
      <c r="AC32" s="163">
        <f>'насел.'!AC32+пільги!AC32+субсидії!AC32+'держ.бюджет'!AC32+'місц.-районн.бюджет'!AC32+областной!AC32+інші!AC32</f>
        <v>0</v>
      </c>
      <c r="AD32" s="164" t="e">
        <f t="shared" si="21"/>
        <v>#DIV/0!</v>
      </c>
      <c r="AE32" s="163">
        <f>'насел.'!AE32+пільги!AE32+субсидії!AE32+'держ.бюджет'!AE32+'місц.-районн.бюджет'!AE32+областной!AE32+інші!AE32</f>
        <v>0</v>
      </c>
      <c r="AF32" s="163">
        <f>'насел.'!AF32+пільги!AF32+субсидії!AF32+'держ.бюджет'!AF32+'місц.-районн.бюджет'!AF32+областной!AF32+інші!AF32</f>
        <v>0</v>
      </c>
      <c r="AG32" s="164" t="e">
        <f t="shared" si="7"/>
        <v>#DIV/0!</v>
      </c>
      <c r="AH32" s="163">
        <f>'насел.'!AH32+пільги!AH32+субсидії!AH32+'держ.бюджет'!AH32+'місц.-районн.бюджет'!AH32+областной!AH32+інші!AH32</f>
        <v>0</v>
      </c>
      <c r="AI32" s="163">
        <f>'насел.'!AI32+пільги!AI32+субсидії!AI32+'держ.бюджет'!AI32+'місц.-районн.бюджет'!AI32+областной!AI32+інші!AI32</f>
        <v>0</v>
      </c>
      <c r="AJ32" s="164" t="e">
        <f t="shared" si="8"/>
        <v>#DIV/0!</v>
      </c>
      <c r="AK32" s="163">
        <f>'насел.'!AK32+пільги!AJ32+субсидії!AK32+'держ.бюджет'!AK32+'місц.-районн.бюджет'!AK32+областной!AK32+інші!AK32</f>
        <v>0</v>
      </c>
      <c r="AL32" s="163">
        <f>'насел.'!AL32+пільги!AK32+субсидії!AL32+'держ.бюджет'!AL32+'місц.-районн.бюджет'!AL32+областной!AL32+інші!AL32</f>
        <v>0</v>
      </c>
      <c r="AM32" s="163" t="e">
        <f>'насел.'!AM32+пільги!AL32+субсидії!AM32+'держ.бюджет'!AM32+'місц.-районн.бюджет'!AM32+областной!AM32+інші!AM32</f>
        <v>#DIV/0!</v>
      </c>
      <c r="AN32" s="163">
        <f>'насел.'!AN32+пільги!AM32+субсидії!AN32+'держ.бюджет'!AN32+'місц.-районн.бюджет'!AN32+областной!AN32+інші!AN32</f>
        <v>0</v>
      </c>
      <c r="AO32" s="163">
        <f>'насел.'!AO32+пільги!AN32+субсидії!AO32+'держ.бюджет'!AO32+'місц.-районн.бюджет'!AO32+областной!AO32+інші!AO32</f>
        <v>0</v>
      </c>
      <c r="AP32" s="163">
        <f>'насел.'!AP32+пільги!AO32+субсидії!AP32+'держ.бюджет'!AP32+'місц.-районн.бюджет'!AP32+областной!AP32+інші!AP32</f>
        <v>0</v>
      </c>
      <c r="AQ32" s="163">
        <f>'насел.'!AQ32+пільги!AP32+субсидії!AQ32+'держ.бюджет'!AQ32+'місц.-районн.бюджет'!AQ32+областной!AQ32+інші!AQ32</f>
        <v>0</v>
      </c>
      <c r="AR32" s="163">
        <f>'насел.'!AR32+пільги!AQ32+субсидії!AR32+'держ.бюджет'!AR32+'місц.-районн.бюджет'!AR32+областной!AR32+інші!AR32</f>
        <v>0</v>
      </c>
      <c r="AS32" s="163">
        <f>'насел.'!AS32+пільги!AR32+субсидії!AS32+'держ.бюджет'!AS32+'місц.-районн.бюджет'!AS32+областной!AS32+інші!AS32</f>
        <v>0</v>
      </c>
      <c r="AT32" s="163">
        <f>'насел.'!AT32+пільги!AS32+субсидії!AT32+'держ.бюджет'!AT32+'місц.-районн.бюджет'!AT32+областной!AT32+інші!AT32</f>
        <v>16802.366690000003</v>
      </c>
      <c r="AU32" s="163">
        <f>'насел.'!AU32+пільги!AT32+субсидії!AU32+'держ.бюджет'!AU32+'місц.-районн.бюджет'!AU32+областной!AU32+інші!AU32</f>
        <v>15408.86826</v>
      </c>
      <c r="AV32" s="164">
        <f t="shared" si="10"/>
        <v>91.70653482506516</v>
      </c>
      <c r="AW32" s="163">
        <f>'насел.'!AW32+пільги!AV32+субсидії!AW32+'держ.бюджет'!AW32+'місц.-районн.бюджет'!AW32+областной!AW32+інші!AW32</f>
        <v>1391.3884300000013</v>
      </c>
      <c r="AX32" s="169">
        <f>'насел.'!AX32+пільги!AW32+субсидії!AX32+'держ.бюджет'!AX32+'місц.-районн.бюджет'!AX32+областной!AX32+інші!AX32</f>
        <v>14190.19843</v>
      </c>
      <c r="AY32" s="165">
        <f t="shared" si="13"/>
        <v>16802.36669</v>
      </c>
      <c r="AZ32" s="165">
        <f t="shared" si="14"/>
        <v>15408.86826</v>
      </c>
      <c r="BA32" s="165"/>
      <c r="BB32" s="165"/>
    </row>
    <row r="33" spans="1:54" ht="34.5" customHeight="1">
      <c r="A33" s="167" t="s">
        <v>29</v>
      </c>
      <c r="B33" s="172" t="s">
        <v>100</v>
      </c>
      <c r="C33" s="163">
        <f>'насел.'!C33+пільги!C33+субсидії!C33+'держ.бюджет'!C33+'місц.-районн.бюджет'!C33+областной!C33+інші!C33</f>
        <v>9619.599999999999</v>
      </c>
      <c r="D33" s="163">
        <f>'насел.'!D33+пільги!D33+субсидії!D33+'держ.бюджет'!D33+'місц.-районн.бюджет'!D33+областной!D33+інші!D33</f>
        <v>1941.9999999999998</v>
      </c>
      <c r="E33" s="163">
        <f>'насел.'!E33+пільги!E33+субсидії!E33+'держ.бюджет'!E33+'місц.-районн.бюджет'!E33+областной!E33+інші!E33</f>
        <v>2050</v>
      </c>
      <c r="F33" s="164">
        <f t="shared" si="0"/>
        <v>105.56127703398559</v>
      </c>
      <c r="G33" s="163">
        <f>'насел.'!G33+пільги!G33+субсидії!G33+'держ.бюджет'!G33+'місц.-районн.бюджет'!G33+областной!G33+інші!G33</f>
        <v>2133.32</v>
      </c>
      <c r="H33" s="163">
        <f>'насел.'!H33+пільги!H33+субсидії!H33+'держ.бюджет'!H33+'місц.-районн.бюджет'!H33+областной!H33+інші!H33</f>
        <v>1878.4799999999998</v>
      </c>
      <c r="I33" s="164">
        <f t="shared" si="1"/>
        <v>88.05430033937711</v>
      </c>
      <c r="J33" s="163">
        <f>'насел.'!J33+пільги!J33+субсидії!J33+'держ.бюджет'!J33+'місц.-районн.бюджет'!J33+областной!J33+інші!J33</f>
        <v>2142.3599999999997</v>
      </c>
      <c r="K33" s="163">
        <f>'насел.'!K33+пільги!K33+субсидії!K33+'держ.бюджет'!K33+'місц.-районн.бюджет'!K33+областной!K33+інші!K33</f>
        <v>1764.94</v>
      </c>
      <c r="L33" s="164">
        <f t="shared" si="17"/>
        <v>82.38297951791483</v>
      </c>
      <c r="M33" s="164">
        <f>'насел.'!M33+пільги!M33+субсидії!M33+'держ.бюджет'!M33+'місц.-районн.бюджет'!M33+областной!M33+інші!M33</f>
        <v>6217.6799999999985</v>
      </c>
      <c r="N33" s="164">
        <f>'насел.'!N33+пільги!N33+субсидії!N33+'держ.бюджет'!N33+'місц.-районн.бюджет'!N33+областной!N33+інші!N33</f>
        <v>5693.419999999999</v>
      </c>
      <c r="O33" s="164">
        <f t="shared" si="11"/>
        <v>91.56823767064243</v>
      </c>
      <c r="P33" s="163">
        <f>'насел.'!P33+пільги!P33+субсидії!P33+'держ.бюджет'!P33+'місц.-районн.бюджет'!P33+областной!P33+інші!P33</f>
        <v>2261.7000000000003</v>
      </c>
      <c r="Q33" s="163">
        <f>'насел.'!Q33+пільги!Q33+субсидії!Q33+'держ.бюджет'!Q33+'місц.-районн.бюджет'!Q33+областной!Q33+інші!Q33</f>
        <v>1631.0999999999997</v>
      </c>
      <c r="R33" s="181">
        <f t="shared" si="12"/>
        <v>72.11831807932084</v>
      </c>
      <c r="S33" s="163">
        <f>'насел.'!S33+пільги!S33+субсидії!S33+'держ.бюджет'!S33+'місц.-районн.бюджет'!S33+областной!S33+інші!S33</f>
        <v>2092.1</v>
      </c>
      <c r="T33" s="163">
        <f>'насел.'!T33+пільги!T33+субсидії!T33+'держ.бюджет'!T33+'місц.-районн.бюджет'!T33+областной!T33+інші!T33</f>
        <v>1456.9</v>
      </c>
      <c r="U33" s="164">
        <f t="shared" si="18"/>
        <v>69.63816261172985</v>
      </c>
      <c r="V33" s="163">
        <f>'насел.'!V33+пільги!V33+субсидії!V33+'держ.бюджет'!V33+'місц.-районн.бюджет'!V33+областной!V33+інші!V33</f>
        <v>1520.1</v>
      </c>
      <c r="W33" s="163">
        <f>'насел.'!W33+пільги!W33+субсидії!W33+'держ.бюджет'!W33+'місц.-районн.бюджет'!W33+областной!W33+інші!W33</f>
        <v>2517.4</v>
      </c>
      <c r="X33" s="164">
        <f t="shared" si="19"/>
        <v>165.6075258206697</v>
      </c>
      <c r="Y33" s="163">
        <f>'насел.'!Y33+пільги!Y33+субсидії!Y33+'держ.бюджет'!Y33+'місц.-районн.бюджет'!Y33+областной!Y33+інші!Y33</f>
        <v>5873.900000000001</v>
      </c>
      <c r="Z33" s="163">
        <f>'насел.'!Z33+пільги!Z33+субсидії!Z33+'держ.бюджет'!Z33+'місц.-районн.бюджет'!Z33+областной!Z33+інші!Z33</f>
        <v>5605.4</v>
      </c>
      <c r="AA33" s="164">
        <f t="shared" si="20"/>
        <v>95.42893137438497</v>
      </c>
      <c r="AB33" s="163">
        <f>'насел.'!AB33+пільги!AB33+субсидії!AB33+'держ.бюджет'!AB33+'місц.-районн.бюджет'!AB33+областной!AB33+інші!AB33</f>
        <v>0</v>
      </c>
      <c r="AC33" s="163">
        <f>'насел.'!AC33+пільги!AC33+субсидії!AC33+'держ.бюджет'!AC33+'місц.-районн.бюджет'!AC33+областной!AC33+інші!AC33</f>
        <v>0</v>
      </c>
      <c r="AD33" s="164" t="e">
        <f t="shared" si="21"/>
        <v>#DIV/0!</v>
      </c>
      <c r="AE33" s="163">
        <f>'насел.'!AE33+пільги!AE33+субсидії!AE33+'держ.бюджет'!AE33+'місц.-районн.бюджет'!AE33+областной!AE33+інші!AE33</f>
        <v>0</v>
      </c>
      <c r="AF33" s="163">
        <f>'насел.'!AF33+пільги!AF33+субсидії!AF33+'держ.бюджет'!AF33+'місц.-районн.бюджет'!AF33+областной!AF33+інші!AF33</f>
        <v>0</v>
      </c>
      <c r="AG33" s="164" t="e">
        <f t="shared" si="7"/>
        <v>#DIV/0!</v>
      </c>
      <c r="AH33" s="163">
        <f>'насел.'!AH33+пільги!AH33+субсидії!AH33+'держ.бюджет'!AH33+'місц.-районн.бюджет'!AH33+областной!AH33+інші!AH33</f>
        <v>0</v>
      </c>
      <c r="AI33" s="163">
        <f>'насел.'!AI33+пільги!AI33+субсидії!AI33+'держ.бюджет'!AI33+'місц.-районн.бюджет'!AI33+областной!AI33+інші!AI33</f>
        <v>0</v>
      </c>
      <c r="AJ33" s="164" t="e">
        <f t="shared" si="8"/>
        <v>#DIV/0!</v>
      </c>
      <c r="AK33" s="163">
        <f>'насел.'!AK33+пільги!AJ33+субсидії!AK33+'держ.бюджет'!AK33+'місц.-районн.бюджет'!AK33+областной!AK33+інші!AK33</f>
        <v>0</v>
      </c>
      <c r="AL33" s="163">
        <f>'насел.'!AL33+пільги!AK33+субсидії!AL33+'держ.бюджет'!AL33+'місц.-районн.бюджет'!AL33+областной!AL33+інші!AL33</f>
        <v>0</v>
      </c>
      <c r="AM33" s="163" t="e">
        <f t="shared" si="9"/>
        <v>#DIV/0!</v>
      </c>
      <c r="AN33" s="163">
        <f>'насел.'!AN33+пільги!AM33+субсидії!AN33+'держ.бюджет'!AN33+'місц.-районн.бюджет'!AN33+областной!AN33+інші!AN33</f>
        <v>0</v>
      </c>
      <c r="AO33" s="163">
        <f>'насел.'!AO33+пільги!AN33+субсидії!AO33+'держ.бюджет'!AO33+'місц.-районн.бюджет'!AO33+областной!AO33+інші!AO33</f>
        <v>0</v>
      </c>
      <c r="AP33" s="163">
        <f>'насел.'!AP33+пільги!AO33+субсидії!AP33+'держ.бюджет'!AP33+'місц.-районн.бюджет'!AP33+областной!AP33+інші!AP33</f>
        <v>0</v>
      </c>
      <c r="AQ33" s="163">
        <f>'насел.'!AQ33+пільги!AP33+субсидії!AQ33+'держ.бюджет'!AQ33+'місц.-районн.бюджет'!AQ33+областной!AQ33+інші!AQ33</f>
        <v>0</v>
      </c>
      <c r="AR33" s="163">
        <f>'насел.'!AR33+пільги!AQ33+субсидії!AR33+'держ.бюджет'!AR33+'місц.-районн.бюджет'!AR33+областной!AR33+інші!AR33</f>
        <v>0</v>
      </c>
      <c r="AS33" s="163">
        <f>'насел.'!AS33+пільги!AR33+субсидії!AS33+'держ.бюджет'!AS33+'місц.-районн.бюджет'!AS33+областной!AS33+інші!AS33</f>
        <v>0</v>
      </c>
      <c r="AT33" s="163">
        <f>'насел.'!AT33+пільги!AS33+субсидії!AT33+'держ.бюджет'!AT33+'місц.-районн.бюджет'!AT33+областной!AT33+інші!AT33</f>
        <v>12091.580000000002</v>
      </c>
      <c r="AU33" s="163">
        <f>'насел.'!AU33+пільги!AT33+субсидії!AU33+'держ.бюджет'!AU33+'місц.-районн.бюджет'!AU33+областной!AU33+інші!AU33</f>
        <v>11298.819999999998</v>
      </c>
      <c r="AV33" s="164">
        <f t="shared" si="10"/>
        <v>93.4437021464523</v>
      </c>
      <c r="AW33" s="163">
        <f>'насел.'!AW33+пільги!AV33+субсидії!AW33+'держ.бюджет'!AW33+'місц.-районн.бюджет'!AW33+областной!AW33+інші!AW33</f>
        <v>792.7600000000015</v>
      </c>
      <c r="AX33" s="163">
        <f>'насел.'!AX33+пільги!AW33+субсидії!AX33+'держ.бюджет'!AX33+'місц.-районн.бюджет'!AX33+областной!AX33+інші!AX33</f>
        <v>10412.36</v>
      </c>
      <c r="AY33" s="165">
        <f t="shared" si="13"/>
        <v>12091.579999999998</v>
      </c>
      <c r="AZ33" s="165">
        <f t="shared" si="14"/>
        <v>11298.82</v>
      </c>
      <c r="BA33" s="165">
        <f t="shared" si="15"/>
        <v>792.7599999999984</v>
      </c>
      <c r="BB33" s="165">
        <f t="shared" si="16"/>
        <v>10412.359999999997</v>
      </c>
    </row>
    <row r="34" spans="1:54" ht="34.5" customHeight="1">
      <c r="A34" s="167" t="s">
        <v>30</v>
      </c>
      <c r="B34" s="172" t="s">
        <v>88</v>
      </c>
      <c r="C34" s="163">
        <f>'насел.'!C34+пільги!C34+субсидії!C34+'держ.бюджет'!C34+'місц.-районн.бюджет'!C34+областной!C34+інші!C34</f>
        <v>3177.1</v>
      </c>
      <c r="D34" s="163">
        <f>'насел.'!D34+пільги!D34+субсидії!D34+'держ.бюджет'!D34+'місц.-районн.бюджет'!D34+областной!D34+інші!D34</f>
        <v>859.2</v>
      </c>
      <c r="E34" s="163">
        <f>'насел.'!E34+пільги!E34+субсидії!E34+'держ.бюджет'!E34+'місц.-районн.бюджет'!E34+областной!E34+інші!E34</f>
        <v>562.7</v>
      </c>
      <c r="F34" s="164">
        <f t="shared" si="0"/>
        <v>65.49115456238361</v>
      </c>
      <c r="G34" s="163">
        <f>'насел.'!G34+пільги!G34+субсидії!G34+'держ.бюджет'!G34+'місц.-районн.бюджет'!G34+областной!G34+інші!G34</f>
        <v>814.8</v>
      </c>
      <c r="H34" s="163">
        <f>'насел.'!H34+пільги!H34+субсидії!H34+'держ.бюджет'!H34+'місц.-районн.бюджет'!H34+областной!H34+інші!H34</f>
        <v>715.8000000000001</v>
      </c>
      <c r="I34" s="164">
        <f t="shared" si="1"/>
        <v>87.8497790868925</v>
      </c>
      <c r="J34" s="163">
        <f>'насел.'!J34+пільги!J34+субсидії!J34+'держ.бюджет'!J34+'місц.-районн.бюджет'!J34+областной!J34+інші!J34</f>
        <v>796.9866900000001</v>
      </c>
      <c r="K34" s="163">
        <f>'насел.'!K34+пільги!K34+субсидії!K34+'держ.бюджет'!K34+'місц.-районн.бюджет'!K34+областной!K34+інші!K34</f>
        <v>749.04826</v>
      </c>
      <c r="L34" s="164">
        <f t="shared" si="17"/>
        <v>93.98504007639073</v>
      </c>
      <c r="M34" s="164">
        <f>'насел.'!M34+пільги!M34+субсидії!M34+'держ.бюджет'!M34+'місц.-районн.бюджет'!M34+областной!M34+інші!M34</f>
        <v>2470.98669</v>
      </c>
      <c r="N34" s="164">
        <f>'насел.'!N34+пільги!N34+субсидії!N34+'держ.бюджет'!N34+'місц.-районн.бюджет'!N34+областной!N34+інші!N34</f>
        <v>2027.54826</v>
      </c>
      <c r="O34" s="164">
        <f t="shared" si="11"/>
        <v>82.05419592931923</v>
      </c>
      <c r="P34" s="163">
        <f>'насел.'!P34+пільги!P34+субсидії!P34+'держ.бюджет'!P34+'місц.-районн.бюджет'!P34+областной!P34+інші!P34</f>
        <v>746.6</v>
      </c>
      <c r="Q34" s="163">
        <f>'насел.'!Q34+пільги!Q34+субсидії!Q34+'держ.бюджет'!Q34+'місц.-районн.бюджет'!Q34+областной!Q34+інші!Q34</f>
        <v>656.5</v>
      </c>
      <c r="R34" s="163">
        <f t="shared" si="12"/>
        <v>87.93195821055451</v>
      </c>
      <c r="S34" s="163">
        <f>'насел.'!S34+пільги!S34+субсидії!S34+'держ.бюджет'!S34+'місц.-районн.бюджет'!S34+областной!S34+інші!S34</f>
        <v>727.7</v>
      </c>
      <c r="T34" s="163">
        <f>'насел.'!T34+пільги!T34+субсидії!T34+'держ.бюджет'!T34+'місц.-районн.бюджет'!T34+областной!T34+інші!T34</f>
        <v>563.2</v>
      </c>
      <c r="U34" s="164">
        <f t="shared" si="18"/>
        <v>77.394530713206</v>
      </c>
      <c r="V34" s="163">
        <f>'насел.'!V34+пільги!V34+субсидії!V34+'держ.бюджет'!V34+'місц.-районн.бюджет'!V34+областной!V34+інші!V34</f>
        <v>765.5</v>
      </c>
      <c r="W34" s="163">
        <f>'насел.'!W34+пільги!W34+субсидії!W34+'держ.бюджет'!W34+'місц.-районн.бюджет'!W34+областной!W34+інші!W34</f>
        <v>862.8</v>
      </c>
      <c r="X34" s="163" t="e">
        <f>'насел.'!X34+пільги!X34+субсидії!X34+'держ.бюджет'!X34+'місц.-районн.бюджет'!X34+областной!X34+інші!X34</f>
        <v>#DIV/0!</v>
      </c>
      <c r="Y34" s="163">
        <f>'насел.'!Y34+пільги!Y34+субсидії!Y34+'держ.бюджет'!Y34+'місц.-районн.бюджет'!Y34+областной!Y34+інші!Y34</f>
        <v>2239.8</v>
      </c>
      <c r="Z34" s="163">
        <f>'насел.'!Z34+пільги!Z34+субсидії!Z34+'держ.бюджет'!Z34+'місц.-районн.бюджет'!Z34+областной!Z34+інші!Z34</f>
        <v>2082.5</v>
      </c>
      <c r="AA34" s="163" t="e">
        <f>'насел.'!AA34+пільги!AA34+субсидії!AA34+'держ.бюджет'!AA34+'місц.-районн.бюджет'!AA34+областной!AA34+інші!AA34</f>
        <v>#DIV/0!</v>
      </c>
      <c r="AB34" s="163">
        <f>'насел.'!AB34+пільги!AB34+субсидії!AB34+'держ.бюджет'!AB34+'місц.-районн.бюджет'!AB34+областной!AB34+інші!AB34</f>
        <v>0</v>
      </c>
      <c r="AC34" s="163">
        <f>'насел.'!AC34+пільги!AC34+субсидії!AC34+'держ.бюджет'!AC34+'місц.-районн.бюджет'!AC34+областной!AC34+інші!AC34</f>
        <v>0</v>
      </c>
      <c r="AD34" s="164" t="e">
        <f t="shared" si="21"/>
        <v>#DIV/0!</v>
      </c>
      <c r="AE34" s="163">
        <f>'насел.'!AE34+пільги!AE34+субсидії!AE34+'держ.бюджет'!AE34+'місц.-районн.бюджет'!AE34+областной!AE34+інші!AE34</f>
        <v>0</v>
      </c>
      <c r="AF34" s="163">
        <f>'насел.'!AF34+пільги!AF34+субсидії!AF34+'держ.бюджет'!AF34+'місц.-районн.бюджет'!AF34+областной!AF34+інші!AF34</f>
        <v>0</v>
      </c>
      <c r="AG34" s="164" t="e">
        <f t="shared" si="7"/>
        <v>#DIV/0!</v>
      </c>
      <c r="AH34" s="163">
        <f>'насел.'!AH34+пільги!AH34+субсидії!AH34+'держ.бюджет'!AH34+'місц.-районн.бюджет'!AH34+областной!AH34+інші!AH34</f>
        <v>0</v>
      </c>
      <c r="AI34" s="163">
        <f>'насел.'!AI34+пільги!AI34+субсидії!AI34+'держ.бюджет'!AI34+'місц.-районн.бюджет'!AI34+областной!AI34+інші!AI34</f>
        <v>0</v>
      </c>
      <c r="AJ34" s="164" t="e">
        <f t="shared" si="8"/>
        <v>#DIV/0!</v>
      </c>
      <c r="AK34" s="163">
        <f>'насел.'!AK34+пільги!AJ34+субсидії!AK34+'держ.бюджет'!AK34+'місц.-районн.бюджет'!AK34+областной!AK34+інші!AK34</f>
        <v>0</v>
      </c>
      <c r="AL34" s="163">
        <f>'насел.'!AL34+пільги!AK34+субсидії!AL34+'держ.бюджет'!AL34+'місц.-районн.бюджет'!AL34+областной!AL34+інші!AL34</f>
        <v>0</v>
      </c>
      <c r="AM34" s="163" t="e">
        <f>'насел.'!AM34+пільги!AL34+субсидії!AM34+'держ.бюджет'!AM34+'місц.-районн.бюджет'!AM34+областной!AM34+інші!AM34</f>
        <v>#DIV/0!</v>
      </c>
      <c r="AN34" s="163">
        <f>'насел.'!AN34+пільги!AM34+субсидії!AN34+'держ.бюджет'!AN34+'місц.-районн.бюджет'!AN34+областной!AN34+інші!AN34</f>
        <v>0</v>
      </c>
      <c r="AO34" s="163">
        <f>'насел.'!AO34+пільги!AN34+субсидії!AO34+'держ.бюджет'!AO34+'місц.-районн.бюджет'!AO34+областной!AO34+інші!AO34</f>
        <v>0</v>
      </c>
      <c r="AP34" s="163">
        <f>'насел.'!AP34+пільги!AO34+субсидії!AP34+'держ.бюджет'!AP34+'місц.-районн.бюджет'!AP34+областной!AP34+інші!AP34</f>
        <v>0</v>
      </c>
      <c r="AQ34" s="163">
        <f>'насел.'!AQ34+пільги!AP34+субсидії!AQ34+'держ.бюджет'!AQ34+'місц.-районн.бюджет'!AQ34+областной!AQ34+інші!AQ34</f>
        <v>0</v>
      </c>
      <c r="AR34" s="163">
        <f>'насел.'!AR34+пільги!AQ34+субсидії!AR34+'держ.бюджет'!AR34+'місц.-районн.бюджет'!AR34+областной!AR34+інші!AR34</f>
        <v>0</v>
      </c>
      <c r="AS34" s="163">
        <f>'насел.'!AS34+пільги!AR34+субсидії!AS34+'держ.бюджет'!AS34+'місц.-районн.бюджет'!AS34+областной!AS34+інші!AS34</f>
        <v>0</v>
      </c>
      <c r="AT34" s="163">
        <f>'насел.'!AT34+пільги!AS34+субсидії!AT34+'держ.бюджет'!AT34+'місц.-районн.бюджет'!AT34+областной!AT34+інші!AT34</f>
        <v>4710.786689999999</v>
      </c>
      <c r="AU34" s="163">
        <f>'насел.'!AU34+пільги!AT34+субсидії!AU34+'держ.бюджет'!AU34+'місц.-районн.бюджет'!AU34+областной!AU34+інші!AU34</f>
        <v>4110.04826</v>
      </c>
      <c r="AV34" s="164">
        <f t="shared" si="10"/>
        <v>87.24759855343822</v>
      </c>
      <c r="AW34" s="163">
        <f>'насел.'!AW34+пільги!AV34+субсидії!AW34+'держ.бюджет'!AW34+'місц.-районн.бюджет'!AW34+областной!AW34+інші!AW34</f>
        <v>600.7384299999998</v>
      </c>
      <c r="AX34" s="163">
        <f>'насел.'!AX34+пільги!AW34+субсидії!AX34+'держ.бюджет'!AX34+'місц.-районн.бюджет'!AX34+областной!AX34+інші!AX34</f>
        <v>3777.83843</v>
      </c>
      <c r="AY34" s="165">
        <f t="shared" si="13"/>
        <v>4710.786690000001</v>
      </c>
      <c r="AZ34" s="165">
        <f t="shared" si="14"/>
        <v>4110.04826</v>
      </c>
      <c r="BA34" s="165">
        <f t="shared" si="15"/>
        <v>600.7384300000012</v>
      </c>
      <c r="BB34" s="165">
        <f t="shared" si="16"/>
        <v>3777.8384300000016</v>
      </c>
    </row>
    <row r="35" spans="1:54" ht="34.5" customHeight="1">
      <c r="A35" s="167" t="s">
        <v>30</v>
      </c>
      <c r="B35" s="172" t="s">
        <v>60</v>
      </c>
      <c r="C35" s="163">
        <f>'насел.'!C35+пільги!C35+субсидії!C35+'держ.бюджет'!C35+'місц.-районн.бюджет'!C35+областной!C35+інші!C35</f>
        <v>4182.4</v>
      </c>
      <c r="D35" s="163">
        <f>'насел.'!D35+пільги!D35+субсидії!D35+'держ.бюджет'!D35+'місц.-районн.бюджет'!D35+областной!D35+інші!D35</f>
        <v>1112.3999999999999</v>
      </c>
      <c r="E35" s="163">
        <f>'насел.'!E35+пільги!E35+субсидії!E35+'держ.бюджет'!E35+'місц.-районн.бюджет'!E35+областной!E35+інші!E35</f>
        <v>933.0999999999999</v>
      </c>
      <c r="F35" s="164">
        <f t="shared" si="0"/>
        <v>83.88169723121179</v>
      </c>
      <c r="G35" s="163">
        <f>'насел.'!G35+пільги!G35+субсидії!G35+'держ.бюджет'!G35+'місц.-районн.бюджет'!G35+областной!G35+інші!G35</f>
        <v>1120.3</v>
      </c>
      <c r="H35" s="163">
        <f>'насел.'!H35+пільги!H35+субсидії!H35+'держ.бюджет'!H35+'місц.-районн.бюджет'!H35+областной!H35+інші!H35</f>
        <v>901.1</v>
      </c>
      <c r="I35" s="164">
        <f t="shared" si="1"/>
        <v>80.43381237168616</v>
      </c>
      <c r="J35" s="163">
        <f>'насел.'!J35+пільги!J35+субсидії!J35+'держ.бюджет'!J35+'місц.-районн.бюджет'!J35+областной!J35+інші!J35</f>
        <v>1049.3000000000002</v>
      </c>
      <c r="K35" s="163">
        <f>'насел.'!K35+пільги!K35+субсидії!K35+'держ.бюджет'!K35+'місц.-районн.бюджет'!K35+областной!K35+інші!K35</f>
        <v>1160.3000000000002</v>
      </c>
      <c r="L35" s="164">
        <f t="shared" si="17"/>
        <v>110.57848089202325</v>
      </c>
      <c r="M35" s="164">
        <f>'насел.'!M35+пільги!M35+субсидії!M35+'держ.бюджет'!M35+'місц.-районн.бюджет'!M35+областной!M35+інші!M35</f>
        <v>3281.9999999999995</v>
      </c>
      <c r="N35" s="164">
        <f>'насел.'!N35+пільги!N35+субсидії!N35+'держ.бюджет'!N35+'місц.-районн.бюджет'!N35+областной!N35+інші!N35</f>
        <v>2994.5</v>
      </c>
      <c r="O35" s="164">
        <f t="shared" si="11"/>
        <v>91.24009750152348</v>
      </c>
      <c r="P35" s="163">
        <f>'насел.'!P35+пільги!P35+субсидії!P35+'держ.бюджет'!P35+'місц.-районн.бюджет'!P35+областной!P35+інші!P35</f>
        <v>1009.0000000000002</v>
      </c>
      <c r="Q35" s="163">
        <f>'насел.'!Q35+пільги!Q35+субсидії!Q35+'держ.бюджет'!Q35+'місц.-районн.бюджет'!Q35+областной!Q35+інші!Q35</f>
        <v>847.4</v>
      </c>
      <c r="R35" s="163">
        <f t="shared" si="12"/>
        <v>83.98414271555994</v>
      </c>
      <c r="S35" s="163">
        <f>'насел.'!S35+пільги!S35+субсидії!S35+'держ.бюджет'!S35+'місц.-районн.бюджет'!S35+областной!S35+інші!S35</f>
        <v>1056.2</v>
      </c>
      <c r="T35" s="163">
        <f>'насел.'!T35+пільги!T35+субсидії!T35+'держ.бюджет'!T35+'місц.-районн.бюджет'!T35+областной!T35+інші!T35</f>
        <v>903.1999999999999</v>
      </c>
      <c r="U35" s="164">
        <f t="shared" si="18"/>
        <v>85.51410717667108</v>
      </c>
      <c r="V35" s="163">
        <f>'насел.'!V35+пільги!V35+субсидії!V35+'держ.бюджет'!V35+'місц.-районн.бюджет'!V35+областной!V35+інші!V35</f>
        <v>1081.1000000000001</v>
      </c>
      <c r="W35" s="163">
        <f>'насел.'!W35+пільги!W35+субсидії!W35+'держ.бюджет'!W35+'місц.-районн.бюджет'!W35+областной!W35+інші!W35</f>
        <v>1096.2</v>
      </c>
      <c r="X35" s="164">
        <f t="shared" si="19"/>
        <v>101.39672555730274</v>
      </c>
      <c r="Y35" s="163">
        <f>'насел.'!Y35+пільги!Y35+субсидії!Y35+'держ.бюджет'!Y35+'місц.-районн.бюджет'!Y35+областной!Y35+інші!Y35</f>
        <v>3146.3000000000006</v>
      </c>
      <c r="Z35" s="163">
        <f>'насел.'!Z35+пільги!Z35+субсидії!Z35+'держ.бюджет'!Z35+'місц.-районн.бюджет'!Z35+областной!Z35+інші!Z35</f>
        <v>2846.8</v>
      </c>
      <c r="AA35" s="164">
        <f t="shared" si="20"/>
        <v>90.48088230620093</v>
      </c>
      <c r="AB35" s="163">
        <f>'насел.'!AB35+пільги!AB35+субсидії!AB35+'держ.бюджет'!AB35+'місц.-районн.бюджет'!AB35+областной!AB35+інші!AB35</f>
        <v>0</v>
      </c>
      <c r="AC35" s="163">
        <f>'насел.'!AC35+пільги!AC35+субсидії!AC35+'держ.бюджет'!AC35+'місц.-районн.бюджет'!AC35+областной!AC35+інші!AC35</f>
        <v>0</v>
      </c>
      <c r="AD35" s="164" t="e">
        <f t="shared" si="21"/>
        <v>#DIV/0!</v>
      </c>
      <c r="AE35" s="163">
        <f>'насел.'!AE35+пільги!AE35+субсидії!AE35+'держ.бюджет'!AE35+'місц.-районн.бюджет'!AE35+областной!AE35+інші!AE35</f>
        <v>0</v>
      </c>
      <c r="AF35" s="163">
        <f>'насел.'!AF35+пільги!AF35+субсидії!AF35+'держ.бюджет'!AF35+'місц.-районн.бюджет'!AF35+областной!AF35+інші!AF35</f>
        <v>0</v>
      </c>
      <c r="AG35" s="164" t="e">
        <f t="shared" si="7"/>
        <v>#DIV/0!</v>
      </c>
      <c r="AH35" s="163">
        <f>'насел.'!AH35+пільги!AH35+субсидії!AH35+'держ.бюджет'!AH35+'місц.-районн.бюджет'!AH35+областной!AH35+інші!AH35</f>
        <v>0</v>
      </c>
      <c r="AI35" s="163">
        <f>'насел.'!AI35+пільги!AI35+субсидії!AI35+'держ.бюджет'!AI35+'місц.-районн.бюджет'!AI35+областной!AI35+інші!AI35</f>
        <v>0</v>
      </c>
      <c r="AJ35" s="164" t="e">
        <f t="shared" si="8"/>
        <v>#DIV/0!</v>
      </c>
      <c r="AK35" s="163">
        <f>'насел.'!AK35+пільги!AJ35+субсидії!AK35+'держ.бюджет'!AK35+'місц.-районн.бюджет'!AK35+областной!AK35+інші!AK35</f>
        <v>0</v>
      </c>
      <c r="AL35" s="163">
        <f>'насел.'!AL35+пільги!AK35+субсидії!AL35+'держ.бюджет'!AL35+'місц.-районн.бюджет'!AL35+областной!AL35+інші!AL35</f>
        <v>0</v>
      </c>
      <c r="AM35" s="163" t="e">
        <f t="shared" si="9"/>
        <v>#DIV/0!</v>
      </c>
      <c r="AN35" s="163">
        <f>'насел.'!AN35+пільги!AM35+субсидії!AN35+'держ.бюджет'!AN35+'місц.-районн.бюджет'!AN35+областной!AN35+інші!AN35</f>
        <v>0</v>
      </c>
      <c r="AO35" s="163">
        <f>'насел.'!AO35+пільги!AN35+субсидії!AO35+'держ.бюджет'!AO35+'місц.-районн.бюджет'!AO35+областной!AO35+інші!AO35</f>
        <v>0</v>
      </c>
      <c r="AP35" s="163">
        <f>'насел.'!AP35+пільги!AO35+субсидії!AP35+'держ.бюджет'!AP35+'місц.-районн.бюджет'!AP35+областной!AP35+інші!AP35</f>
        <v>0</v>
      </c>
      <c r="AQ35" s="163">
        <f>'насел.'!AQ35+пільги!AP35+субсидії!AQ35+'держ.бюджет'!AQ35+'місц.-районн.бюджет'!AQ35+областной!AQ35+інші!AQ35</f>
        <v>0</v>
      </c>
      <c r="AR35" s="163">
        <f>'насел.'!AR35+пільги!AQ35+субсидії!AR35+'держ.бюджет'!AR35+'місц.-районн.бюджет'!AR35+областной!AR35+інші!AR35</f>
        <v>0</v>
      </c>
      <c r="AS35" s="163">
        <f>'насел.'!AS35+пільги!AR35+субсидії!AS35+'держ.бюджет'!AS35+'місц.-районн.бюджет'!AS35+областной!AS35+інші!AS35</f>
        <v>0</v>
      </c>
      <c r="AT35" s="163">
        <f>'насел.'!AT35+пільги!AS35+субсидії!AT35+'держ.бюджет'!AT35+'місц.-районн.бюджет'!AT35+областной!AT35+інші!AT35</f>
        <v>6428.3</v>
      </c>
      <c r="AU35" s="163">
        <f>'насел.'!AU35+пільги!AT35+субсидії!AU35+'держ.бюджет'!AU35+'місц.-районн.бюджет'!AU35+областной!AU35+інші!AU35</f>
        <v>5841.300000000001</v>
      </c>
      <c r="AV35" s="164">
        <f t="shared" si="10"/>
        <v>90.86850333680758</v>
      </c>
      <c r="AW35" s="163">
        <f>'насел.'!AW35+пільги!AV35+субсидії!AW35+'держ.бюджет'!AW35+'місц.-районн.бюджет'!AW35+областной!AW35+інші!AW35</f>
        <v>586.9999999999998</v>
      </c>
      <c r="AX35" s="163">
        <f>'насел.'!AX35+пільги!AW35+субсидії!AX35+'держ.бюджет'!AX35+'місц.-районн.бюджет'!AX35+областной!AX35+інші!AX35</f>
        <v>4769.4</v>
      </c>
      <c r="AY35" s="165">
        <f t="shared" si="13"/>
        <v>6428.3</v>
      </c>
      <c r="AZ35" s="165">
        <f t="shared" si="14"/>
        <v>5841.3</v>
      </c>
      <c r="BA35" s="165">
        <f t="shared" si="15"/>
        <v>587</v>
      </c>
      <c r="BB35" s="165">
        <f t="shared" si="16"/>
        <v>4769.400000000001</v>
      </c>
    </row>
    <row r="36" spans="1:54" ht="34.5" customHeight="1">
      <c r="A36" s="167" t="s">
        <v>31</v>
      </c>
      <c r="B36" s="183" t="s">
        <v>61</v>
      </c>
      <c r="C36" s="163">
        <f>'насел.'!C36+пільги!C36+субсидії!C36+'держ.бюджет'!C36+'місц.-районн.бюджет'!C36+областной!C36+інші!C36</f>
        <v>531.6</v>
      </c>
      <c r="D36" s="163">
        <f>'насел.'!D36+пільги!D36+субсидії!D36+'держ.бюджет'!D36+'місц.-районн.бюджет'!D36+областной!D36+інші!D36</f>
        <v>397.00000000000006</v>
      </c>
      <c r="E36" s="163">
        <f>'насел.'!E36+пільги!E36+субсидії!E36+'держ.бюджет'!E36+'місц.-районн.бюджет'!E36+областной!E36+інші!E36</f>
        <v>361.90000000000003</v>
      </c>
      <c r="F36" s="164">
        <f t="shared" si="0"/>
        <v>91.15869017632241</v>
      </c>
      <c r="G36" s="163">
        <f>'насел.'!G36+пільги!G36+субсидії!G36+'держ.бюджет'!G36+'місц.-районн.бюджет'!G36+областной!G36+інші!G36</f>
        <v>398.70000000000005</v>
      </c>
      <c r="H36" s="163">
        <f>'насел.'!H36+пільги!H36+субсидії!H36+'держ.бюджет'!H36+'місц.-районн.бюджет'!H36+областной!H36+інші!H36</f>
        <v>381.79999999999995</v>
      </c>
      <c r="I36" s="164">
        <f t="shared" si="1"/>
        <v>95.76122397792824</v>
      </c>
      <c r="J36" s="163">
        <f>'насел.'!J36+пільги!J36+субсидії!J36+'держ.бюджет'!J36+'місц.-районн.бюджет'!J36+областной!J36+інші!J36</f>
        <v>455.2</v>
      </c>
      <c r="K36" s="163">
        <f>'насел.'!K36+пільги!K36+субсидії!K36+'держ.бюджет'!K36+'місц.-районн.бюджет'!K36+областной!K36+інші!K36</f>
        <v>367.50000000000006</v>
      </c>
      <c r="L36" s="164">
        <f t="shared" si="17"/>
        <v>80.73374340949034</v>
      </c>
      <c r="M36" s="164">
        <f>'насел.'!M36+пільги!M36+субсидії!M36+'держ.бюджет'!M36+'місц.-районн.бюджет'!M36+областной!M36+інші!M36</f>
        <v>1250.9</v>
      </c>
      <c r="N36" s="164">
        <f>'насел.'!N36+пільги!N36+субсидії!N36+'держ.бюджет'!N36+'місц.-районн.бюджет'!N36+областной!N36+інші!N36</f>
        <v>1111.1999999999998</v>
      </c>
      <c r="O36" s="164">
        <f t="shared" si="11"/>
        <v>88.83204093053</v>
      </c>
      <c r="P36" s="163">
        <f>'насел.'!P36+пільги!P36+субсидії!P36+'держ.бюджет'!P36+'місц.-районн.бюджет'!P36+областной!P36+інші!P36</f>
        <v>451.6</v>
      </c>
      <c r="Q36" s="163">
        <f>'насел.'!Q36+пільги!Q36+субсидії!Q36+'держ.бюджет'!Q36+'місц.-районн.бюджет'!Q36+областной!Q36+інші!Q36</f>
        <v>401.7</v>
      </c>
      <c r="R36" s="163">
        <f t="shared" si="12"/>
        <v>88.95039858281665</v>
      </c>
      <c r="S36" s="163">
        <f>'насел.'!S36+пільги!S36+субсидії!S36+'держ.бюджет'!S36+'місц.-районн.бюджет'!S36+областной!S36+інші!S36</f>
        <v>406.59999999999997</v>
      </c>
      <c r="T36" s="163">
        <f>'насел.'!T36+пільги!T36+субсидії!T36+'держ.бюджет'!T36+'місц.-районн.бюджет'!T36+областной!T36+інші!T36</f>
        <v>432.3999999999999</v>
      </c>
      <c r="U36" s="164">
        <f t="shared" si="18"/>
        <v>106.34530250860796</v>
      </c>
      <c r="V36" s="163">
        <f>'насел.'!V36+пільги!V36+субсидії!V36+'держ.бюджет'!V36+'місц.-районн.бюджет'!V36+областной!V36+інші!V36</f>
        <v>379.79999999999995</v>
      </c>
      <c r="W36" s="163">
        <f>'насел.'!W36+пільги!W36+субсидії!W36+'держ.бюджет'!W36+'місц.-районн.бюджет'!W36+областной!W36+інші!W36</f>
        <v>404.09999999999997</v>
      </c>
      <c r="X36" s="164">
        <f t="shared" si="19"/>
        <v>106.39810426540284</v>
      </c>
      <c r="Y36" s="163">
        <f>'насел.'!Y36+пільги!Y36+субсидії!Y36+'держ.бюджет'!Y36+'місц.-районн.бюджет'!Y36+областной!Y36+інші!Y36</f>
        <v>1238</v>
      </c>
      <c r="Z36" s="163">
        <f>'насел.'!Z36+пільги!Z36+субсидії!Z36+'держ.бюджет'!Z36+'місц.-районн.бюджет'!Z36+областной!Z36+інші!Z36</f>
        <v>1238.1999999999998</v>
      </c>
      <c r="AA36" s="164">
        <f t="shared" si="20"/>
        <v>100.01615508885297</v>
      </c>
      <c r="AB36" s="163">
        <f>'насел.'!AB36+пільги!AB36+субсидії!AB36+'держ.бюджет'!AB36+'місц.-районн.бюджет'!AB36+областной!AB36+інші!AB36</f>
        <v>0</v>
      </c>
      <c r="AC36" s="163">
        <f>'насел.'!AC36+пільги!AC36+субсидії!AC36+'держ.бюджет'!AC36+'місц.-районн.бюджет'!AC36+областной!AC36+інші!AC36</f>
        <v>0</v>
      </c>
      <c r="AD36" s="164" t="e">
        <f t="shared" si="21"/>
        <v>#DIV/0!</v>
      </c>
      <c r="AE36" s="163">
        <f>'насел.'!AE36+пільги!AE36+субсидії!AE36+'держ.бюджет'!AE36+'місц.-районн.бюджет'!AE36+областной!AE36+інші!AE36</f>
        <v>0</v>
      </c>
      <c r="AF36" s="163">
        <f>'насел.'!AF36+пільги!AF36+субсидії!AF36+'держ.бюджет'!AF36+'місц.-районн.бюджет'!AF36+областной!AF36+інші!AF36</f>
        <v>0</v>
      </c>
      <c r="AG36" s="164" t="e">
        <f t="shared" si="7"/>
        <v>#DIV/0!</v>
      </c>
      <c r="AH36" s="163">
        <f>'насел.'!AH36+пільги!AH36+субсидії!AH36+'держ.бюджет'!AH36+'місц.-районн.бюджет'!AH36+областной!AH36+інші!AH36</f>
        <v>0</v>
      </c>
      <c r="AI36" s="163">
        <f>'насел.'!AI36+пільги!AI36+субсидії!AI36+'держ.бюджет'!AI36+'місц.-районн.бюджет'!AI36+областной!AI36+інші!AI36</f>
        <v>0</v>
      </c>
      <c r="AJ36" s="164" t="e">
        <f t="shared" si="8"/>
        <v>#DIV/0!</v>
      </c>
      <c r="AK36" s="163">
        <f>'насел.'!AK36+пільги!AJ36+субсидії!AK36+'держ.бюджет'!AK36+'місц.-районн.бюджет'!AK36+областной!AK36+інші!AK36</f>
        <v>0</v>
      </c>
      <c r="AL36" s="163">
        <f>'насел.'!AL36+пільги!AK36+субсидії!AL36+'держ.бюджет'!AL36+'місц.-районн.бюджет'!AL36+областной!AL36+інші!AL36</f>
        <v>0</v>
      </c>
      <c r="AM36" s="163" t="e">
        <f t="shared" si="9"/>
        <v>#DIV/0!</v>
      </c>
      <c r="AN36" s="163">
        <f>'насел.'!AN36+пільги!AM36+субсидії!AN36+'держ.бюджет'!AN36+'місц.-районн.бюджет'!AN36+областной!AN36+інші!AN36</f>
        <v>0</v>
      </c>
      <c r="AO36" s="163">
        <f>'насел.'!AO36+пільги!AN36+субсидії!AO36+'держ.бюджет'!AO36+'місц.-районн.бюджет'!AO36+областной!AO36+інші!AO36</f>
        <v>0</v>
      </c>
      <c r="AP36" s="163">
        <f>'насел.'!AP36+пільги!AO36+субсидії!AP36+'держ.бюджет'!AP36+'місц.-районн.бюджет'!AP36+областной!AP36+інші!AP36</f>
        <v>0</v>
      </c>
      <c r="AQ36" s="163">
        <f>'насел.'!AQ36+пільги!AP36+субсидії!AQ36+'держ.бюджет'!AQ36+'місц.-районн.бюджет'!AQ36+областной!AQ36+інші!AQ36</f>
        <v>0</v>
      </c>
      <c r="AR36" s="163">
        <f>'насел.'!AR36+пільги!AQ36+субсидії!AR36+'держ.бюджет'!AR36+'місц.-районн.бюджет'!AR36+областной!AR36+інші!AR36</f>
        <v>0</v>
      </c>
      <c r="AS36" s="163">
        <f>'насел.'!AS36+пільги!AR36+субсидії!AS36+'держ.бюджет'!AS36+'місц.-районн.бюджет'!AS36+областной!AS36+інші!AS36</f>
        <v>0</v>
      </c>
      <c r="AT36" s="163">
        <f>'насел.'!AT36+пільги!AS36+субсидії!AT36+'держ.бюджет'!AT36+'місц.-районн.бюджет'!AT36+областной!AT36+інші!AT36</f>
        <v>2488.9</v>
      </c>
      <c r="AU36" s="163">
        <f>'насел.'!AU36+пільги!AT36+субсидії!AU36+'держ.бюджет'!AU36+'місц.-районн.бюджет'!AU36+областной!AU36+інші!AU36</f>
        <v>2349.399999999999</v>
      </c>
      <c r="AV36" s="164">
        <f t="shared" si="10"/>
        <v>94.39511430752538</v>
      </c>
      <c r="AW36" s="163">
        <f>'насел.'!AW36+пільги!AV36+субсидії!AW36+'держ.бюджет'!AW36+'місц.-районн.бюджет'!AW36+областной!AW36+інші!AW36</f>
        <v>139.5000000000001</v>
      </c>
      <c r="AX36" s="163">
        <f>'насел.'!AX36+пільги!AW36+субсидії!AX36+'держ.бюджет'!AX36+'місц.-районн.бюджет'!AX36+областной!AX36+інші!AX36</f>
        <v>671.0999999999999</v>
      </c>
      <c r="AY36" s="165">
        <f t="shared" si="13"/>
        <v>2488.9</v>
      </c>
      <c r="AZ36" s="165">
        <f t="shared" si="14"/>
        <v>2349.3999999999996</v>
      </c>
      <c r="BA36" s="165">
        <f t="shared" si="15"/>
        <v>139.50000000000045</v>
      </c>
      <c r="BB36" s="165">
        <f t="shared" si="16"/>
        <v>671.1000000000004</v>
      </c>
    </row>
    <row r="37" spans="1:54" ht="34.5" customHeight="1">
      <c r="A37" s="167" t="s">
        <v>32</v>
      </c>
      <c r="B37" s="184" t="s">
        <v>62</v>
      </c>
      <c r="C37" s="163">
        <f>'насел.'!C37+пільги!C37+субсидії!C37+'держ.бюджет'!C37+'місц.-районн.бюджет'!C37+областной!C37+інші!C37</f>
        <v>4176.099999999999</v>
      </c>
      <c r="D37" s="163">
        <f>'насел.'!D37+пільги!D37+субсидії!D37+'держ.бюджет'!D37+'місц.-районн.бюджет'!D37+областной!D37+інші!D37</f>
        <v>2792.7999999999997</v>
      </c>
      <c r="E37" s="163">
        <f>'насел.'!E37+пільги!E37+субсидії!E37+'держ.бюджет'!E37+'місц.-районн.бюджет'!E37+областной!E37+інші!E37</f>
        <v>2672.5</v>
      </c>
      <c r="F37" s="164">
        <f t="shared" si="0"/>
        <v>95.69249498710973</v>
      </c>
      <c r="G37" s="163">
        <f>'насел.'!G37+пільги!G37+субсидії!G37+'держ.бюджет'!G37+'місц.-районн.бюджет'!G37+областной!G37+інші!G37</f>
        <v>2676.9</v>
      </c>
      <c r="H37" s="163">
        <f>'насел.'!H37+пільги!H37+субсидії!H37+'держ.бюджет'!H37+'місц.-районн.бюджет'!H37+областной!H37+інші!H37</f>
        <v>2554</v>
      </c>
      <c r="I37" s="164">
        <f t="shared" si="1"/>
        <v>95.40886846725691</v>
      </c>
      <c r="J37" s="163">
        <f>'насел.'!J37+пільги!J37+субсидії!J37+'держ.бюджет'!J37+'місц.-районн.бюджет'!J37+областной!J37+інші!J37</f>
        <v>2717.2</v>
      </c>
      <c r="K37" s="163">
        <f>'насел.'!K37+пільги!K37+субсидії!K37+'держ.бюджет'!K37+'місц.-районн.бюджет'!K37+областной!K37+інші!K37</f>
        <v>2463.8</v>
      </c>
      <c r="L37" s="164">
        <f t="shared" si="17"/>
        <v>90.67422346533198</v>
      </c>
      <c r="M37" s="164">
        <f>'насел.'!M37+пільги!M37+субсидії!M37+'держ.бюджет'!M37+'місц.-районн.бюджет'!M37+областной!M37+інші!M37</f>
        <v>8186.900000000001</v>
      </c>
      <c r="N37" s="164">
        <f>'насел.'!N37+пільги!N37+субсидії!N37+'держ.бюджет'!N37+'місц.-районн.бюджет'!N37+областной!N37+інші!N37</f>
        <v>7690.299999999999</v>
      </c>
      <c r="O37" s="164">
        <f t="shared" si="11"/>
        <v>93.93421197278577</v>
      </c>
      <c r="P37" s="163">
        <f>'насел.'!P37+пільги!P37+субсидії!P37+'держ.бюджет'!P37+'місц.-районн.бюджет'!P37+областной!P37+інші!P37</f>
        <v>2563.6000000000004</v>
      </c>
      <c r="Q37" s="163">
        <f>'насел.'!Q37+пільги!Q37+субсидії!Q37+'держ.бюджет'!Q37+'місц.-районн.бюджет'!Q37+областной!Q37+інші!Q37</f>
        <v>2508.6</v>
      </c>
      <c r="R37" s="163">
        <f t="shared" si="12"/>
        <v>97.85457949758151</v>
      </c>
      <c r="S37" s="163">
        <f>'насел.'!S37+пільги!S37+субсидії!S37+'держ.бюджет'!S37+'місц.-районн.бюджет'!S37+областной!S37+інші!S37</f>
        <v>2658.3999999999996</v>
      </c>
      <c r="T37" s="163">
        <f>'насел.'!T37+пільги!T37+субсидії!T37+'держ.бюджет'!T37+'місц.-районн.бюджет'!T37+областной!T37+інші!T37</f>
        <v>2542.2999999999997</v>
      </c>
      <c r="U37" s="164">
        <f t="shared" si="18"/>
        <v>95.6327114053566</v>
      </c>
      <c r="V37" s="163">
        <f>'насел.'!V37+пільги!V37+субсидії!V37+'держ.бюджет'!V37+'місц.-районн.бюджет'!V37+областной!V37+інші!V37</f>
        <v>2913.8</v>
      </c>
      <c r="W37" s="163">
        <f>'насел.'!W37+пільги!W37+субсидії!W37+'держ.бюджет'!W37+'місц.-районн.бюджет'!W37+областной!W37+інші!W37</f>
        <v>2640</v>
      </c>
      <c r="X37" s="164">
        <f t="shared" si="19"/>
        <v>90.60333585009266</v>
      </c>
      <c r="Y37" s="163">
        <f>'насел.'!Y37+пільги!Y37+субсидії!Y37+'держ.бюджет'!Y37+'місц.-районн.бюджет'!Y37+областной!Y37+інші!Y37</f>
        <v>8135.799999999999</v>
      </c>
      <c r="Z37" s="163">
        <f>'насел.'!Z37+пільги!Z37+субсидії!Z37+'держ.бюджет'!Z37+'місц.-районн.бюджет'!Z37+областной!Z37+інші!Z37</f>
        <v>7690.900000000001</v>
      </c>
      <c r="AA37" s="164">
        <f t="shared" si="20"/>
        <v>94.53157648909757</v>
      </c>
      <c r="AB37" s="163">
        <f>'насел.'!AB37+пільги!AB37+субсидії!AB37+'держ.бюджет'!AB37+'місц.-районн.бюджет'!AB37+областной!AB37+інші!AB37</f>
        <v>0</v>
      </c>
      <c r="AC37" s="163">
        <f>'насел.'!AC37+пільги!AC37+субсидії!AC37+'держ.бюджет'!AC37+'місц.-районн.бюджет'!AC37+областной!AC37+інші!AC37</f>
        <v>0</v>
      </c>
      <c r="AD37" s="164" t="e">
        <f t="shared" si="21"/>
        <v>#DIV/0!</v>
      </c>
      <c r="AE37" s="163">
        <f>'насел.'!AE37+пільги!AE37+субсидії!AE37+'держ.бюджет'!AE37+'місц.-районн.бюджет'!AE37+областной!AE37+інші!AE37</f>
        <v>0</v>
      </c>
      <c r="AF37" s="163">
        <f>'насел.'!AF37+пільги!AF37+субсидії!AF37+'держ.бюджет'!AF37+'місц.-районн.бюджет'!AF37+областной!AF37+інші!AF37</f>
        <v>0</v>
      </c>
      <c r="AG37" s="164" t="e">
        <f t="shared" si="7"/>
        <v>#DIV/0!</v>
      </c>
      <c r="AH37" s="163">
        <f>'насел.'!AH37+пільги!AH37+субсидії!AH37+'держ.бюджет'!AH37+'місц.-районн.бюджет'!AH37+областной!AH37+інші!AH37</f>
        <v>0</v>
      </c>
      <c r="AI37" s="163">
        <f>'насел.'!AI37+пільги!AI37+субсидії!AI37+'держ.бюджет'!AI37+'місц.-районн.бюджет'!AI37+областной!AI37+інші!AI37</f>
        <v>0</v>
      </c>
      <c r="AJ37" s="164" t="e">
        <f t="shared" si="8"/>
        <v>#DIV/0!</v>
      </c>
      <c r="AK37" s="163">
        <f>'насел.'!AK37+пільги!AJ37+субсидії!AK37+'держ.бюджет'!AK37+'місц.-районн.бюджет'!AK37+областной!AK37+інші!AK37</f>
        <v>0</v>
      </c>
      <c r="AL37" s="163">
        <f>'насел.'!AL37+пільги!AK37+субсидії!AL37+'держ.бюджет'!AL37+'місц.-районн.бюджет'!AL37+областной!AL37+інші!AL37</f>
        <v>0</v>
      </c>
      <c r="AM37" s="163" t="e">
        <f t="shared" si="9"/>
        <v>#DIV/0!</v>
      </c>
      <c r="AN37" s="163">
        <f>'насел.'!AN37+пільги!AM37+субсидії!AN37+'держ.бюджет'!AN37+'місц.-районн.бюджет'!AN37+областной!AN37+інші!AN37</f>
        <v>0</v>
      </c>
      <c r="AO37" s="163">
        <f>'насел.'!AO37+пільги!AN37+субсидії!AO37+'держ.бюджет'!AO37+'місц.-районн.бюджет'!AO37+областной!AO37+інші!AO37</f>
        <v>0</v>
      </c>
      <c r="AP37" s="163">
        <f>'насел.'!AP37+пільги!AO37+субсидії!AP37+'держ.бюджет'!AP37+'місц.-районн.бюджет'!AP37+областной!AP37+інші!AP37</f>
        <v>0</v>
      </c>
      <c r="AQ37" s="163">
        <f>'насел.'!AQ37+пільги!AP37+субсидії!AQ37+'держ.бюджет'!AQ37+'місц.-районн.бюджет'!AQ37+областной!AQ37+інші!AQ37</f>
        <v>0</v>
      </c>
      <c r="AR37" s="163">
        <f>'насел.'!AR37+пільги!AQ37+субсидії!AR37+'держ.бюджет'!AR37+'місц.-районн.бюджет'!AR37+областной!AR37+інші!AR37</f>
        <v>0</v>
      </c>
      <c r="AS37" s="163">
        <f>'насел.'!AS37+пільги!AR37+субсидії!AS37+'держ.бюджет'!AS37+'місц.-районн.бюджет'!AS37+областной!AS37+інші!AS37</f>
        <v>0</v>
      </c>
      <c r="AT37" s="163">
        <f>'насел.'!AT37+пільги!AS37+субсидії!AT37+'держ.бюджет'!AT37+'місц.-районн.бюджет'!AT37+областной!AT37+інші!AT37</f>
        <v>16322.7</v>
      </c>
      <c r="AU37" s="163">
        <f>'насел.'!AU37+пільги!AT37+субсидії!AU37+'держ.бюджет'!AU37+'місц.-районн.бюджет'!AU37+областной!AU37+інші!AU37</f>
        <v>15381.2</v>
      </c>
      <c r="AV37" s="164">
        <f t="shared" si="10"/>
        <v>94.23195917342106</v>
      </c>
      <c r="AW37" s="163">
        <f>'насел.'!AW37+пільги!AV37+субсидії!AW37+'держ.бюджет'!AW37+'місц.-районн.бюджет'!AW37+областной!AW37+інші!AW37</f>
        <v>941.5000000000003</v>
      </c>
      <c r="AX37" s="163">
        <f>'насел.'!AX37+пільги!AW37+субсидії!AX37+'держ.бюджет'!AX37+'місц.-районн.бюджет'!AX37+областной!AX37+інші!AX37</f>
        <v>5117.6</v>
      </c>
      <c r="AY37" s="165">
        <f t="shared" si="13"/>
        <v>16322.7</v>
      </c>
      <c r="AZ37" s="165">
        <f t="shared" si="14"/>
        <v>15381.2</v>
      </c>
      <c r="BA37" s="165">
        <f t="shared" si="15"/>
        <v>941.5</v>
      </c>
      <c r="BB37" s="165">
        <f t="shared" si="16"/>
        <v>5117.5999999999985</v>
      </c>
    </row>
    <row r="38" spans="1:54" ht="34.5" customHeight="1">
      <c r="A38" s="167" t="s">
        <v>33</v>
      </c>
      <c r="B38" s="184" t="s">
        <v>89</v>
      </c>
      <c r="C38" s="163">
        <f>'насел.'!C38+пільги!C38+субсидії!C38+'держ.бюджет'!C38+'місц.-районн.бюджет'!C38+областной!C38+інші!C38</f>
        <v>4395.6</v>
      </c>
      <c r="D38" s="163">
        <f>'насел.'!D38+пільги!D38+субсидії!D38+'держ.бюджет'!D38+'місц.-районн.бюджет'!D38+областной!D38+інші!D38</f>
        <v>3670.5</v>
      </c>
      <c r="E38" s="163">
        <f>'насел.'!E38+пільги!E38+субсидії!E38+'держ.бюджет'!E38+'місц.-районн.бюджет'!E38+областной!E38+інші!E38</f>
        <v>3314.2</v>
      </c>
      <c r="F38" s="164">
        <f t="shared" si="0"/>
        <v>90.29287563002315</v>
      </c>
      <c r="G38" s="163">
        <f>'насел.'!G38+пільги!G38+субсидії!G38+'держ.бюджет'!G38+'місц.-районн.бюджет'!G38+областной!G38+інші!G38</f>
        <v>3444.3</v>
      </c>
      <c r="H38" s="163">
        <f>'насел.'!H38+пільги!H38+субсидії!H38+'держ.бюджет'!H38+'місц.-районн.бюджет'!H38+областной!H38+інші!H38</f>
        <v>3800.5</v>
      </c>
      <c r="I38" s="164">
        <f t="shared" si="1"/>
        <v>110.34172400778097</v>
      </c>
      <c r="J38" s="163">
        <f>'насел.'!J38+пільги!J38+субсидії!J38+'держ.бюджет'!J38+'місц.-районн.бюджет'!J38+областной!J38+інші!J38</f>
        <v>3597.25</v>
      </c>
      <c r="K38" s="163">
        <f>'насел.'!K38+пільги!K38+субсидії!K38+'держ.бюджет'!K38+'місц.-районн.бюджет'!K38+областной!K38+інші!K38</f>
        <v>3267.3999999999996</v>
      </c>
      <c r="L38" s="164">
        <f t="shared" si="17"/>
        <v>90.83049551740913</v>
      </c>
      <c r="M38" s="164">
        <f>'насел.'!M38+пільги!M38+субсидії!M38+'держ.бюджет'!M38+'місц.-районн.бюджет'!M38+областной!M38+інші!M38</f>
        <v>10712.05</v>
      </c>
      <c r="N38" s="164">
        <f>'насел.'!N38+пільги!N38+субсидії!N38+'держ.бюджет'!N38+'місц.-районн.бюджет'!N38+областной!N38+інші!N38</f>
        <v>10382.100000000002</v>
      </c>
      <c r="O38" s="164">
        <f t="shared" si="11"/>
        <v>96.9198239365948</v>
      </c>
      <c r="P38" s="163">
        <f>'насел.'!P38+пільги!P38+субсидії!P38+'держ.бюджет'!P38+'місц.-районн.бюджет'!P38+областной!P38+інші!P38</f>
        <v>3604.4</v>
      </c>
      <c r="Q38" s="163">
        <f>'насел.'!Q38+пільги!Q38+субсидії!Q38+'держ.бюджет'!Q38+'місц.-районн.бюджет'!Q38+областной!Q38+інші!Q38</f>
        <v>3206.7999999999997</v>
      </c>
      <c r="R38" s="163">
        <f t="shared" si="12"/>
        <v>88.96903784263677</v>
      </c>
      <c r="S38" s="163">
        <f>'насел.'!S38+пільги!S38+субсидії!S38+'держ.бюджет'!S38+'місц.-районн.бюджет'!S38+областной!S38+інші!S38</f>
        <v>3557.7999999999997</v>
      </c>
      <c r="T38" s="163">
        <f>'насел.'!T38+пільги!T38+субсидії!T38+'держ.бюджет'!T38+'місц.-районн.бюджет'!T38+областной!T38+інші!T38</f>
        <v>3417.7</v>
      </c>
      <c r="U38" s="164">
        <f t="shared" si="18"/>
        <v>96.06217325313396</v>
      </c>
      <c r="V38" s="163">
        <f>'насел.'!V38+пільги!V38+субсидії!V38+'держ.бюджет'!V38+'місц.-районн.бюджет'!V38+областной!V38+інші!V38</f>
        <v>3599.1</v>
      </c>
      <c r="W38" s="163">
        <f>'насел.'!W38+пільги!W38+субсидії!W38+'держ.бюджет'!W38+'місц.-районн.бюджет'!W38+областной!W38+інші!W38</f>
        <v>3240.4000000000005</v>
      </c>
      <c r="X38" s="164">
        <f t="shared" si="19"/>
        <v>90.03361951599013</v>
      </c>
      <c r="Y38" s="163">
        <f>'насел.'!Y38+пільги!Y38+субсидії!Y38+'держ.бюджет'!Y38+'місц.-районн.бюджет'!Y38+областной!Y38+інші!Y38</f>
        <v>10761.3</v>
      </c>
      <c r="Z38" s="163">
        <f>'насел.'!Z38+пільги!Z38+субсидії!Z38+'держ.бюджет'!Z38+'місц.-районн.бюджет'!Z38+областной!Z38+інші!Z38</f>
        <v>9864.9</v>
      </c>
      <c r="AA38" s="164">
        <f t="shared" si="20"/>
        <v>91.67015137576315</v>
      </c>
      <c r="AB38" s="163">
        <f>'насел.'!AB38+пільги!AB38+субсидії!AB38+'держ.бюджет'!AB38+'місц.-районн.бюджет'!AB38+областной!AB38+інші!AB38</f>
        <v>0</v>
      </c>
      <c r="AC38" s="163">
        <f>'насел.'!AC38+пільги!AC38+субсидії!AC38+'держ.бюджет'!AC38+'місц.-районн.бюджет'!AC38+областной!AC38+інші!AC38</f>
        <v>0</v>
      </c>
      <c r="AD38" s="164" t="e">
        <f t="shared" si="21"/>
        <v>#DIV/0!</v>
      </c>
      <c r="AE38" s="163">
        <f>'насел.'!AE38+пільги!AE38+субсидії!AE38+'держ.бюджет'!AE38+'місц.-районн.бюджет'!AE38+областной!AE38+інші!AE38</f>
        <v>0</v>
      </c>
      <c r="AF38" s="163">
        <f>'насел.'!AF38+пільги!AF38+субсидії!AF38+'держ.бюджет'!AF38+'місц.-районн.бюджет'!AF38+областной!AF38+інші!AF38</f>
        <v>0</v>
      </c>
      <c r="AG38" s="164" t="e">
        <f t="shared" si="7"/>
        <v>#DIV/0!</v>
      </c>
      <c r="AH38" s="163">
        <f>'насел.'!AH38+пільги!AH38+субсидії!AH38+'держ.бюджет'!AH38+'місц.-районн.бюджет'!AH38+областной!AH38+інші!AH38</f>
        <v>0</v>
      </c>
      <c r="AI38" s="163">
        <f>'насел.'!AI38+пільги!AI38+субсидії!AI38+'держ.бюджет'!AI38+'місц.-районн.бюджет'!AI38+областной!AI38+інші!AI38</f>
        <v>0</v>
      </c>
      <c r="AJ38" s="164" t="e">
        <f t="shared" si="8"/>
        <v>#DIV/0!</v>
      </c>
      <c r="AK38" s="163">
        <f>'насел.'!AK38+пільги!AJ38+субсидії!AK38+'держ.бюджет'!AK38+'місц.-районн.бюджет'!AK38+областной!AK38+інші!AK38</f>
        <v>0</v>
      </c>
      <c r="AL38" s="163">
        <f>'насел.'!AL38+пільги!AK38+субсидії!AL38+'держ.бюджет'!AL38+'місц.-районн.бюджет'!AL38+областной!AL38+інші!AL38</f>
        <v>0</v>
      </c>
      <c r="AM38" s="163" t="e">
        <f t="shared" si="9"/>
        <v>#DIV/0!</v>
      </c>
      <c r="AN38" s="163">
        <f>'насел.'!AN38+пільги!AM38+субсидії!AN38+'держ.бюджет'!AN38+'місц.-районн.бюджет'!AN38+областной!AN38+інші!AN38</f>
        <v>0</v>
      </c>
      <c r="AO38" s="163">
        <f>'насел.'!AO38+пільги!AN38+субсидії!AO38+'держ.бюджет'!AO38+'місц.-районн.бюджет'!AO38+областной!AO38+інші!AO38</f>
        <v>0</v>
      </c>
      <c r="AP38" s="163">
        <f>'насел.'!AP38+пільги!AO38+субсидії!AP38+'держ.бюджет'!AP38+'місц.-районн.бюджет'!AP38+областной!AP38+інші!AP38</f>
        <v>0</v>
      </c>
      <c r="AQ38" s="163">
        <f>'насел.'!AQ38+пільги!AP38+субсидії!AQ38+'держ.бюджет'!AQ38+'місц.-районн.бюджет'!AQ38+областной!AQ38+інші!AQ38</f>
        <v>0</v>
      </c>
      <c r="AR38" s="163">
        <f>'насел.'!AR38+пільги!AQ38+субсидії!AR38+'держ.бюджет'!AR38+'місц.-районн.бюджет'!AR38+областной!AR38+інші!AR38</f>
        <v>0</v>
      </c>
      <c r="AS38" s="163">
        <f>'насел.'!AS38+пільги!AR38+субсидії!AS38+'держ.бюджет'!AS38+'місц.-районн.бюджет'!AS38+областной!AS38+інші!AS38</f>
        <v>0</v>
      </c>
      <c r="AT38" s="163">
        <f>'насел.'!AT38+пільги!AS38+субсидії!AT38+'держ.бюджет'!AT38+'місц.-районн.бюджет'!AT38+областной!AT38+інші!AT38</f>
        <v>21473.35</v>
      </c>
      <c r="AU38" s="163">
        <f>'насел.'!AU38+пільги!AT38+субсидії!AU38+'держ.бюджет'!AU38+'місц.-районн.бюджет'!AU38+областной!AU38+інші!AU38</f>
        <v>20247.000000000004</v>
      </c>
      <c r="AV38" s="164">
        <f t="shared" si="10"/>
        <v>94.28896748760675</v>
      </c>
      <c r="AW38" s="163">
        <f>'насел.'!AW38+пільги!AV38+субсидії!AW38+'держ.бюджет'!AW38+'місц.-районн.бюджет'!AW38+областной!AW38+інші!AW38</f>
        <v>1226.349999999998</v>
      </c>
      <c r="AX38" s="163">
        <f>'насел.'!AX38+пільги!AW38+субсидії!AX38+'держ.бюджет'!AX38+'місц.-районн.бюджет'!AX38+областной!AX38+інші!AX38</f>
        <v>5621.949999999998</v>
      </c>
      <c r="AY38" s="165">
        <f t="shared" si="13"/>
        <v>21473.35</v>
      </c>
      <c r="AZ38" s="165">
        <f t="shared" si="14"/>
        <v>20247</v>
      </c>
      <c r="BA38" s="165">
        <f t="shared" si="15"/>
        <v>1226.3499999999985</v>
      </c>
      <c r="BB38" s="165">
        <f t="shared" si="16"/>
        <v>5621.949999999997</v>
      </c>
    </row>
    <row r="39" spans="1:54" ht="34.5" customHeight="1">
      <c r="A39" s="167" t="s">
        <v>34</v>
      </c>
      <c r="B39" s="184" t="s">
        <v>4</v>
      </c>
      <c r="C39" s="163">
        <f>'насел.'!C39+пільги!C39+субсидії!C39+'держ.бюджет'!C39+'місц.-районн.бюджет'!C39+областной!C39+інші!C39</f>
        <v>30686.799999999996</v>
      </c>
      <c r="D39" s="163">
        <f>'насел.'!D39+пільги!D39+субсидії!D39+'держ.бюджет'!D39+'місц.-районн.бюджет'!D39+областной!D39+інші!D39</f>
        <v>5431.7</v>
      </c>
      <c r="E39" s="163">
        <f>'насел.'!E39+пільги!E39+субсидії!E39+'держ.бюджет'!E39+'місц.-районн.бюджет'!E39+областной!E39+інші!E39</f>
        <v>4286.5</v>
      </c>
      <c r="F39" s="164">
        <f t="shared" si="0"/>
        <v>78.91636136016349</v>
      </c>
      <c r="G39" s="163">
        <f>'насел.'!G39+пільги!G39+субсидії!G39+'держ.бюджет'!G39+'місц.-районн.бюджет'!G39+областной!G39+інші!G39</f>
        <v>5241.200000000001</v>
      </c>
      <c r="H39" s="163">
        <f>'насел.'!H39+пільги!H39+субсидії!H39+'держ.бюджет'!H39+'місц.-районн.бюджет'!H39+областной!H39+інші!H39</f>
        <v>6676.400000000001</v>
      </c>
      <c r="I39" s="164">
        <f t="shared" si="1"/>
        <v>127.3830420514386</v>
      </c>
      <c r="J39" s="163">
        <f>'насел.'!J39+пільги!J39+субсидії!J39+'держ.бюджет'!J39+'місц.-районн.бюджет'!J39+областной!J39+інші!J39</f>
        <v>5094.500000000001</v>
      </c>
      <c r="K39" s="163">
        <f>'насел.'!K39+пільги!K39+субсидії!K39+'держ.бюджет'!K39+'місц.-районн.бюджет'!K39+областной!K39+інші!K39</f>
        <v>3849.7999999999997</v>
      </c>
      <c r="L39" s="164">
        <f t="shared" si="17"/>
        <v>75.56776916282263</v>
      </c>
      <c r="M39" s="164">
        <f>'насел.'!M39+пільги!M39+субсидії!M39+'держ.бюджет'!M39+'місц.-районн.бюджет'!M39+областной!M39+інші!M39</f>
        <v>15767.4</v>
      </c>
      <c r="N39" s="164">
        <f>'насел.'!N39+пільги!N39+субсидії!N39+'держ.бюджет'!N39+'місц.-районн.бюджет'!N39+областной!N39+інші!N39</f>
        <v>14812.699999999999</v>
      </c>
      <c r="O39" s="164">
        <f t="shared" si="11"/>
        <v>93.94510191914964</v>
      </c>
      <c r="P39" s="163">
        <f>'насел.'!P39+пільги!P39+субсидії!P39+'держ.бюджет'!P39+'місц.-районн.бюджет'!P39+областной!P39+інші!P39</f>
        <v>4922.5</v>
      </c>
      <c r="Q39" s="163">
        <f>'насел.'!Q39+пільги!Q39+субсидії!Q39+'держ.бюджет'!Q39+'місц.-районн.бюджет'!Q39+областной!Q39+інші!Q39</f>
        <v>2598.7</v>
      </c>
      <c r="R39" s="163">
        <f t="shared" si="12"/>
        <v>52.79228034535297</v>
      </c>
      <c r="S39" s="163">
        <f>'насел.'!S39+пільги!S39+субсидії!S39+'держ.бюджет'!S39+'місц.-районн.бюджет'!S39+областной!S39+інші!S39</f>
        <v>5051.1</v>
      </c>
      <c r="T39" s="163">
        <f>'насел.'!T39+пільги!T39+субсидії!T39+'держ.бюджет'!T39+'місц.-районн.бюджет'!T39+областной!T39+інші!T39</f>
        <v>4570.2</v>
      </c>
      <c r="U39" s="164">
        <f t="shared" si="18"/>
        <v>90.47930153827878</v>
      </c>
      <c r="V39" s="163">
        <f>'насел.'!V39+пільги!V39+субсидії!V39+'держ.бюджет'!V39+'місц.-районн.бюджет'!V39+областной!V39+інші!V39</f>
        <v>5382.3</v>
      </c>
      <c r="W39" s="163">
        <f>'насел.'!W39+пільги!W39+субсидії!W39+'держ.бюджет'!W39+'місц.-районн.бюджет'!W39+областной!W39+інші!W39</f>
        <v>4721.9</v>
      </c>
      <c r="X39" s="164">
        <f t="shared" si="19"/>
        <v>87.73015253701948</v>
      </c>
      <c r="Y39" s="163">
        <f>'насел.'!Y39+пільги!Y39+субсидії!Y39+'держ.бюджет'!Y39+'місц.-районн.бюджет'!Y39+областной!Y39+інші!Y39</f>
        <v>15355.9</v>
      </c>
      <c r="Z39" s="163">
        <f>'насел.'!Z39+пільги!Z39+субсидії!Z39+'держ.бюджет'!Z39+'місц.-районн.бюджет'!Z39+областной!Z39+інші!Z39</f>
        <v>11890.799999999997</v>
      </c>
      <c r="AA39" s="164">
        <f t="shared" si="20"/>
        <v>77.434731927142</v>
      </c>
      <c r="AB39" s="163">
        <f>'насел.'!AB39+пільги!AB39+субсидії!AB39+'держ.бюджет'!AB39+'місц.-районн.бюджет'!AB39+областной!AB39+інші!AB39</f>
        <v>0</v>
      </c>
      <c r="AC39" s="163">
        <f>'насел.'!AC39+пільги!AC39+субсидії!AC39+'держ.бюджет'!AC39+'місц.-районн.бюджет'!AC39+областной!AC39+інші!AC39</f>
        <v>0</v>
      </c>
      <c r="AD39" s="164" t="e">
        <f t="shared" si="21"/>
        <v>#DIV/0!</v>
      </c>
      <c r="AE39" s="163">
        <f>'насел.'!AE39+пільги!AE39+субсидії!AE39+'держ.бюджет'!AE39+'місц.-районн.бюджет'!AE39+областной!AE39+інші!AE39</f>
        <v>0</v>
      </c>
      <c r="AF39" s="163">
        <f>'насел.'!AF39+пільги!AF39+субсидії!AF39+'держ.бюджет'!AF39+'місц.-районн.бюджет'!AF39+областной!AF39+інші!AF39</f>
        <v>0</v>
      </c>
      <c r="AG39" s="164" t="e">
        <f t="shared" si="7"/>
        <v>#DIV/0!</v>
      </c>
      <c r="AH39" s="163">
        <f>'насел.'!AH39+пільги!AH39+субсидії!AH39+'держ.бюджет'!AH39+'місц.-районн.бюджет'!AH39+областной!AH39+інші!AH39</f>
        <v>0</v>
      </c>
      <c r="AI39" s="163">
        <f>'насел.'!AI39+пільги!AI39+субсидії!AI39+'держ.бюджет'!AI39+'місц.-районн.бюджет'!AI39+областной!AI39+інші!AI39</f>
        <v>0</v>
      </c>
      <c r="AJ39" s="164" t="e">
        <f t="shared" si="8"/>
        <v>#DIV/0!</v>
      </c>
      <c r="AK39" s="163">
        <f>'насел.'!AK39+пільги!AJ39+субсидії!AK39+'держ.бюджет'!AK39+'місц.-районн.бюджет'!AK39+областной!AK39+інші!AK39</f>
        <v>0</v>
      </c>
      <c r="AL39" s="163">
        <f>'насел.'!AL39+пільги!AK39+субсидії!AL39+'держ.бюджет'!AL39+'місц.-районн.бюджет'!AL39+областной!AL39+інші!AL39</f>
        <v>0</v>
      </c>
      <c r="AM39" s="163" t="e">
        <f t="shared" si="9"/>
        <v>#DIV/0!</v>
      </c>
      <c r="AN39" s="163">
        <f>'насел.'!AN39+пільги!AM39+субсидії!AN39+'держ.бюджет'!AN39+'місц.-районн.бюджет'!AN39+областной!AN39+інші!AN39</f>
        <v>0</v>
      </c>
      <c r="AO39" s="163">
        <f>'насел.'!AO39+пільги!AN39+субсидії!AO39+'держ.бюджет'!AO39+'місц.-районн.бюджет'!AO39+областной!AO39+інші!AO39</f>
        <v>0</v>
      </c>
      <c r="AP39" s="163">
        <f>'насел.'!AP39+пільги!AO39+субсидії!AP39+'держ.бюджет'!AP39+'місц.-районн.бюджет'!AP39+областной!AP39+інші!AP39</f>
        <v>0</v>
      </c>
      <c r="AQ39" s="163">
        <f>'насел.'!AQ39+пільги!AP39+субсидії!AQ39+'держ.бюджет'!AQ39+'місц.-районн.бюджет'!AQ39+областной!AQ39+інші!AQ39</f>
        <v>0</v>
      </c>
      <c r="AR39" s="163">
        <f>'насел.'!AR39+пільги!AQ39+субсидії!AR39+'держ.бюджет'!AR39+'місц.-районн.бюджет'!AR39+областной!AR39+інші!AR39</f>
        <v>0</v>
      </c>
      <c r="AS39" s="163">
        <f>'насел.'!AS39+пільги!AR39+субсидії!AS39+'держ.бюджет'!AS39+'місц.-районн.бюджет'!AS39+областной!AS39+інші!AS39</f>
        <v>0</v>
      </c>
      <c r="AT39" s="163">
        <f>'насел.'!AT39+пільги!AS39+субсидії!AT39+'держ.бюджет'!AT39+'місц.-районн.бюджет'!AT39+областной!AT39+інші!AT39</f>
        <v>31123.300000000003</v>
      </c>
      <c r="AU39" s="163">
        <f>'насел.'!AU39+пільги!AT39+субсидії!AU39+'держ.бюджет'!AU39+'місц.-районн.бюджет'!AU39+областной!AU39+інші!AU39</f>
        <v>26703.5</v>
      </c>
      <c r="AV39" s="164">
        <f t="shared" si="10"/>
        <v>85.79906372396242</v>
      </c>
      <c r="AW39" s="163">
        <f>'насел.'!AW39+пільги!AV39+субсидії!AW39+'держ.бюджет'!AW39+'місц.-районн.бюджет'!AW39+областной!AW39+інші!AW39</f>
        <v>4419.800000000002</v>
      </c>
      <c r="AX39" s="163">
        <f>'насел.'!AX39+пільги!AW39+субсидії!AX39+'держ.бюджет'!AX39+'місц.-районн.бюджет'!AX39+областной!AX39+інші!AX39</f>
        <v>35106.6</v>
      </c>
      <c r="AY39" s="165">
        <f t="shared" si="13"/>
        <v>31123.3</v>
      </c>
      <c r="AZ39" s="165">
        <f t="shared" si="14"/>
        <v>26703.499999999996</v>
      </c>
      <c r="BA39" s="165">
        <f t="shared" si="15"/>
        <v>4419.800000000003</v>
      </c>
      <c r="BB39" s="165">
        <f t="shared" si="16"/>
        <v>35106.59999999999</v>
      </c>
    </row>
    <row r="40" spans="1:54" ht="34.5" customHeight="1">
      <c r="A40" s="167" t="s">
        <v>35</v>
      </c>
      <c r="B40" s="184" t="s">
        <v>63</v>
      </c>
      <c r="C40" s="163">
        <f>'насел.'!C40+пільги!C40+субсидії!C40+'держ.бюджет'!C40+'місц.-районн.бюджет'!C40+областной!C40+інші!C40</f>
        <v>2743.8</v>
      </c>
      <c r="D40" s="163">
        <f>'насел.'!D40+пільги!D40+субсидії!D40+'держ.бюджет'!D40+'місц.-районн.бюджет'!D40+областной!D40+інші!D40</f>
        <v>911.3999999999999</v>
      </c>
      <c r="E40" s="163">
        <f>'насел.'!E40+пільги!E40+субсидії!E40+'держ.бюджет'!E40+'місц.-районн.бюджет'!E40+областной!E40+інші!E40</f>
        <v>792.3</v>
      </c>
      <c r="F40" s="164">
        <f t="shared" si="0"/>
        <v>86.9321922317314</v>
      </c>
      <c r="G40" s="163">
        <f>'насел.'!G40+пільги!G40+субсидії!G40+'держ.бюджет'!G40+'місц.-районн.бюджет'!G40+областной!G40+інші!G40</f>
        <v>841.4</v>
      </c>
      <c r="H40" s="163">
        <f>'насел.'!H40+пільги!H40+субсидії!H40+'держ.бюджет'!H40+'місц.-районн.бюджет'!H40+областной!H40+інші!H40</f>
        <v>795.6999999999999</v>
      </c>
      <c r="I40" s="164">
        <f t="shared" si="1"/>
        <v>94.56857618255287</v>
      </c>
      <c r="J40" s="163">
        <f>'насел.'!J40+пільги!J40+субсидії!J40+'держ.бюджет'!J40+'місц.-районн.бюджет'!J40+областной!J40+інші!J40</f>
        <v>808.6000000000001</v>
      </c>
      <c r="K40" s="163">
        <f>'насел.'!K40+пільги!K40+субсидії!K40+'держ.бюджет'!K40+'місц.-районн.бюджет'!K40+областной!K40+інші!K40</f>
        <v>741.5</v>
      </c>
      <c r="L40" s="164">
        <f t="shared" si="17"/>
        <v>91.70170665347513</v>
      </c>
      <c r="M40" s="164">
        <f>'насел.'!M40+пільги!M40+субсидії!M40+'держ.бюджет'!M40+'місц.-районн.бюджет'!M40+областной!M40+інші!M40</f>
        <v>2561.3999999999996</v>
      </c>
      <c r="N40" s="164">
        <f>'насел.'!N40+пільги!N40+субсидії!N40+'держ.бюджет'!N40+'місц.-районн.бюджет'!N40+областной!N40+інші!N40</f>
        <v>2329.5</v>
      </c>
      <c r="O40" s="164">
        <f t="shared" si="11"/>
        <v>90.94635746076366</v>
      </c>
      <c r="P40" s="163">
        <f>'насел.'!P40+пільги!P40+субсидії!P40+'держ.бюджет'!P40+'місц.-районн.бюджет'!P40+областной!P40+інші!P40</f>
        <v>804.5999999999999</v>
      </c>
      <c r="Q40" s="163">
        <f>'насел.'!Q40+пільги!Q40+субсидії!Q40+'держ.бюджет'!Q40+'місц.-районн.бюджет'!Q40+областной!Q40+інші!Q40</f>
        <v>731</v>
      </c>
      <c r="R40" s="163">
        <f t="shared" si="12"/>
        <v>90.85259756400697</v>
      </c>
      <c r="S40" s="163">
        <f>'насел.'!S40+пільги!S40+субсидії!S40+'держ.бюджет'!S40+'місц.-районн.бюджет'!S40+областной!S40+інші!S40</f>
        <v>1000.9999999999999</v>
      </c>
      <c r="T40" s="163">
        <f>'насел.'!T40+пільги!T40+субсидії!T40+'держ.бюджет'!T40+'місц.-районн.бюджет'!T40+областной!T40+інші!T40</f>
        <v>778.8</v>
      </c>
      <c r="U40" s="164">
        <f t="shared" si="18"/>
        <v>77.80219780219781</v>
      </c>
      <c r="V40" s="163">
        <f>'насел.'!V40+пільги!V40+субсидії!V40+'держ.бюджет'!V40+'місц.-районн.бюджет'!V40+областной!V40+інші!V40</f>
        <v>1102.9</v>
      </c>
      <c r="W40" s="163">
        <f>'насел.'!W40+пільги!W40+субсидії!W40+'держ.бюджет'!W40+'місц.-районн.бюджет'!W40+областной!W40+інші!W40</f>
        <v>880.5</v>
      </c>
      <c r="X40" s="164">
        <f t="shared" si="19"/>
        <v>79.83498050593887</v>
      </c>
      <c r="Y40" s="163">
        <f>'насел.'!Y40+пільги!Y40+субсидії!Y40+'держ.бюджет'!Y40+'місц.-районн.бюджет'!Y40+областной!Y40+інші!Y40</f>
        <v>2908.5</v>
      </c>
      <c r="Z40" s="163">
        <f>'насел.'!Z40+пільги!Z40+субсидії!Z40+'держ.бюджет'!Z40+'місц.-районн.бюджет'!Z40+областной!Z40+інші!Z40</f>
        <v>2390.3</v>
      </c>
      <c r="AA40" s="164">
        <f t="shared" si="20"/>
        <v>82.18325597386969</v>
      </c>
      <c r="AB40" s="163">
        <f>'насел.'!AB40+пільги!AB40+субсидії!AB40+'держ.бюджет'!AB40+'місц.-районн.бюджет'!AB40+областной!AB40+інші!AB40</f>
        <v>0</v>
      </c>
      <c r="AC40" s="163">
        <f>'насел.'!AC40+пільги!AC40+субсидії!AC40+'держ.бюджет'!AC40+'місц.-районн.бюджет'!AC40+областной!AC40+інші!AC40</f>
        <v>0</v>
      </c>
      <c r="AD40" s="164" t="e">
        <f t="shared" si="21"/>
        <v>#DIV/0!</v>
      </c>
      <c r="AE40" s="163">
        <f>'насел.'!AE40+пільги!AE40+субсидії!AE40+'держ.бюджет'!AE40+'місц.-районн.бюджет'!AE40+областной!AE40+інші!AE40</f>
        <v>0</v>
      </c>
      <c r="AF40" s="163">
        <f>'насел.'!AF40+пільги!AF40+субсидії!AF40+'держ.бюджет'!AF40+'місц.-районн.бюджет'!AF40+областной!AF40+інші!AF40</f>
        <v>0</v>
      </c>
      <c r="AG40" s="164" t="e">
        <f t="shared" si="7"/>
        <v>#DIV/0!</v>
      </c>
      <c r="AH40" s="163">
        <f>'насел.'!AH40+пільги!AH40+субсидії!AH40+'держ.бюджет'!AH40+'місц.-районн.бюджет'!AH40+областной!AH40+інші!AH40</f>
        <v>0</v>
      </c>
      <c r="AI40" s="163">
        <f>'насел.'!AI40+пільги!AI40+субсидії!AI40+'держ.бюджет'!AI40+'місц.-районн.бюджет'!AI40+областной!AI40+інші!AI40</f>
        <v>0</v>
      </c>
      <c r="AJ40" s="164" t="e">
        <f t="shared" si="8"/>
        <v>#DIV/0!</v>
      </c>
      <c r="AK40" s="163">
        <f>'насел.'!AK40+пільги!AJ40+субсидії!AK40+'держ.бюджет'!AK40+'місц.-районн.бюджет'!AK40+областной!AK40+інші!AK40</f>
        <v>0</v>
      </c>
      <c r="AL40" s="163">
        <f>'насел.'!AL40+пільги!AK40+субсидії!AL40+'держ.бюджет'!AL40+'місц.-районн.бюджет'!AL40+областной!AL40+інші!AL40</f>
        <v>0</v>
      </c>
      <c r="AM40" s="163" t="e">
        <f t="shared" si="9"/>
        <v>#DIV/0!</v>
      </c>
      <c r="AN40" s="163">
        <f>'насел.'!AN40+пільги!AM40+субсидії!AN40+'держ.бюджет'!AN40+'місц.-районн.бюджет'!AN40+областной!AN40+інші!AN40</f>
        <v>0</v>
      </c>
      <c r="AO40" s="163">
        <f>'насел.'!AO40+пільги!AN40+субсидії!AO40+'держ.бюджет'!AO40+'місц.-районн.бюджет'!AO40+областной!AO40+інші!AO40</f>
        <v>0</v>
      </c>
      <c r="AP40" s="163">
        <f>'насел.'!AP40+пільги!AO40+субсидії!AP40+'держ.бюджет'!AP40+'місц.-районн.бюджет'!AP40+областной!AP40+інші!AP40</f>
        <v>0</v>
      </c>
      <c r="AQ40" s="163">
        <f>'насел.'!AQ40+пільги!AP40+субсидії!AQ40+'держ.бюджет'!AQ40+'місц.-районн.бюджет'!AQ40+областной!AQ40+інші!AQ40</f>
        <v>0</v>
      </c>
      <c r="AR40" s="163">
        <f>'насел.'!AR40+пільги!AQ40+субсидії!AR40+'держ.бюджет'!AR40+'місц.-районн.бюджет'!AR40+областной!AR40+інші!AR40</f>
        <v>0</v>
      </c>
      <c r="AS40" s="163">
        <f>'насел.'!AS40+пільги!AR40+субсидії!AS40+'держ.бюджет'!AS40+'місц.-районн.бюджет'!AS40+областной!AS40+інші!AS40</f>
        <v>0</v>
      </c>
      <c r="AT40" s="163">
        <f>'насел.'!AT40+пільги!AS40+субсидії!AT40+'держ.бюджет'!AT40+'місц.-районн.бюджет'!AT40+областной!AT40+інші!AT40</f>
        <v>5469.9</v>
      </c>
      <c r="AU40" s="163">
        <f>'насел.'!AU40+пільги!AT40+субсидії!AU40+'держ.бюджет'!AU40+'місц.-районн.бюджет'!AU40+областной!AU40+інші!AU40</f>
        <v>4719.8</v>
      </c>
      <c r="AV40" s="164">
        <f t="shared" si="10"/>
        <v>86.28676941077535</v>
      </c>
      <c r="AW40" s="163">
        <f>'насел.'!AW40+пільги!AV40+субсидії!AW40+'держ.бюджет'!AW40+'місц.-районн.бюджет'!AW40+областной!AW40+інші!AW40</f>
        <v>750.0999999999999</v>
      </c>
      <c r="AX40" s="163">
        <f>'насел.'!AX40+пільги!AW40+субсидії!AX40+'держ.бюджет'!AX40+'місц.-районн.бюджет'!AX40+областной!AX40+інші!AX40</f>
        <v>3493.9000000000005</v>
      </c>
      <c r="AY40" s="165">
        <f t="shared" si="13"/>
        <v>5469.9</v>
      </c>
      <c r="AZ40" s="165">
        <f t="shared" si="14"/>
        <v>4719.8</v>
      </c>
      <c r="BA40" s="165">
        <f t="shared" si="15"/>
        <v>750.0999999999995</v>
      </c>
      <c r="BB40" s="165">
        <f t="shared" si="16"/>
        <v>3493.9000000000005</v>
      </c>
    </row>
    <row r="41" spans="1:54" ht="34.5" customHeight="1">
      <c r="A41" s="167" t="s">
        <v>36</v>
      </c>
      <c r="B41" s="170" t="s">
        <v>64</v>
      </c>
      <c r="C41" s="163">
        <f>'насел.'!C41+пільги!C41+субсидії!C41+'держ.бюджет'!C41+'місц.-районн.бюджет'!C41+областной!C41+інші!C41</f>
        <v>7118.199999999999</v>
      </c>
      <c r="D41" s="163">
        <f>'насел.'!D41+пільги!D41+субсидії!D41+'держ.бюджет'!D41+'місц.-районн.бюджет'!D41+областной!D41+інші!D41</f>
        <v>2552.1</v>
      </c>
      <c r="E41" s="163">
        <f>'насел.'!E41+пільги!E41+субсидії!E41+'держ.бюджет'!E41+'місц.-районн.бюджет'!E41+областной!E41+інші!E41</f>
        <v>2027.8</v>
      </c>
      <c r="F41" s="164">
        <f t="shared" si="0"/>
        <v>79.45613416402179</v>
      </c>
      <c r="G41" s="163">
        <f>'насел.'!G41+пільги!G41+субсидії!G41+'держ.бюджет'!G41+'місц.-районн.бюджет'!G41+областной!G41+інші!G41</f>
        <v>2545.5</v>
      </c>
      <c r="H41" s="163">
        <f>'насел.'!H41+пільги!H41+субсидії!H41+'держ.бюджет'!H41+'місц.-районн.бюджет'!H41+областной!H41+інші!H41</f>
        <v>2216.6</v>
      </c>
      <c r="I41" s="164">
        <f t="shared" si="1"/>
        <v>87.07915930072677</v>
      </c>
      <c r="J41" s="163">
        <f>'насел.'!J41+пільги!J41+субсидії!J41+'держ.бюджет'!J41+'місц.-районн.бюджет'!J41+областной!J41+інші!J41</f>
        <v>2441.3835</v>
      </c>
      <c r="K41" s="163">
        <f>'насел.'!K41+пільги!K41+субсидії!K41+'держ.бюджет'!K41+'місц.-районн.бюджет'!K41+областной!K41+інші!K41</f>
        <v>2044.17931</v>
      </c>
      <c r="L41" s="164">
        <f t="shared" si="17"/>
        <v>83.73036477063108</v>
      </c>
      <c r="M41" s="164">
        <f>'насел.'!M41+пільги!M41+субсидії!M41+'держ.бюджет'!M41+'місц.-районн.бюджет'!M41+областной!M41+інші!M41</f>
        <v>7538.983499999999</v>
      </c>
      <c r="N41" s="164">
        <f>'насел.'!N41+пільги!N41+субсидії!N41+'держ.бюджет'!N41+'місц.-районн.бюджет'!N41+областной!N41+інші!N41</f>
        <v>6288.57931</v>
      </c>
      <c r="O41" s="164">
        <f t="shared" si="11"/>
        <v>83.41415404344632</v>
      </c>
      <c r="P41" s="163">
        <f>'насел.'!P41+пільги!P41+субсидії!P41+'держ.бюджет'!P41+'місц.-районн.бюджет'!P41+областной!P41+інші!P41</f>
        <v>2211.13534</v>
      </c>
      <c r="Q41" s="163">
        <f>'насел.'!Q41+пільги!Q41+субсидії!Q41+'держ.бюджет'!Q41+'місц.-районн.бюджет'!Q41+областной!Q41+інші!Q41</f>
        <v>2041.9005900000002</v>
      </c>
      <c r="R41" s="163">
        <f t="shared" si="12"/>
        <v>92.34625095359384</v>
      </c>
      <c r="S41" s="163">
        <f>'насел.'!S41+пільги!S41+субсидії!S41+'держ.бюджет'!S41+'місц.-районн.бюджет'!S41+областной!S41+інші!S41</f>
        <v>2570.4</v>
      </c>
      <c r="T41" s="163">
        <f>'насел.'!T41+пільги!T41+субсидії!T41+'держ.бюджет'!T41+'місц.-районн.бюджет'!T41+областной!T41+інші!T41</f>
        <v>2107.7</v>
      </c>
      <c r="U41" s="164">
        <f t="shared" si="18"/>
        <v>81.99891067538125</v>
      </c>
      <c r="V41" s="163">
        <f>'насел.'!V41+пільги!V41+субсидії!V41+'держ.бюджет'!V41+'місц.-районн.бюджет'!V41+областной!V41+інші!V41</f>
        <v>2483.2999999999997</v>
      </c>
      <c r="W41" s="163">
        <f>'насел.'!W41+пільги!W41+субсидії!W41+'держ.бюджет'!W41+'місц.-районн.бюджет'!W41+областной!W41+інші!W41</f>
        <v>2069.2000000000003</v>
      </c>
      <c r="X41" s="164">
        <f t="shared" si="19"/>
        <v>83.32460838400517</v>
      </c>
      <c r="Y41" s="163">
        <f>'насел.'!Y41+пільги!Y41+субсидії!Y41+'держ.бюджет'!Y41+'місц.-районн.бюджет'!Y41+областной!Y41+інші!Y41</f>
        <v>7264.83534</v>
      </c>
      <c r="Z41" s="163">
        <f>'насел.'!Z41+пільги!Z41+субсидії!Z41+'держ.бюджет'!Z41+'місц.-районн.бюджет'!Z41+областной!Z41+інші!Z41</f>
        <v>6218.800590000001</v>
      </c>
      <c r="AA41" s="164">
        <f t="shared" si="20"/>
        <v>85.6013976773767</v>
      </c>
      <c r="AB41" s="163">
        <f>'насел.'!AB41+пільги!AB41+субсидії!AB41+'держ.бюджет'!AB41+'місц.-районн.бюджет'!AB41+областной!AB41+інші!AB41</f>
        <v>0</v>
      </c>
      <c r="AC41" s="163">
        <f>'насел.'!AC41+пільги!AC41+субсидії!AC41+'держ.бюджет'!AC41+'місц.-районн.бюджет'!AC41+областной!AC41+інші!AC41</f>
        <v>0</v>
      </c>
      <c r="AD41" s="164" t="e">
        <f t="shared" si="21"/>
        <v>#DIV/0!</v>
      </c>
      <c r="AE41" s="163">
        <f>'насел.'!AE41+пільги!AE41+субсидії!AE41+'держ.бюджет'!AE41+'місц.-районн.бюджет'!AE41+областной!AE41+інші!AE41</f>
        <v>0</v>
      </c>
      <c r="AF41" s="163">
        <f>'насел.'!AF41+пільги!AF41+субсидії!AF41+'держ.бюджет'!AF41+'місц.-районн.бюджет'!AF41+областной!AF41+інші!AF41</f>
        <v>0</v>
      </c>
      <c r="AG41" s="164" t="e">
        <f t="shared" si="7"/>
        <v>#DIV/0!</v>
      </c>
      <c r="AH41" s="163">
        <f>'насел.'!AH41+пільги!AH41+субсидії!AH41+'держ.бюджет'!AH41+'місц.-районн.бюджет'!AH41+областной!AH41+інші!AH41</f>
        <v>0</v>
      </c>
      <c r="AI41" s="163">
        <f>'насел.'!AI41+пільги!AI41+субсидії!AI41+'держ.бюджет'!AI41+'місц.-районн.бюджет'!AI41+областной!AI41+інші!AI41</f>
        <v>0</v>
      </c>
      <c r="AJ41" s="164" t="e">
        <f t="shared" si="8"/>
        <v>#DIV/0!</v>
      </c>
      <c r="AK41" s="163">
        <f>'насел.'!AK41+пільги!AJ41+субсидії!AK41+'держ.бюджет'!AK41+'місц.-районн.бюджет'!AK41+областной!AK41+інші!AK41</f>
        <v>0</v>
      </c>
      <c r="AL41" s="163">
        <f>'насел.'!AL41+пільги!AK41+субсидії!AL41+'держ.бюджет'!AL41+'місц.-районн.бюджет'!AL41+областной!AL41+інші!AL41</f>
        <v>0</v>
      </c>
      <c r="AM41" s="163" t="e">
        <f t="shared" si="9"/>
        <v>#DIV/0!</v>
      </c>
      <c r="AN41" s="163">
        <f>'насел.'!AN41+пільги!AM41+субсидії!AN41+'держ.бюджет'!AN41+'місц.-районн.бюджет'!AN41+областной!AN41+інші!AN41</f>
        <v>0</v>
      </c>
      <c r="AO41" s="163">
        <f>'насел.'!AO41+пільги!AN41+субсидії!AO41+'держ.бюджет'!AO41+'місц.-районн.бюджет'!AO41+областной!AO41+інші!AO41</f>
        <v>0</v>
      </c>
      <c r="AP41" s="163">
        <f>'насел.'!AP41+пільги!AO41+субсидії!AP41+'держ.бюджет'!AP41+'місц.-районн.бюджет'!AP41+областной!AP41+інші!AP41</f>
        <v>0</v>
      </c>
      <c r="AQ41" s="163">
        <f>'насел.'!AQ41+пільги!AP41+субсидії!AQ41+'держ.бюджет'!AQ41+'місц.-районн.бюджет'!AQ41+областной!AQ41+інші!AQ41</f>
        <v>0</v>
      </c>
      <c r="AR41" s="163">
        <f>'насел.'!AR41+пільги!AQ41+субсидії!AR41+'держ.бюджет'!AR41+'місц.-районн.бюджет'!AR41+областной!AR41+інші!AR41</f>
        <v>0</v>
      </c>
      <c r="AS41" s="163">
        <f>'насел.'!AS41+пільги!AR41+субсидії!AS41+'держ.бюджет'!AS41+'місц.-районн.бюджет'!AS41+областной!AS41+інші!AS41</f>
        <v>0</v>
      </c>
      <c r="AT41" s="163">
        <f>'насел.'!AT41+пільги!AS41+субсидії!AT41+'держ.бюджет'!AT41+'місц.-районн.бюджет'!AT41+областной!AT41+інші!AT41</f>
        <v>14803.818839999998</v>
      </c>
      <c r="AU41" s="163">
        <f>'насел.'!AU41+пільги!AT41+субсидії!AU41+'держ.бюджет'!AU41+'місц.-районн.бюджет'!AU41+областной!AU41+інші!AU41</f>
        <v>12507.379899999998</v>
      </c>
      <c r="AV41" s="164">
        <f t="shared" si="10"/>
        <v>84.48752335583161</v>
      </c>
      <c r="AW41" s="163">
        <f>'насел.'!AW41+пільги!AV41+субсидії!AW41+'держ.бюджет'!AW41+'місц.-районн.бюджет'!AW41+областной!AW41+інші!AW41</f>
        <v>2296.4389399999986</v>
      </c>
      <c r="AX41" s="163">
        <f>'насел.'!AX41+пільги!AW41+субсидії!AX41+'держ.бюджет'!AX41+'місц.-районн.бюджет'!AX41+областной!AX41+інші!AX41</f>
        <v>9414.638939999997</v>
      </c>
      <c r="AY41" s="165">
        <f t="shared" si="13"/>
        <v>14803.81884</v>
      </c>
      <c r="AZ41" s="165">
        <f t="shared" si="14"/>
        <v>12507.3799</v>
      </c>
      <c r="BA41" s="165">
        <f t="shared" si="15"/>
        <v>2296.43894</v>
      </c>
      <c r="BB41" s="165">
        <f t="shared" si="16"/>
        <v>9414.638939999997</v>
      </c>
    </row>
    <row r="42" spans="1:54" ht="34.5" customHeight="1">
      <c r="A42" s="167" t="s">
        <v>37</v>
      </c>
      <c r="B42" s="184" t="s">
        <v>48</v>
      </c>
      <c r="C42" s="163">
        <f>'насел.'!C42+пільги!C42+субсидії!C42+'держ.бюджет'!C42+'місц.-районн.бюджет'!C42+областной!C42+інші!C42</f>
        <v>7337.299999999999</v>
      </c>
      <c r="D42" s="163">
        <f>'насел.'!D42+пільги!D42+субсидії!D42+'держ.бюджет'!D42+'місц.-районн.бюджет'!D42+областной!D42+інші!D42</f>
        <v>2946.7000000000003</v>
      </c>
      <c r="E42" s="163">
        <f>'насел.'!E42+пільги!E42+субсидії!E42+'держ.бюджет'!E42+'місц.-районн.бюджет'!E42+областной!E42+інші!E42</f>
        <v>2486.5</v>
      </c>
      <c r="F42" s="164">
        <f t="shared" si="0"/>
        <v>84.38252960939356</v>
      </c>
      <c r="G42" s="163">
        <f>'насел.'!G42+пільги!G42+субсидії!G42+'держ.бюджет'!G42+'місц.-районн.бюджет'!G42+областной!G42+інші!G42</f>
        <v>2753.6000000000004</v>
      </c>
      <c r="H42" s="163">
        <f>'насел.'!H42+пільги!H42+субсидії!H42+'держ.бюджет'!H42+'місц.-районн.бюджет'!H42+областной!H42+інші!H42</f>
        <v>2509.8</v>
      </c>
      <c r="I42" s="164">
        <f t="shared" si="1"/>
        <v>91.14613596746078</v>
      </c>
      <c r="J42" s="163">
        <f>'насел.'!J42+пільги!J42+субсидії!J42+'держ.бюджет'!J42+'місц.-районн.бюджет'!J42+областной!J42+інші!J42</f>
        <v>2797.3999999999996</v>
      </c>
      <c r="K42" s="163">
        <f>'насел.'!K42+пільги!K42+субсидії!K42+'держ.бюджет'!K42+'місц.-районн.бюджет'!K42+областной!K42+інші!K42</f>
        <v>2905.3</v>
      </c>
      <c r="L42" s="164">
        <f t="shared" si="17"/>
        <v>103.85715307070853</v>
      </c>
      <c r="M42" s="164">
        <f>'насел.'!M42+пільги!M42+субсидії!M42+'держ.бюджет'!M42+'місц.-районн.бюджет'!M42+областной!M42+інші!M42</f>
        <v>8497.7</v>
      </c>
      <c r="N42" s="164">
        <f>'насел.'!N42+пільги!N42+субсидії!N42+'держ.бюджет'!N42+'місц.-районн.бюджет'!N42+областной!N42+інші!N42</f>
        <v>7901.6</v>
      </c>
      <c r="O42" s="164">
        <f t="shared" si="11"/>
        <v>92.98516069053979</v>
      </c>
      <c r="P42" s="163">
        <f>'насел.'!P42+пільги!P42+субсидії!P42+'держ.бюджет'!P42+'місц.-районн.бюджет'!P42+областной!P42+інші!P42</f>
        <v>2854.8999999999996</v>
      </c>
      <c r="Q42" s="163">
        <f>'насел.'!Q42+пільги!Q42+субсидії!Q42+'держ.бюджет'!Q42+'місц.-районн.бюджет'!Q42+областной!Q42+інші!Q42</f>
        <v>2299.8999999999996</v>
      </c>
      <c r="R42" s="163">
        <f t="shared" si="12"/>
        <v>80.55973939542541</v>
      </c>
      <c r="S42" s="163">
        <f>'насел.'!S42+пільги!S42+субсидії!S42+'держ.бюджет'!S42+'місц.-районн.бюджет'!S42+областной!S42+інші!S42</f>
        <v>3436.4</v>
      </c>
      <c r="T42" s="163">
        <f>'насел.'!T42+пільги!T42+субсидії!T42+'держ.бюджет'!T42+'місц.-районн.бюджет'!T42+областной!T42+інші!T42</f>
        <v>2865.6</v>
      </c>
      <c r="U42" s="164">
        <f>T42/S42*100</f>
        <v>83.38959376091258</v>
      </c>
      <c r="V42" s="163">
        <f>'насел.'!V42+пільги!V42+субсидії!V42+'держ.бюджет'!V42+'місц.-районн.бюджет'!V42+областной!V42+інші!V42</f>
        <v>3627.0000000000005</v>
      </c>
      <c r="W42" s="163">
        <f>'насел.'!W42+пільги!W42+субсидії!W42+'держ.бюджет'!W42+'місц.-районн.бюджет'!W42+областной!W42+інші!W42</f>
        <v>3134.3999999999996</v>
      </c>
      <c r="X42" s="164">
        <f>W42/V42*100</f>
        <v>86.41852770885026</v>
      </c>
      <c r="Y42" s="163">
        <f>'насел.'!Y42+пільги!Y42+субсидії!Y42+'держ.бюджет'!Y42+'місц.-районн.бюджет'!Y42+областной!Y42+інші!Y42</f>
        <v>9918.300000000001</v>
      </c>
      <c r="Z42" s="163">
        <f>'насел.'!Z42+пільги!Z42+субсидії!Z42+'держ.бюджет'!Z42+'місц.-районн.бюджет'!Z42+областной!Z42+інші!Z42</f>
        <v>8299.9</v>
      </c>
      <c r="AA42" s="164">
        <f t="shared" si="20"/>
        <v>83.68268755734348</v>
      </c>
      <c r="AB42" s="163">
        <f>'насел.'!AB42+пільги!AB42+субсидії!AB42+'держ.бюджет'!AB42+'місц.-районн.бюджет'!AB42+областной!AB42+інші!AB42</f>
        <v>0</v>
      </c>
      <c r="AC42" s="163">
        <f>'насел.'!AC42+пільги!AC42+субсидії!AC42+'держ.бюджет'!AC42+'місц.-районн.бюджет'!AC42+областной!AC42+інші!AC42</f>
        <v>0</v>
      </c>
      <c r="AD42" s="164" t="e">
        <f>AC42/AB42*100</f>
        <v>#DIV/0!</v>
      </c>
      <c r="AE42" s="163">
        <f>'насел.'!AE42+пільги!AE42+субсидії!AE42+'держ.бюджет'!AE42+'місц.-районн.бюджет'!AE42+областной!AE42+інші!AE42</f>
        <v>0</v>
      </c>
      <c r="AF42" s="163">
        <f>'насел.'!AF42+пільги!AF42+субсидії!AF42+'держ.бюджет'!AF42+'місц.-районн.бюджет'!AF42+областной!AF42+інші!AF42</f>
        <v>0</v>
      </c>
      <c r="AG42" s="164" t="e">
        <f t="shared" si="7"/>
        <v>#DIV/0!</v>
      </c>
      <c r="AH42" s="163">
        <f>'насел.'!AH42+пільги!AH42+субсидії!AH42+'держ.бюджет'!AH42+'місц.-районн.бюджет'!AH42+областной!AH42+інші!AH42</f>
        <v>0</v>
      </c>
      <c r="AI42" s="163">
        <f>'насел.'!AI42+пільги!AI42+субсидії!AI42+'держ.бюджет'!AI42+'місц.-районн.бюджет'!AI42+областной!AI42+інші!AI42</f>
        <v>0</v>
      </c>
      <c r="AJ42" s="164" t="e">
        <f t="shared" si="8"/>
        <v>#DIV/0!</v>
      </c>
      <c r="AK42" s="163">
        <f>'насел.'!AK42+пільги!AJ42+субсидії!AK42+'держ.бюджет'!AK42+'місц.-районн.бюджет'!AK42+областной!AK42+інші!AK42</f>
        <v>0</v>
      </c>
      <c r="AL42" s="163">
        <f>'насел.'!AL42+пільги!AK42+субсидії!AL42+'держ.бюджет'!AL42+'місц.-районн.бюджет'!AL42+областной!AL42+інші!AL42</f>
        <v>0</v>
      </c>
      <c r="AM42" s="163" t="e">
        <f t="shared" si="9"/>
        <v>#DIV/0!</v>
      </c>
      <c r="AN42" s="163">
        <f>'насел.'!AN42+пільги!AM42+субсидії!AN42+'держ.бюджет'!AN42+'місц.-районн.бюджет'!AN42+областной!AN42+інші!AN42</f>
        <v>0</v>
      </c>
      <c r="AO42" s="163">
        <f>'насел.'!AO42+пільги!AN42+субсидії!AO42+'держ.бюджет'!AO42+'місц.-районн.бюджет'!AO42+областной!AO42+інші!AO42</f>
        <v>0</v>
      </c>
      <c r="AP42" s="163">
        <f>'насел.'!AP42+пільги!AO42+субсидії!AP42+'держ.бюджет'!AP42+'місц.-районн.бюджет'!AP42+областной!AP42+інші!AP42</f>
        <v>0</v>
      </c>
      <c r="AQ42" s="163">
        <f>'насел.'!AQ42+пільги!AP42+субсидії!AQ42+'держ.бюджет'!AQ42+'місц.-районн.бюджет'!AQ42+областной!AQ42+інші!AQ42</f>
        <v>0</v>
      </c>
      <c r="AR42" s="163">
        <f>'насел.'!AR42+пільги!AQ42+субсидії!AR42+'держ.бюджет'!AR42+'місц.-районн.бюджет'!AR42+областной!AR42+інші!AR42</f>
        <v>0</v>
      </c>
      <c r="AS42" s="163">
        <f>'насел.'!AS42+пільги!AR42+субсидії!AS42+'держ.бюджет'!AS42+'місц.-районн.бюджет'!AS42+областной!AS42+інші!AS42</f>
        <v>0</v>
      </c>
      <c r="AT42" s="163">
        <f>'насел.'!AT42+пільги!AS42+субсидії!AT42+'держ.бюджет'!AT42+'місц.-районн.бюджет'!AT42+областной!AT42+інші!AT42</f>
        <v>18416</v>
      </c>
      <c r="AU42" s="163">
        <f>'насел.'!AU42+пільги!AT42+субсидії!AU42+'держ.бюджет'!AU42+'місц.-районн.бюджет'!AU42+областной!AU42+інші!AU42</f>
        <v>16201.5</v>
      </c>
      <c r="AV42" s="164">
        <f t="shared" si="10"/>
        <v>87.9751303214596</v>
      </c>
      <c r="AW42" s="163">
        <f>'насел.'!AW42+пільги!AV42+субсидії!AW42+'держ.бюджет'!AW42+'місц.-районн.бюджет'!AW42+областной!AW42+інші!AW42</f>
        <v>2214.4999999999995</v>
      </c>
      <c r="AX42" s="163">
        <f>'насел.'!AX42+пільги!AW42+субсидії!AX42+'держ.бюджет'!AX42+'місц.-районн.бюджет'!AX42+областной!AX42+інші!AX42</f>
        <v>9551.799999999996</v>
      </c>
      <c r="AY42" s="165">
        <f t="shared" si="13"/>
        <v>18416</v>
      </c>
      <c r="AZ42" s="165">
        <f t="shared" si="14"/>
        <v>16201.5</v>
      </c>
      <c r="BA42" s="165">
        <f t="shared" si="15"/>
        <v>2214.5</v>
      </c>
      <c r="BB42" s="165">
        <f t="shared" si="16"/>
        <v>9551.8</v>
      </c>
    </row>
    <row r="43" spans="1:54" s="166" customFormat="1" ht="34.5" customHeight="1">
      <c r="A43" s="167" t="s">
        <v>38</v>
      </c>
      <c r="B43" s="185" t="s">
        <v>66</v>
      </c>
      <c r="C43" s="163">
        <f>'насел.'!C43+пільги!C43+субсидії!C43+'держ.бюджет'!C43+'місц.-районн.бюджет'!C43+областной!C43+інші!C43</f>
        <v>1336574.9</v>
      </c>
      <c r="D43" s="163">
        <f>'насел.'!D43+пільги!D43+субсидії!D43+'держ.бюджет'!D43+'місц.-районн.бюджет'!D43+областной!D43+інші!D43</f>
        <v>175493.9</v>
      </c>
      <c r="E43" s="163">
        <f>'насел.'!E43+пільги!E43+субсидії!E43+'держ.бюджет'!E43+'місц.-районн.бюджет'!E43+областной!E43+інші!E43</f>
        <v>121087.29999999999</v>
      </c>
      <c r="F43" s="164">
        <f t="shared" si="0"/>
        <v>68.99801075706904</v>
      </c>
      <c r="G43" s="163">
        <f>'насел.'!G43+пільги!G43+субсидії!G43+'держ.бюджет'!G43+'місц.-районн.бюджет'!G43+областной!G43+інші!G43</f>
        <v>204482</v>
      </c>
      <c r="H43" s="163">
        <f>'насел.'!H43+пільги!H43+субсидії!H43+'держ.бюджет'!H43+'місц.-районн.бюджет'!H43+областной!H43+інші!H43</f>
        <v>117133.4</v>
      </c>
      <c r="I43" s="164">
        <f t="shared" si="1"/>
        <v>57.28298823368316</v>
      </c>
      <c r="J43" s="163">
        <f>'насел.'!J43+пільги!J43+субсидії!J43+'держ.бюджет'!J43+'місц.-районн.бюджет'!J43+областной!J43+інші!J43</f>
        <v>208490.1</v>
      </c>
      <c r="K43" s="163">
        <f>'насел.'!K43+пільги!K43+субсидії!K43+'держ.бюджет'!K43+'місц.-районн.бюджет'!K43+областной!K43+інші!K43</f>
        <v>128283.29999999999</v>
      </c>
      <c r="L43" s="164">
        <f t="shared" si="17"/>
        <v>61.529684143275865</v>
      </c>
      <c r="M43" s="164">
        <f>'насел.'!M43+пільги!M43+субсидії!M43+'держ.бюджет'!M43+'місц.-районн.бюджет'!M43+областной!M43+інші!M43</f>
        <v>588466</v>
      </c>
      <c r="N43" s="164">
        <f>'насел.'!N43+пільги!N43+субсидії!N43+'держ.бюджет'!N43+'місц.-районн.бюджет'!N43+областной!N43+інші!N43</f>
        <v>366504</v>
      </c>
      <c r="O43" s="164">
        <f t="shared" si="11"/>
        <v>62.28125329245869</v>
      </c>
      <c r="P43" s="163">
        <f>'насел.'!P43+пільги!P43+субсидії!P43+'держ.бюджет'!P43+'місц.-районн.бюджет'!P43+областной!P43+інші!P43</f>
        <v>204101.7</v>
      </c>
      <c r="Q43" s="163">
        <f>'насел.'!Q43+пільги!Q43+субсидії!Q43+'держ.бюджет'!Q43+'місц.-районн.бюджет'!Q43+областной!Q43+інші!Q43</f>
        <v>137513.3</v>
      </c>
      <c r="R43" s="163">
        <f t="shared" si="12"/>
        <v>67.37489202686699</v>
      </c>
      <c r="S43" s="163">
        <f>'насел.'!S43+пільги!S43+субсидії!S43+'держ.бюджет'!S43+'місц.-районн.бюджет'!S43+областной!S43+інші!S43</f>
        <v>203060.09999999998</v>
      </c>
      <c r="T43" s="163">
        <f>'насел.'!T43+пільги!T43+субсидії!T43+'держ.бюджет'!T43+'місц.-районн.бюджет'!T43+областной!T43+інші!T43</f>
        <v>141402.7</v>
      </c>
      <c r="U43" s="163">
        <f>SUM(U44:U44)</f>
        <v>69.63588612435433</v>
      </c>
      <c r="V43" s="163">
        <f>'насел.'!V43+пільги!V43+субсидії!V43+'держ.бюджет'!V43+'місц.-районн.бюджет'!V43+областной!V43+інші!V43</f>
        <v>195750.30000000002</v>
      </c>
      <c r="W43" s="163">
        <f>'насел.'!W43+пільги!W43+субсидії!W43+'держ.бюджет'!W43+'місц.-районн.бюджет'!W43+областной!W43+інші!W43</f>
        <v>145173.19999999998</v>
      </c>
      <c r="X43" s="163">
        <f>SUM(X44:X44)</f>
        <v>74.1624406195035</v>
      </c>
      <c r="Y43" s="163">
        <f>'насел.'!Y43+пільги!Y43+субсидії!Y43+'держ.бюджет'!Y43+'місц.-районн.бюджет'!Y43+областной!Y43+інші!Y43</f>
        <v>602912.1</v>
      </c>
      <c r="Z43" s="163">
        <f>'насел.'!Z43+пільги!Z43+субсидії!Z43+'держ.бюджет'!Z43+'місц.-районн.бюджет'!Z43+областной!Z43+інші!Z43</f>
        <v>424089.20000000007</v>
      </c>
      <c r="AA43" s="164">
        <f t="shared" si="20"/>
        <v>70.34013747609313</v>
      </c>
      <c r="AB43" s="163">
        <f>'насел.'!AB43+пільги!AB43+субсидії!AB43+'держ.бюджет'!AB43+'місц.-районн.бюджет'!AB43+областной!AB43+інші!AB43</f>
        <v>0</v>
      </c>
      <c r="AC43" s="163">
        <f>'насел.'!AC43+пільги!AC43+субсидії!AC43+'держ.бюджет'!AC43+'місц.-районн.бюджет'!AC43+областной!AC43+інші!AC43</f>
        <v>0</v>
      </c>
      <c r="AD43" s="163" t="e">
        <f>SUM(AD44:AD44)</f>
        <v>#DIV/0!</v>
      </c>
      <c r="AE43" s="163">
        <f>'насел.'!AE43+пільги!AE43+субсидії!AE43+'держ.бюджет'!AE43+'місц.-районн.бюджет'!AE43+областной!AE43+інші!AE43</f>
        <v>0</v>
      </c>
      <c r="AF43" s="163">
        <f>'насел.'!AF43+пільги!AF43+субсидії!AF43+'держ.бюджет'!AF43+'місц.-районн.бюджет'!AF43+областной!AF43+інші!AF43</f>
        <v>0</v>
      </c>
      <c r="AG43" s="164" t="e">
        <f t="shared" si="7"/>
        <v>#DIV/0!</v>
      </c>
      <c r="AH43" s="163">
        <f>'насел.'!AH43+пільги!AH43+субсидії!AH43+'держ.бюджет'!AH43+'місц.-районн.бюджет'!AH43+областной!AH43+інші!AH43</f>
        <v>0</v>
      </c>
      <c r="AI43" s="163">
        <f>'насел.'!AI43+пільги!AI43+субсидії!AI43+'держ.бюджет'!AI43+'місц.-районн.бюджет'!AI43+областной!AI43+інші!AI43</f>
        <v>0</v>
      </c>
      <c r="AJ43" s="164" t="e">
        <f t="shared" si="8"/>
        <v>#DIV/0!</v>
      </c>
      <c r="AK43" s="163">
        <f>'насел.'!AK43+пільги!AJ43+субсидії!AK43+'держ.бюджет'!AK43+'місц.-районн.бюджет'!AK43+областной!AK43+інші!AK43</f>
        <v>0</v>
      </c>
      <c r="AL43" s="163">
        <f>'насел.'!AL43+пільги!AK43+субсидії!AL43+'держ.бюджет'!AL43+'місц.-районн.бюджет'!AL43+областной!AL43+інші!AL43</f>
        <v>0</v>
      </c>
      <c r="AM43" s="163" t="e">
        <f t="shared" si="9"/>
        <v>#DIV/0!</v>
      </c>
      <c r="AN43" s="163">
        <f>'насел.'!AN43+пільги!AM43+субсидії!AN43+'держ.бюджет'!AN43+'місц.-районн.бюджет'!AN43+областной!AN43+інші!AN43</f>
        <v>0</v>
      </c>
      <c r="AO43" s="163">
        <f>'насел.'!AO43+пільги!AN43+субсидії!AO43+'держ.бюджет'!AO43+'місц.-районн.бюджет'!AO43+областной!AO43+інші!AO43</f>
        <v>0</v>
      </c>
      <c r="AP43" s="163">
        <f>'насел.'!AP43+пільги!AO43+субсидії!AP43+'держ.бюджет'!AP43+'місц.-районн.бюджет'!AP43+областной!AP43+інші!AP43</f>
        <v>0</v>
      </c>
      <c r="AQ43" s="163">
        <f>'насел.'!AQ43+пільги!AP43+субсидії!AQ43+'держ.бюджет'!AQ43+'місц.-районн.бюджет'!AQ43+областной!AQ43+інші!AQ43</f>
        <v>0</v>
      </c>
      <c r="AR43" s="163">
        <f>'насел.'!AR43+пільги!AQ43+субсидії!AR43+'держ.бюджет'!AR43+'місц.-районн.бюджет'!AR43+областной!AR43+інші!AR43</f>
        <v>0</v>
      </c>
      <c r="AS43" s="163">
        <f>'насел.'!AS43+пільги!AR43+субсидії!AS43+'держ.бюджет'!AS43+'місц.-районн.бюджет'!AS43+областной!AS43+інші!AS43</f>
        <v>0</v>
      </c>
      <c r="AT43" s="163">
        <f>'насел.'!AT43+пільги!AS43+субсидії!AT43+'держ.бюджет'!AT43+'місц.-районн.бюджет'!AT43+областной!AT43+інші!AT43</f>
        <v>1191378.1</v>
      </c>
      <c r="AU43" s="163">
        <f>'насел.'!AU43+пільги!AT43+субсидії!AU43+'держ.бюджет'!AU43+'місц.-районн.бюджет'!AU43+областной!AU43+інші!AU43</f>
        <v>790593.2000000001</v>
      </c>
      <c r="AV43" s="164">
        <f t="shared" si="10"/>
        <v>66.35955453604527</v>
      </c>
      <c r="AW43" s="163">
        <f>SUM(AW44:AW44)</f>
        <v>400784.9</v>
      </c>
      <c r="AX43" s="163">
        <f>SUM(AX44:AX44)</f>
        <v>1737359.8</v>
      </c>
      <c r="AY43" s="165">
        <f t="shared" si="13"/>
        <v>1191378.1</v>
      </c>
      <c r="AZ43" s="165">
        <f t="shared" si="14"/>
        <v>790593.2000000001</v>
      </c>
      <c r="BA43" s="165">
        <f t="shared" si="15"/>
        <v>400784.9</v>
      </c>
      <c r="BB43" s="165">
        <f t="shared" si="16"/>
        <v>1737359.7999999998</v>
      </c>
    </row>
    <row r="44" spans="1:54" s="166" customFormat="1" ht="34.5" customHeight="1">
      <c r="A44" s="161"/>
      <c r="B44" s="186" t="s">
        <v>67</v>
      </c>
      <c r="C44" s="163">
        <f>'насел.'!C44+пільги!C44+субсидії!C44+'держ.бюджет'!C44+'місц.-районн.бюджет'!C44+областной!C44+інші!C44</f>
        <v>1336574.9</v>
      </c>
      <c r="D44" s="163">
        <f>'насел.'!D44+пільги!D44+субсидії!D44+'держ.бюджет'!D44+'місц.-районн.бюджет'!D44+областной!D44+інші!D44</f>
        <v>175493.9</v>
      </c>
      <c r="E44" s="163">
        <f>'насел.'!E44+пільги!E44+субсидії!E44+'держ.бюджет'!E44+'місц.-районн.бюджет'!E44+областной!E44+інші!E44</f>
        <v>121087.29999999999</v>
      </c>
      <c r="F44" s="164">
        <f t="shared" si="0"/>
        <v>68.99801075706904</v>
      </c>
      <c r="G44" s="163">
        <f>'насел.'!G44+пільги!G44+субсидії!G44+'держ.бюджет'!G44+'місц.-районн.бюджет'!G44+областной!G44+інші!G44</f>
        <v>204482</v>
      </c>
      <c r="H44" s="163">
        <f>'насел.'!H44+пільги!H44+субсидії!H44+'держ.бюджет'!H44+'місц.-районн.бюджет'!H44+областной!H44+інші!H44</f>
        <v>117133.4</v>
      </c>
      <c r="I44" s="164">
        <f t="shared" si="1"/>
        <v>57.28298823368316</v>
      </c>
      <c r="J44" s="163">
        <f>'насел.'!J44+пільги!J44+субсидії!J44+'держ.бюджет'!J44+'місц.-районн.бюджет'!J44+областной!J44+інші!J44</f>
        <v>208490.1</v>
      </c>
      <c r="K44" s="163">
        <f>'насел.'!K44+пільги!K44+субсидії!K44+'держ.бюджет'!K44+'місц.-районн.бюджет'!K44+областной!K44+інші!K44</f>
        <v>128283.29999999999</v>
      </c>
      <c r="L44" s="164">
        <f t="shared" si="17"/>
        <v>61.529684143275865</v>
      </c>
      <c r="M44" s="164">
        <f>'насел.'!M44+пільги!M44+субсидії!M44+'держ.бюджет'!M44+'місц.-районн.бюджет'!M44+областной!M44+інші!M44</f>
        <v>588466</v>
      </c>
      <c r="N44" s="164">
        <f>'насел.'!N44+пільги!N44+субсидії!N44+'держ.бюджет'!N44+'місц.-районн.бюджет'!N44+областной!N44+інші!N44</f>
        <v>366504</v>
      </c>
      <c r="O44" s="164">
        <f t="shared" si="11"/>
        <v>62.28125329245869</v>
      </c>
      <c r="P44" s="163">
        <f>'насел.'!P44+пільги!P44+субсидії!P44+'держ.бюджет'!P44+'місц.-районн.бюджет'!P44+областной!P44+інші!P44</f>
        <v>204101.7</v>
      </c>
      <c r="Q44" s="163">
        <f>'насел.'!Q44+пільги!Q44+субсидії!Q44+'держ.бюджет'!Q44+'місц.-районн.бюджет'!Q44+областной!Q44+інші!Q44</f>
        <v>137513.3</v>
      </c>
      <c r="R44" s="163">
        <f t="shared" si="12"/>
        <v>67.37489202686699</v>
      </c>
      <c r="S44" s="163">
        <f>'насел.'!S44+пільги!S44+субсидії!S44+'держ.бюджет'!S44+'місц.-районн.бюджет'!S44+областной!S44+інші!S44</f>
        <v>203060.09999999998</v>
      </c>
      <c r="T44" s="163">
        <f>'насел.'!T44+пільги!T44+субсидії!T44+'держ.бюджет'!T44+'місц.-районн.бюджет'!T44+областной!T44+інші!T44</f>
        <v>141402.7</v>
      </c>
      <c r="U44" s="164">
        <f>T44/S44*100</f>
        <v>69.63588612435433</v>
      </c>
      <c r="V44" s="163">
        <f>'насел.'!V44+пільги!V44+субсидії!V44+'держ.бюджет'!V44+'місц.-районн.бюджет'!V44+областной!V44+інші!V44</f>
        <v>195750.30000000002</v>
      </c>
      <c r="W44" s="163">
        <f>'насел.'!W44+пільги!W44+субсидії!W44+'держ.бюджет'!W44+'місц.-районн.бюджет'!W44+областной!W44+інші!W44</f>
        <v>145173.19999999998</v>
      </c>
      <c r="X44" s="164">
        <f>W44/V44*100</f>
        <v>74.1624406195035</v>
      </c>
      <c r="Y44" s="163">
        <f>'насел.'!Y44+пільги!Y44+субсидії!Y44+'держ.бюджет'!Y44+'місц.-районн.бюджет'!Y44+областной!Y44+інші!Y44</f>
        <v>602912.1</v>
      </c>
      <c r="Z44" s="163">
        <f>'насел.'!Z44+пільги!Z44+субсидії!Z44+'держ.бюджет'!Z44+'місц.-районн.бюджет'!Z44+областной!Z44+інші!Z44</f>
        <v>424089.20000000007</v>
      </c>
      <c r="AA44" s="164">
        <f t="shared" si="20"/>
        <v>70.34013747609313</v>
      </c>
      <c r="AB44" s="163">
        <f>'насел.'!AB44+пільги!AB44+субсидії!AB44+'держ.бюджет'!AB44+'місц.-районн.бюджет'!AB44+областной!AB44+інші!AB44</f>
        <v>0</v>
      </c>
      <c r="AC44" s="163">
        <f>'насел.'!AC44+пільги!AC44+субсидії!AC44+'держ.бюджет'!AC44+'місц.-районн.бюджет'!AC44+областной!AC44+інші!AC44</f>
        <v>0</v>
      </c>
      <c r="AD44" s="164" t="e">
        <f>AC44/AB44*100</f>
        <v>#DIV/0!</v>
      </c>
      <c r="AE44" s="163">
        <f>'насел.'!AE44+пільги!AE44+субсидії!AE44+'держ.бюджет'!AE44+'місц.-районн.бюджет'!AE44+областной!AE44+інші!AE44</f>
        <v>0</v>
      </c>
      <c r="AF44" s="163">
        <f>'насел.'!AF44+пільги!AF44+субсидії!AF44+'держ.бюджет'!AF44+'місц.-районн.бюджет'!AF44+областной!AF44+інші!AF44</f>
        <v>0</v>
      </c>
      <c r="AG44" s="164" t="e">
        <f t="shared" si="7"/>
        <v>#DIV/0!</v>
      </c>
      <c r="AH44" s="163">
        <f>'насел.'!AH44+пільги!AH44+субсидії!AH44+'держ.бюджет'!AH44+'місц.-районн.бюджет'!AH44+областной!AH44+інші!AH44</f>
        <v>0</v>
      </c>
      <c r="AI44" s="163">
        <f>'насел.'!AI44+пільги!AI44+субсидії!AI44+'держ.бюджет'!AI44+'місц.-районн.бюджет'!AI44+областной!AI44+інші!AI44</f>
        <v>0</v>
      </c>
      <c r="AJ44" s="164" t="e">
        <f t="shared" si="8"/>
        <v>#DIV/0!</v>
      </c>
      <c r="AK44" s="163">
        <f>'насел.'!AK44+пільги!AJ44+субсидії!AK44+'держ.бюджет'!AK44+'місц.-районн.бюджет'!AK44+областной!AK44+інші!AK44</f>
        <v>0</v>
      </c>
      <c r="AL44" s="163">
        <f>'насел.'!AL44+пільги!AK44+субсидії!AL44+'держ.бюджет'!AL44+'місц.-районн.бюджет'!AL44+областной!AL44+інші!AL44</f>
        <v>0</v>
      </c>
      <c r="AM44" s="163" t="e">
        <f t="shared" si="9"/>
        <v>#DIV/0!</v>
      </c>
      <c r="AN44" s="163">
        <f>'насел.'!AN44+пільги!AM44+субсидії!AN44+'держ.бюджет'!AN44+'місц.-районн.бюджет'!AN44+областной!AN44+інші!AN44</f>
        <v>0</v>
      </c>
      <c r="AO44" s="163">
        <f>'насел.'!AO44+пільги!AN44+субсидії!AO44+'держ.бюджет'!AO44+'місц.-районн.бюджет'!AO44+областной!AO44+інші!AO44</f>
        <v>0</v>
      </c>
      <c r="AP44" s="163">
        <f>'насел.'!AP44+пільги!AO44+субсидії!AP44+'держ.бюджет'!AP44+'місц.-районн.бюджет'!AP44+областной!AP44+інші!AP44</f>
        <v>0</v>
      </c>
      <c r="AQ44" s="163">
        <f>'насел.'!AQ44+пільги!AP44+субсидії!AQ44+'держ.бюджет'!AQ44+'місц.-районн.бюджет'!AQ44+областной!AQ44+інші!AQ44</f>
        <v>0</v>
      </c>
      <c r="AR44" s="163">
        <f>'насел.'!AR44+пільги!AQ44+субсидії!AR44+'держ.бюджет'!AR44+'місц.-районн.бюджет'!AR44+областной!AR44+інші!AR44</f>
        <v>0</v>
      </c>
      <c r="AS44" s="163">
        <f>'насел.'!AS44+пільги!AR44+субсидії!AS44+'держ.бюджет'!AS44+'місц.-районн.бюджет'!AS44+областной!AS44+інші!AS44</f>
        <v>0</v>
      </c>
      <c r="AT44" s="163">
        <f>'насел.'!AT44+пільги!AS44+субсидії!AT44+'держ.бюджет'!AT44+'місц.-районн.бюджет'!AT44+областной!AT44+інші!AT44</f>
        <v>1191378.1</v>
      </c>
      <c r="AU44" s="163">
        <f>'насел.'!AU44+пільги!AT44+субсидії!AU44+'держ.бюджет'!AU44+'місц.-районн.бюджет'!AU44+областной!AU44+інші!AU44</f>
        <v>790593.2000000001</v>
      </c>
      <c r="AV44" s="164">
        <f t="shared" si="10"/>
        <v>66.35955453604527</v>
      </c>
      <c r="AW44" s="164">
        <f>AT44-AU44</f>
        <v>400784.9</v>
      </c>
      <c r="AX44" s="163">
        <f>'насел.'!AX44+пільги!AW44+субсидії!AX44+'держ.бюджет'!AX44+'місц.-районн.бюджет'!AX44+областной!AX44+інші!AX44</f>
        <v>1737359.8</v>
      </c>
      <c r="AY44" s="165">
        <f t="shared" si="13"/>
        <v>1191378.1</v>
      </c>
      <c r="AZ44" s="165">
        <f t="shared" si="14"/>
        <v>790593.2000000001</v>
      </c>
      <c r="BA44" s="165">
        <f t="shared" si="15"/>
        <v>400784.9</v>
      </c>
      <c r="BB44" s="165">
        <f t="shared" si="16"/>
        <v>1737359.7999999998</v>
      </c>
    </row>
    <row r="45" spans="1:54" ht="34.5" customHeight="1">
      <c r="A45" s="167"/>
      <c r="B45" s="185" t="s">
        <v>90</v>
      </c>
      <c r="C45" s="163">
        <f>'насел.'!C45+пільги!C45+субсидії!C45+'держ.бюджет'!C45+'місц.-районн.бюджет'!C45+областной!C45+інші!C45</f>
        <v>1429482</v>
      </c>
      <c r="D45" s="163">
        <f>'насел.'!D45+пільги!D45+субсидії!D45+'держ.бюджет'!D45+'місц.-районн.бюджет'!D45+областной!D45+інші!D45</f>
        <v>213132.3</v>
      </c>
      <c r="E45" s="163">
        <f>'насел.'!E45+пільги!E45+субсидії!E45+'держ.бюджет'!E45+'місц.-районн.бюджет'!E45+областной!E45+інші!E45</f>
        <v>154094.30000000002</v>
      </c>
      <c r="F45" s="164">
        <f t="shared" si="0"/>
        <v>72.29983442209371</v>
      </c>
      <c r="G45" s="163">
        <f>'насел.'!G45+пільги!G45+субсидії!G45+'держ.бюджет'!G45+'місц.-районн.бюджет'!G45+областной!G45+інші!G45</f>
        <v>241804.21999999997</v>
      </c>
      <c r="H45" s="163">
        <f>'насел.'!H45+пільги!H45+субсидії!H45+'держ.бюджет'!H45+'місц.-районн.бюджет'!H45+областной!H45+інші!H45</f>
        <v>154292.38</v>
      </c>
      <c r="I45" s="164">
        <f t="shared" si="1"/>
        <v>63.80880366769448</v>
      </c>
      <c r="J45" s="163">
        <f>'насел.'!J45+пільги!J45+субсидії!J45+'держ.бюджет'!J45+'місц.-районн.бюджет'!J45+областной!J45+інші!J45</f>
        <v>245870.59446</v>
      </c>
      <c r="K45" s="163">
        <f>'насел.'!K45+пільги!K45+субсидії!K45+'держ.бюджет'!K45+'місц.-районн.бюджет'!K45+областной!K45+інші!K45</f>
        <v>161094.97619</v>
      </c>
      <c r="L45" s="164">
        <f t="shared" si="17"/>
        <v>65.52022886014865</v>
      </c>
      <c r="M45" s="164">
        <f>'насел.'!M45+пільги!M45+субсидії!M45+'держ.бюджет'!M45+'місц.-районн.бюджет'!M45+областной!M45+інші!M45</f>
        <v>700807.11446</v>
      </c>
      <c r="N45" s="164">
        <f>'насел.'!N45+пільги!N45+субсидії!N45+'держ.бюджет'!N45+'місц.-районн.бюджет'!N45+областной!N45+інші!N45</f>
        <v>469481.65619</v>
      </c>
      <c r="O45" s="164">
        <f t="shared" si="11"/>
        <v>66.99156536841873</v>
      </c>
      <c r="P45" s="163">
        <f>'насел.'!P45+пільги!P45+субсидії!P45+'держ.бюджет'!P45+'місц.-районн.бюджет'!P45+областной!P45+інші!P45</f>
        <v>240202.89570999995</v>
      </c>
      <c r="Q45" s="163">
        <f>'насел.'!Q45+пільги!Q45+субсидії!Q45+'держ.бюджет'!Q45+'місц.-районн.бюджет'!Q45+областной!Q45+інші!Q45</f>
        <v>168473.8102</v>
      </c>
      <c r="R45" s="163">
        <f t="shared" si="12"/>
        <v>70.13812622950249</v>
      </c>
      <c r="S45" s="163">
        <f>'насел.'!S45+пільги!S45+субсидії!S45+'держ.бюджет'!S45+'місц.-районн.бюджет'!S45+областной!S45+інші!S45</f>
        <v>240570.69999999995</v>
      </c>
      <c r="T45" s="163">
        <f>'насел.'!T45+пільги!T45+субсидії!T45+'держ.бюджет'!T45+'місц.-районн.бюджет'!T45+областной!T45+інші!T45</f>
        <v>174719.19999999998</v>
      </c>
      <c r="U45" s="164">
        <f>T45/S45*100</f>
        <v>72.62696579425509</v>
      </c>
      <c r="V45" s="163">
        <f>'насел.'!V45+пільги!V45+субсидії!V45+'держ.бюджет'!V45+'місц.-районн.бюджет'!V45+областной!V45+інші!V45</f>
        <v>234131.10000000003</v>
      </c>
      <c r="W45" s="163">
        <f>'насел.'!W45+пільги!W45+субсидії!W45+'держ.бюджет'!W45+'місц.-районн.бюджет'!W45+областной!W45+інші!W45</f>
        <v>181638.9</v>
      </c>
      <c r="X45" s="164">
        <f>W45/V45*100</f>
        <v>77.5799968479198</v>
      </c>
      <c r="Y45" s="163">
        <f>'насел.'!Y45+пільги!Y45+субсидії!Y45+'держ.бюджет'!Y45+'місц.-районн.бюджет'!Y45+областной!Y45+інші!Y45</f>
        <v>714904.69571</v>
      </c>
      <c r="Z45" s="163">
        <f>'насел.'!Z45+пільги!Z45+субсидії!Z45+'держ.бюджет'!Z45+'місц.-районн.бюджет'!Z45+областной!Z45+інші!Z45</f>
        <v>524831.9102</v>
      </c>
      <c r="AA45" s="164">
        <f t="shared" si="20"/>
        <v>73.4128497615712</v>
      </c>
      <c r="AB45" s="163">
        <f>'насел.'!AB45+пільги!AB45+субсидії!AB45+'держ.бюджет'!AB45+'місц.-районн.бюджет'!AB45+областной!AB45+інші!AB45</f>
        <v>0</v>
      </c>
      <c r="AC45" s="163">
        <f>'насел.'!AC45+пільги!AC45+субсидії!AC45+'держ.бюджет'!AC45+'місц.-районн.бюджет'!AC45+областной!AC45+інші!AC45</f>
        <v>0</v>
      </c>
      <c r="AD45" s="164" t="e">
        <f>AC45/AB45*100</f>
        <v>#DIV/0!</v>
      </c>
      <c r="AE45" s="163">
        <f>'насел.'!AE45+пільги!AE45+субсидії!AE45+'держ.бюджет'!AE45+'місц.-районн.бюджет'!AE45+областной!AE45+інші!AE45</f>
        <v>0</v>
      </c>
      <c r="AF45" s="163">
        <f>'насел.'!AF45+пільги!AF45+субсидії!AF45+'держ.бюджет'!AF45+'місц.-районн.бюджет'!AF45+областной!AF45+інші!AF45</f>
        <v>0</v>
      </c>
      <c r="AG45" s="164" t="e">
        <f t="shared" si="7"/>
        <v>#DIV/0!</v>
      </c>
      <c r="AH45" s="163">
        <f>'насел.'!AH45+пільги!AH45+субсидії!AH45+'держ.бюджет'!AH45+'місц.-районн.бюджет'!AH45+областной!AH45+інші!AH45</f>
        <v>0</v>
      </c>
      <c r="AI45" s="163">
        <f>'насел.'!AI45+пільги!AI45+субсидії!AI45+'держ.бюджет'!AI45+'місц.-районн.бюджет'!AI45+областной!AI45+інші!AI45</f>
        <v>0</v>
      </c>
      <c r="AJ45" s="164" t="e">
        <f t="shared" si="8"/>
        <v>#DIV/0!</v>
      </c>
      <c r="AK45" s="163">
        <f>'насел.'!AK45+пільги!AJ45+субсидії!AK45+'держ.бюджет'!AK45+'місц.-районн.бюджет'!AK45+областной!AK45+інші!AK45</f>
        <v>0</v>
      </c>
      <c r="AL45" s="163">
        <f>'насел.'!AL45+пільги!AK45+субсидії!AL45+'держ.бюджет'!AL45+'місц.-районн.бюджет'!AL45+областной!AL45+інші!AL45</f>
        <v>0</v>
      </c>
      <c r="AM45" s="163" t="e">
        <f t="shared" si="9"/>
        <v>#DIV/0!</v>
      </c>
      <c r="AN45" s="163">
        <f>'насел.'!AN45+пільги!AM45+субсидії!AN45+'держ.бюджет'!AN45+'місц.-районн.бюджет'!AN45+областной!AN45+інші!AN45</f>
        <v>0</v>
      </c>
      <c r="AO45" s="163">
        <f>'насел.'!AO45+пільги!AN45+субсидії!AO45+'держ.бюджет'!AO45+'місц.-районн.бюджет'!AO45+областной!AO45+інші!AO45</f>
        <v>0</v>
      </c>
      <c r="AP45" s="163">
        <f>'насел.'!AP45+пільги!AO45+субсидії!AP45+'держ.бюджет'!AP45+'місц.-районн.бюджет'!AP45+областной!AP45+інші!AP45</f>
        <v>0</v>
      </c>
      <c r="AQ45" s="163">
        <f>'насел.'!AQ45+пільги!AP45+субсидії!AQ45+'держ.бюджет'!AQ45+'місц.-районн.бюджет'!AQ45+областной!AQ45+інші!AQ45</f>
        <v>0</v>
      </c>
      <c r="AR45" s="163">
        <f>'насел.'!AR45+пільги!AQ45+субсидії!AR45+'держ.бюджет'!AR45+'місц.-районн.бюджет'!AR45+областной!AR45+інші!AR45</f>
        <v>0</v>
      </c>
      <c r="AS45" s="163">
        <f>'насел.'!AS45+пільги!AR45+субсидії!AS45+'держ.бюджет'!AS45+'місц.-районн.бюджет'!AS45+областной!AS45+інші!AS45</f>
        <v>0</v>
      </c>
      <c r="AT45" s="163">
        <f>'насел.'!AT45+пільги!AS45+субсидії!AT45+'держ.бюджет'!AT45+'місц.-районн.бюджет'!AT45+областной!AT45+інші!AT45</f>
        <v>1415711.81017</v>
      </c>
      <c r="AU45" s="163">
        <f>'насел.'!AU45+пільги!AT45+субсидії!AU45+'держ.бюджет'!AU45+'місц.-районн.бюджет'!AU45+областной!AU45+інші!AU45</f>
        <v>994313.5663899999</v>
      </c>
      <c r="AV45" s="164">
        <f t="shared" si="10"/>
        <v>70.23417896546344</v>
      </c>
      <c r="AW45" s="163">
        <f>'насел.'!AW45+пільги!AV45+субсидії!AW45+'держ.бюджет'!AW45+'місц.-районн.бюджет'!AW45+областной!AW45+інші!AW45</f>
        <v>421397.44377999986</v>
      </c>
      <c r="AX45" s="163">
        <f>'насел.'!AX45+пільги!AW45+субсидії!AX45+'держ.бюджет'!AX45+'місц.-районн.бюджет'!AX45+областной!AX45+інші!AX45</f>
        <v>1850880.2437800001</v>
      </c>
      <c r="AY45" s="165">
        <f t="shared" si="13"/>
        <v>1415711.81017</v>
      </c>
      <c r="AZ45" s="165">
        <f t="shared" si="14"/>
        <v>994313.56639</v>
      </c>
      <c r="BA45" s="165">
        <f t="shared" si="15"/>
        <v>421398.2437799999</v>
      </c>
      <c r="BB45" s="165">
        <f t="shared" si="16"/>
        <v>1850880.24378</v>
      </c>
    </row>
    <row r="46" spans="1:54" s="173" customFormat="1" ht="57.75" customHeight="1">
      <c r="A46" s="187"/>
      <c r="B46" s="227" t="s">
        <v>93</v>
      </c>
      <c r="C46" s="227"/>
      <c r="D46" s="227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9" t="s">
        <v>94</v>
      </c>
      <c r="AY46" s="190"/>
      <c r="AZ46" s="190"/>
      <c r="BA46" s="191"/>
      <c r="BB46" s="191"/>
    </row>
    <row r="47" spans="1:62" ht="3.75" customHeight="1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56">
        <f>SUM(AY7:AY44)</f>
        <v>2848225.9870300004</v>
      </c>
      <c r="AZ47" s="193"/>
      <c r="BH47" s="166"/>
      <c r="BI47" s="166"/>
      <c r="BJ47" s="194"/>
    </row>
    <row r="48" spans="2:50" ht="32.25" customHeight="1" hidden="1">
      <c r="B48" s="195"/>
      <c r="C48" s="196" t="e">
        <f>'насел.'!C45+пільги!C45+субсидії!C45+'держ.бюджет'!C45+областной!C45+'місц.-районн.бюджет'!C45+#REF!+інші!C45</f>
        <v>#REF!</v>
      </c>
      <c r="D48" s="197"/>
      <c r="E48" s="197"/>
      <c r="F48" s="197"/>
      <c r="G48" s="198"/>
      <c r="H48" s="198"/>
      <c r="I48" s="199"/>
      <c r="J48" s="198"/>
      <c r="K48" s="198"/>
      <c r="L48" s="199"/>
      <c r="M48" s="199"/>
      <c r="N48" s="199"/>
      <c r="O48" s="199"/>
      <c r="P48" s="196"/>
      <c r="Q48" s="196"/>
      <c r="R48" s="197"/>
      <c r="S48" s="196"/>
      <c r="T48" s="196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6"/>
      <c r="AU48" s="196"/>
      <c r="AV48" s="197"/>
      <c r="AW48" s="196"/>
      <c r="AX48" s="196" t="e">
        <f>#REF!-#REF!</f>
        <v>#REF!</v>
      </c>
    </row>
    <row r="49" spans="1:63" s="166" customFormat="1" ht="25.5" customHeight="1">
      <c r="A49" s="200"/>
      <c r="B49" s="200"/>
      <c r="C49" s="201"/>
      <c r="D49" s="199"/>
      <c r="E49" s="199"/>
      <c r="F49" s="199"/>
      <c r="G49" s="198"/>
      <c r="H49" s="198"/>
      <c r="I49" s="199"/>
      <c r="J49" s="198"/>
      <c r="K49" s="198"/>
      <c r="L49" s="199"/>
      <c r="M49" s="199"/>
      <c r="N49" s="199"/>
      <c r="O49" s="199"/>
      <c r="P49" s="198"/>
      <c r="Q49" s="198"/>
      <c r="R49" s="199"/>
      <c r="S49" s="198"/>
      <c r="T49" s="198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>
        <f>C45+AT45-AU45</f>
        <v>1850880.2437800001</v>
      </c>
      <c r="AZ49" s="199"/>
      <c r="BA49" s="199"/>
      <c r="BB49" s="199"/>
      <c r="BC49" s="199"/>
      <c r="BD49" s="199"/>
      <c r="BE49" s="198"/>
      <c r="BF49" s="150"/>
      <c r="BG49" s="150"/>
      <c r="BH49" s="202"/>
      <c r="BI49" s="150"/>
      <c r="BK49" s="150"/>
    </row>
    <row r="50" spans="1:63" s="166" customFormat="1" ht="19.5" customHeight="1" hidden="1">
      <c r="A50" s="203"/>
      <c r="B50" s="166" t="s">
        <v>70</v>
      </c>
      <c r="C50" s="201"/>
      <c r="D50" s="199"/>
      <c r="E50" s="199"/>
      <c r="F50" s="199"/>
      <c r="G50" s="194"/>
      <c r="H50" s="194"/>
      <c r="I50" s="204"/>
      <c r="J50" s="194"/>
      <c r="K50" s="194"/>
      <c r="L50" s="204"/>
      <c r="M50" s="204"/>
      <c r="N50" s="204"/>
      <c r="O50" s="204"/>
      <c r="P50" s="198"/>
      <c r="Q50" s="198"/>
      <c r="R50" s="199"/>
      <c r="S50" s="198"/>
      <c r="T50" s="198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8"/>
      <c r="BF50" s="150"/>
      <c r="BG50" s="150"/>
      <c r="BH50" s="202"/>
      <c r="BI50" s="150"/>
      <c r="BK50" s="150"/>
    </row>
    <row r="51" spans="1:63" s="166" customFormat="1" ht="7.5" customHeight="1" hidden="1">
      <c r="A51" s="200"/>
      <c r="C51" s="201"/>
      <c r="D51" s="199"/>
      <c r="E51" s="199"/>
      <c r="F51" s="199"/>
      <c r="G51" s="205"/>
      <c r="H51" s="205"/>
      <c r="I51" s="206"/>
      <c r="J51" s="205"/>
      <c r="K51" s="205"/>
      <c r="L51" s="206"/>
      <c r="M51" s="206"/>
      <c r="N51" s="206"/>
      <c r="O51" s="206"/>
      <c r="P51" s="198"/>
      <c r="Q51" s="198"/>
      <c r="R51" s="199"/>
      <c r="S51" s="198"/>
      <c r="T51" s="198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8"/>
      <c r="BF51" s="150"/>
      <c r="BG51" s="150"/>
      <c r="BH51" s="202"/>
      <c r="BI51" s="150"/>
      <c r="BK51" s="150"/>
    </row>
    <row r="52" spans="1:63" s="166" customFormat="1" ht="19.5" customHeight="1" hidden="1">
      <c r="A52" s="203"/>
      <c r="B52" s="166" t="s">
        <v>71</v>
      </c>
      <c r="C52" s="201"/>
      <c r="D52" s="199"/>
      <c r="E52" s="199"/>
      <c r="F52" s="199"/>
      <c r="G52" s="207"/>
      <c r="H52" s="207"/>
      <c r="I52" s="208"/>
      <c r="J52" s="207"/>
      <c r="K52" s="207"/>
      <c r="L52" s="208"/>
      <c r="M52" s="208"/>
      <c r="N52" s="208"/>
      <c r="O52" s="208"/>
      <c r="P52" s="198"/>
      <c r="Q52" s="198"/>
      <c r="R52" s="199"/>
      <c r="S52" s="198"/>
      <c r="T52" s="198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8"/>
      <c r="BF52" s="150"/>
      <c r="BG52" s="150"/>
      <c r="BH52" s="202"/>
      <c r="BI52" s="150"/>
      <c r="BK52" s="150"/>
    </row>
    <row r="53" spans="1:63" ht="24.75" customHeight="1">
      <c r="A53" s="143"/>
      <c r="C53" s="209"/>
      <c r="D53" s="204"/>
      <c r="E53" s="204"/>
      <c r="F53" s="204"/>
      <c r="P53" s="194"/>
      <c r="Q53" s="194"/>
      <c r="R53" s="204"/>
      <c r="S53" s="194"/>
      <c r="T53" s="19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194"/>
      <c r="AU53" s="194"/>
      <c r="AV53" s="204"/>
      <c r="AW53" s="194"/>
      <c r="AX53" s="194"/>
      <c r="AY53" s="194"/>
      <c r="AZ53" s="194"/>
      <c r="BA53" s="194"/>
      <c r="BB53" s="194"/>
      <c r="BC53" s="194"/>
      <c r="BD53" s="194"/>
      <c r="BE53" s="194"/>
      <c r="BF53" s="151"/>
      <c r="BG53" s="151"/>
      <c r="BH53" s="210"/>
      <c r="BI53" s="151"/>
      <c r="BK53" s="151"/>
    </row>
    <row r="54" spans="1:51" s="215" customFormat="1" ht="42" customHeight="1">
      <c r="A54" s="211"/>
      <c r="B54" s="225" t="s">
        <v>76</v>
      </c>
      <c r="C54" s="225"/>
      <c r="D54" s="206"/>
      <c r="E54" s="206"/>
      <c r="F54" s="206"/>
      <c r="G54" s="143"/>
      <c r="H54" s="143"/>
      <c r="I54" s="166"/>
      <c r="J54" s="143"/>
      <c r="K54" s="143"/>
      <c r="L54" s="166"/>
      <c r="M54" s="166"/>
      <c r="N54" s="166"/>
      <c r="O54" s="166"/>
      <c r="P54" s="205"/>
      <c r="Q54" s="205"/>
      <c r="R54" s="206"/>
      <c r="S54" s="205"/>
      <c r="T54" s="205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5"/>
      <c r="AU54" s="205"/>
      <c r="AV54" s="206"/>
      <c r="AW54" s="212" t="s">
        <v>75</v>
      </c>
      <c r="AX54" s="213"/>
      <c r="AY54" s="214"/>
    </row>
    <row r="55" spans="1:50" ht="73.5" customHeight="1" hidden="1">
      <c r="A55" s="224" t="s">
        <v>72</v>
      </c>
      <c r="B55" s="224"/>
      <c r="C55" s="216"/>
      <c r="D55" s="208"/>
      <c r="E55" s="208"/>
      <c r="F55" s="208"/>
      <c r="P55" s="207"/>
      <c r="Q55" s="207"/>
      <c r="R55" s="208"/>
      <c r="S55" s="207"/>
      <c r="T55" s="207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7"/>
      <c r="AU55" s="207"/>
      <c r="AV55" s="208"/>
      <c r="AX55" s="217" t="s">
        <v>73</v>
      </c>
    </row>
  </sheetData>
  <sheetProtection/>
  <mergeCells count="24">
    <mergeCell ref="B2:AX3"/>
    <mergeCell ref="B46:D46"/>
    <mergeCell ref="D1:AX1"/>
    <mergeCell ref="B4:C4"/>
    <mergeCell ref="S5:U5"/>
    <mergeCell ref="Y5:AA5"/>
    <mergeCell ref="P5:R5"/>
    <mergeCell ref="AX5:AX6"/>
    <mergeCell ref="AW5:AW6"/>
    <mergeCell ref="AT5:AV5"/>
    <mergeCell ref="A55:B55"/>
    <mergeCell ref="B54:C54"/>
    <mergeCell ref="AK5:AM5"/>
    <mergeCell ref="G5:I5"/>
    <mergeCell ref="AN5:AO5"/>
    <mergeCell ref="J5:L5"/>
    <mergeCell ref="AB5:AD5"/>
    <mergeCell ref="AH5:AJ5"/>
    <mergeCell ref="AP5:AQ5"/>
    <mergeCell ref="M5:O5"/>
    <mergeCell ref="D5:F5"/>
    <mergeCell ref="V5:X5"/>
    <mergeCell ref="AR5:AS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34" r:id="rId1"/>
  <rowBreaks count="1" manualBreakCount="1">
    <brk id="30" min="1" max="48" man="1"/>
  </rowBreaks>
  <colBreaks count="1" manualBreakCount="1">
    <brk id="4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tabSelected="1" view="pageBreakPreview" zoomScale="70" zoomScaleNormal="50" zoomScaleSheetLayoutView="70" zoomScalePageLayoutView="0" workbookViewId="0" topLeftCell="A3">
      <pane xSplit="6" ySplit="5" topLeftCell="M37" activePane="bottomRight" state="frozen"/>
      <selection pane="topLeft" activeCell="A3" sqref="A3"/>
      <selection pane="topRight" activeCell="G3" sqref="G3"/>
      <selection pane="bottomLeft" activeCell="A8" sqref="A8"/>
      <selection pane="bottomRight" activeCell="C39" sqref="C39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15" hidden="1" customWidth="1"/>
    <col min="7" max="8" width="14.75390625" style="2" hidden="1" customWidth="1"/>
    <col min="9" max="9" width="11.00390625" style="10" hidden="1" customWidth="1"/>
    <col min="10" max="11" width="14.75390625" style="2" hidden="1" customWidth="1"/>
    <col min="12" max="12" width="11.00390625" style="10" hidden="1" customWidth="1"/>
    <col min="13" max="13" width="15.75390625" style="10" customWidth="1"/>
    <col min="14" max="14" width="14.125" style="10" customWidth="1"/>
    <col min="15" max="15" width="11.00390625" style="10" customWidth="1"/>
    <col min="16" max="17" width="14.75390625" style="2" customWidth="1"/>
    <col min="18" max="18" width="11.00390625" style="10" customWidth="1"/>
    <col min="19" max="20" width="14.75390625" style="2" customWidth="1"/>
    <col min="21" max="21" width="11.00390625" style="10" customWidth="1"/>
    <col min="22" max="22" width="14.75390625" style="10" customWidth="1"/>
    <col min="23" max="23" width="12.125" style="10" customWidth="1"/>
    <col min="24" max="24" width="11.00390625" style="10" customWidth="1"/>
    <col min="25" max="25" width="15.75390625" style="10" hidden="1" customWidth="1"/>
    <col min="26" max="26" width="12.25390625" style="10" hidden="1" customWidth="1"/>
    <col min="27" max="27" width="11.00390625" style="10" hidden="1" customWidth="1"/>
    <col min="28" max="28" width="14.75390625" style="10" hidden="1" customWidth="1"/>
    <col min="29" max="29" width="12.125" style="10" hidden="1" customWidth="1"/>
    <col min="30" max="30" width="11.003906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875" style="10" hidden="1" customWidth="1"/>
    <col min="35" max="35" width="13.25390625" style="10" hidden="1" customWidth="1"/>
    <col min="36" max="36" width="11.75390625" style="10" hidden="1" customWidth="1"/>
    <col min="37" max="37" width="15.75390625" style="10" hidden="1" customWidth="1"/>
    <col min="38" max="38" width="12.25390625" style="10" hidden="1" customWidth="1"/>
    <col min="39" max="39" width="11.00390625" style="10" hidden="1" customWidth="1"/>
    <col min="40" max="40" width="13.875" style="10" hidden="1" customWidth="1"/>
    <col min="41" max="41" width="13.00390625" style="10" hidden="1" customWidth="1"/>
    <col min="42" max="42" width="13.875" style="10" hidden="1" customWidth="1"/>
    <col min="43" max="43" width="13.00390625" style="10" hidden="1" customWidth="1"/>
    <col min="44" max="44" width="13.875" style="10" hidden="1" customWidth="1"/>
    <col min="45" max="45" width="13.625" style="10" hidden="1" customWidth="1"/>
    <col min="46" max="47" width="14.75390625" style="2" customWidth="1"/>
    <col min="48" max="48" width="11.75390625" style="10" customWidth="1"/>
    <col min="49" max="49" width="19.62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15" customHeight="1">
      <c r="I1" s="245" t="s">
        <v>68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</row>
    <row r="2" spans="1:50" s="50" customFormat="1" ht="60" customHeight="1">
      <c r="A2" s="49"/>
      <c r="B2" s="247" t="s">
        <v>116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</row>
    <row r="3" spans="1:50" s="137" customFormat="1" ht="60" customHeight="1">
      <c r="A3" s="13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</row>
    <row r="4" spans="2:50" ht="49.5" customHeight="1">
      <c r="B4" s="246"/>
      <c r="C4" s="246"/>
      <c r="D4" s="246"/>
      <c r="E4" s="246"/>
      <c r="F4" s="2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5"/>
      <c r="AJ5" s="236"/>
      <c r="AK5" s="234" t="s">
        <v>107</v>
      </c>
      <c r="AL5" s="235"/>
      <c r="AM5" s="236"/>
      <c r="AN5" s="234" t="s">
        <v>108</v>
      </c>
      <c r="AO5" s="236"/>
      <c r="AP5" s="234" t="s">
        <v>109</v>
      </c>
      <c r="AQ5" s="236"/>
      <c r="AR5" s="234" t="s">
        <v>110</v>
      </c>
      <c r="AS5" s="236"/>
      <c r="AT5" s="239" t="s">
        <v>111</v>
      </c>
      <c r="AU5" s="240"/>
      <c r="AV5" s="241"/>
      <c r="AW5" s="237" t="s">
        <v>123</v>
      </c>
      <c r="AX5" s="237" t="s">
        <v>124</v>
      </c>
    </row>
    <row r="6" spans="1:50" ht="54.7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11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238"/>
      <c r="AX6" s="238"/>
    </row>
    <row r="7" spans="1:61" s="10" customFormat="1" ht="34.5" customHeight="1">
      <c r="A7" s="8"/>
      <c r="B7" s="111" t="s">
        <v>92</v>
      </c>
      <c r="C7" s="9">
        <f>SUM(C8:C42)-C33-C34</f>
        <v>83620.8</v>
      </c>
      <c r="D7" s="9">
        <f>SUM(D8:D42)-D33-D34</f>
        <v>29483.4</v>
      </c>
      <c r="E7" s="9">
        <f aca="true" t="shared" si="0" ref="E7:AU7">SUM(E8:E42)-E33-E34</f>
        <v>27224.100000000002</v>
      </c>
      <c r="F7" s="51">
        <f aca="true" t="shared" si="1" ref="F7:F31">E7/D7*100</f>
        <v>92.33704389588718</v>
      </c>
      <c r="G7" s="9">
        <f t="shared" si="0"/>
        <v>28365.200000000008</v>
      </c>
      <c r="H7" s="9">
        <f t="shared" si="0"/>
        <v>25925.10000000001</v>
      </c>
      <c r="I7" s="9">
        <f>H7/G7*100</f>
        <v>91.3975575705442</v>
      </c>
      <c r="J7" s="9">
        <f t="shared" si="0"/>
        <v>28919.60444</v>
      </c>
      <c r="K7" s="9">
        <f t="shared" si="0"/>
        <v>23971.268439999996</v>
      </c>
      <c r="L7" s="9">
        <f t="shared" si="0"/>
        <v>2755.898919157286</v>
      </c>
      <c r="M7" s="9">
        <f t="shared" si="0"/>
        <v>86768.20444000002</v>
      </c>
      <c r="N7" s="9">
        <f t="shared" si="0"/>
        <v>77120.46844</v>
      </c>
      <c r="O7" s="9">
        <f>N7/M7*100</f>
        <v>88.88102380098069</v>
      </c>
      <c r="P7" s="9">
        <f t="shared" si="0"/>
        <v>29490.337429999996</v>
      </c>
      <c r="Q7" s="9">
        <f t="shared" si="0"/>
        <v>23744.211890000002</v>
      </c>
      <c r="R7" s="9">
        <f>Q7/P7*100</f>
        <v>80.51522620370372</v>
      </c>
      <c r="S7" s="9">
        <f t="shared" si="0"/>
        <v>31051.499999999996</v>
      </c>
      <c r="T7" s="9">
        <f t="shared" si="0"/>
        <v>27852</v>
      </c>
      <c r="U7" s="9">
        <f>T7/S7*100</f>
        <v>89.69614994444713</v>
      </c>
      <c r="V7" s="9">
        <f t="shared" si="0"/>
        <v>30903.1</v>
      </c>
      <c r="W7" s="9">
        <f t="shared" si="0"/>
        <v>28194.7</v>
      </c>
      <c r="X7" s="9">
        <f aca="true" t="shared" si="2" ref="X7:X24">W7/V7*100</f>
        <v>91.23583070954048</v>
      </c>
      <c r="Y7" s="9">
        <f t="shared" si="0"/>
        <v>91444.93743</v>
      </c>
      <c r="Z7" s="9">
        <f t="shared" si="0"/>
        <v>79790.91189000002</v>
      </c>
      <c r="AA7" s="9">
        <f aca="true" t="shared" si="3" ref="AA7:AA34">Z7/Y7*100</f>
        <v>87.25569083699028</v>
      </c>
      <c r="AB7" s="9">
        <f t="shared" si="0"/>
        <v>0</v>
      </c>
      <c r="AC7" s="9">
        <f t="shared" si="0"/>
        <v>0</v>
      </c>
      <c r="AD7" s="9" t="e">
        <f aca="true" t="shared" si="4" ref="AD7:AD45">AC7/AB7*100</f>
        <v>#DIV/0!</v>
      </c>
      <c r="AE7" s="9">
        <f t="shared" si="0"/>
        <v>0</v>
      </c>
      <c r="AF7" s="9">
        <f t="shared" si="0"/>
        <v>0</v>
      </c>
      <c r="AG7" s="9" t="e">
        <f aca="true" t="shared" si="5" ref="AG7:AG45">AF7/AE7*100</f>
        <v>#DIV/0!</v>
      </c>
      <c r="AH7" s="9">
        <f t="shared" si="0"/>
        <v>0</v>
      </c>
      <c r="AI7" s="9">
        <f t="shared" si="0"/>
        <v>0</v>
      </c>
      <c r="AJ7" s="9" t="e">
        <f aca="true" t="shared" si="6" ref="AJ7:AJ45">AI7/AH7*100</f>
        <v>#DIV/0!</v>
      </c>
      <c r="AK7" s="9">
        <f t="shared" si="0"/>
        <v>0</v>
      </c>
      <c r="AL7" s="9">
        <f t="shared" si="0"/>
        <v>0</v>
      </c>
      <c r="AM7" s="9" t="e">
        <f t="shared" si="0"/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>SUM(AT8:AT42)-AT33-AT34</f>
        <v>178213.14187000002</v>
      </c>
      <c r="AU7" s="9">
        <f t="shared" si="0"/>
        <v>156911.38032999999</v>
      </c>
      <c r="AV7" s="9">
        <f aca="true" t="shared" si="7" ref="AV7:AV44">AU7/AT7*100</f>
        <v>88.04703103459177</v>
      </c>
      <c r="AW7" s="9">
        <f>SUM(AW8:AW42)-AW33-AW34</f>
        <v>21301.761540000007</v>
      </c>
      <c r="AX7" s="9">
        <f>SUM(AX8:AX42)-AX33-AX34</f>
        <v>104922.56154000001</v>
      </c>
      <c r="AY7" s="19">
        <f>M7+Y7+AK7+AN7+AP7+AR7</f>
        <v>178213.14187000002</v>
      </c>
      <c r="AZ7" s="19">
        <f>N7+Z7+AL7+AO7+AQ7+AS7</f>
        <v>156911.38033</v>
      </c>
      <c r="BA7" s="68">
        <f>C7+AY7-AZ7</f>
        <v>104922.56154000002</v>
      </c>
      <c r="BB7" s="19"/>
      <c r="BC7" s="19"/>
      <c r="BD7" s="19"/>
      <c r="BE7" s="19"/>
      <c r="BF7" s="17"/>
      <c r="BG7" s="17"/>
      <c r="BH7" s="17"/>
      <c r="BI7" s="17"/>
    </row>
    <row r="8" spans="1:61" ht="34.5" customHeight="1">
      <c r="A8" s="11" t="s">
        <v>5</v>
      </c>
      <c r="B8" s="56" t="s">
        <v>49</v>
      </c>
      <c r="C8" s="69">
        <v>1940.8</v>
      </c>
      <c r="D8" s="34">
        <v>2071.8</v>
      </c>
      <c r="E8" s="34">
        <v>1877.5</v>
      </c>
      <c r="F8" s="51">
        <f t="shared" si="1"/>
        <v>90.6216816295009</v>
      </c>
      <c r="G8" s="34">
        <v>1940.1</v>
      </c>
      <c r="H8" s="34">
        <v>1903.8</v>
      </c>
      <c r="I8" s="9">
        <f aca="true" t="shared" si="8" ref="I8:I45">H8/G8*100</f>
        <v>98.1289624246173</v>
      </c>
      <c r="J8" s="34">
        <v>2096.5</v>
      </c>
      <c r="K8" s="34">
        <v>1734.7</v>
      </c>
      <c r="L8" s="9">
        <f aca="true" t="shared" si="9" ref="L8:L25">K8/J8*100</f>
        <v>82.74266634867637</v>
      </c>
      <c r="M8" s="70">
        <f>D8+G8+J8</f>
        <v>6108.4</v>
      </c>
      <c r="N8" s="70">
        <f>E8+H8+K8</f>
        <v>5516</v>
      </c>
      <c r="O8" s="9">
        <f aca="true" t="shared" si="10" ref="O8:O45">N8/M8*100</f>
        <v>90.3018793792155</v>
      </c>
      <c r="P8" s="34">
        <v>1871.7</v>
      </c>
      <c r="Q8" s="34">
        <v>1775.8</v>
      </c>
      <c r="R8" s="9">
        <f aca="true" t="shared" si="11" ref="R8:R45">Q8/P8*100</f>
        <v>94.87631564887535</v>
      </c>
      <c r="S8" s="34">
        <v>2072.9</v>
      </c>
      <c r="T8" s="34">
        <v>1991.7</v>
      </c>
      <c r="U8" s="9">
        <f aca="true" t="shared" si="12" ref="U8:U45">T8/S8*100</f>
        <v>96.08278257513628</v>
      </c>
      <c r="V8" s="34">
        <v>2095.5</v>
      </c>
      <c r="W8" s="34">
        <v>1888.8</v>
      </c>
      <c r="X8" s="9">
        <f t="shared" si="2"/>
        <v>90.1360057265569</v>
      </c>
      <c r="Y8" s="70">
        <f>P8+S8+V8</f>
        <v>6040.1</v>
      </c>
      <c r="Z8" s="70">
        <f>Q8+T8+W8</f>
        <v>5656.3</v>
      </c>
      <c r="AA8" s="9">
        <f t="shared" si="3"/>
        <v>93.64580056621578</v>
      </c>
      <c r="AB8" s="34"/>
      <c r="AC8" s="34"/>
      <c r="AD8" s="9" t="e">
        <f t="shared" si="4"/>
        <v>#DIV/0!</v>
      </c>
      <c r="AE8" s="34"/>
      <c r="AF8" s="34"/>
      <c r="AG8" s="9" t="e">
        <f t="shared" si="5"/>
        <v>#DIV/0!</v>
      </c>
      <c r="AH8" s="34"/>
      <c r="AI8" s="34"/>
      <c r="AJ8" s="9" t="e">
        <f t="shared" si="6"/>
        <v>#DIV/0!</v>
      </c>
      <c r="AK8" s="70">
        <f>AB8+AE8+AH8</f>
        <v>0</v>
      </c>
      <c r="AL8" s="70">
        <f>AC8+AF8+AI8</f>
        <v>0</v>
      </c>
      <c r="AM8" s="9" t="e">
        <f aca="true" t="shared" si="13" ref="AM8:AM28"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12148.5</v>
      </c>
      <c r="AU8" s="57">
        <f>N8+Z8+AL8+AO8+AQ8+AS8</f>
        <v>11172.3</v>
      </c>
      <c r="AV8" s="9">
        <f t="shared" si="7"/>
        <v>91.9644400543277</v>
      </c>
      <c r="AW8" s="70">
        <f>AT8-AU8</f>
        <v>976.2000000000007</v>
      </c>
      <c r="AX8" s="71">
        <f>C8+AT8-AU8</f>
        <v>2917</v>
      </c>
      <c r="AY8" s="19">
        <f aca="true" t="shared" si="14" ref="AY8:AY45">M8+Y8+AK8+AN8+AP8+AR8</f>
        <v>12148.5</v>
      </c>
      <c r="AZ8" s="19">
        <f aca="true" t="shared" si="15" ref="AZ8:AZ45">N8+Z8+AL8+AO8+AQ8+AS8</f>
        <v>11172.3</v>
      </c>
      <c r="BA8" s="68">
        <f aca="true" t="shared" si="16" ref="BA8:BA45">C8+AY8-AZ8</f>
        <v>2917</v>
      </c>
      <c r="BB8" s="35"/>
      <c r="BC8" s="36"/>
      <c r="BD8" s="36"/>
      <c r="BE8" s="35"/>
      <c r="BF8" s="36"/>
      <c r="BG8" s="36"/>
      <c r="BH8" s="36"/>
      <c r="BI8" s="36"/>
    </row>
    <row r="9" spans="1:61" ht="34.5" customHeight="1">
      <c r="A9" s="11" t="s">
        <v>6</v>
      </c>
      <c r="B9" s="58" t="s">
        <v>65</v>
      </c>
      <c r="C9" s="69">
        <v>422.9</v>
      </c>
      <c r="D9" s="34">
        <v>310.9</v>
      </c>
      <c r="E9" s="34">
        <v>316.5</v>
      </c>
      <c r="F9" s="51">
        <f t="shared" si="1"/>
        <v>101.80122225796077</v>
      </c>
      <c r="G9" s="34">
        <v>321.1</v>
      </c>
      <c r="H9" s="34">
        <v>284.1</v>
      </c>
      <c r="I9" s="9">
        <f t="shared" si="8"/>
        <v>88.47710993459982</v>
      </c>
      <c r="J9" s="34">
        <v>295.6834</v>
      </c>
      <c r="K9" s="34">
        <v>295.33495</v>
      </c>
      <c r="L9" s="9">
        <f t="shared" si="9"/>
        <v>99.88215435834408</v>
      </c>
      <c r="M9" s="70">
        <f aca="true" t="shared" si="17" ref="M9:M44">D9+G9+J9</f>
        <v>927.6834</v>
      </c>
      <c r="N9" s="70">
        <f aca="true" t="shared" si="18" ref="N9:N44">E9+H9+K9</f>
        <v>895.9349500000001</v>
      </c>
      <c r="O9" s="9">
        <f t="shared" si="10"/>
        <v>96.57766324157573</v>
      </c>
      <c r="P9" s="34">
        <v>296.9</v>
      </c>
      <c r="Q9" s="34">
        <v>270.8</v>
      </c>
      <c r="R9" s="9">
        <f t="shared" si="11"/>
        <v>91.20916133378243</v>
      </c>
      <c r="S9" s="34">
        <v>316.7</v>
      </c>
      <c r="T9" s="34">
        <v>302.4</v>
      </c>
      <c r="U9" s="9">
        <f t="shared" si="12"/>
        <v>95.48468582254499</v>
      </c>
      <c r="V9" s="34">
        <v>321.5</v>
      </c>
      <c r="W9" s="34">
        <v>300.1</v>
      </c>
      <c r="X9" s="9">
        <f t="shared" si="2"/>
        <v>93.34370139968897</v>
      </c>
      <c r="Y9" s="70">
        <f aca="true" t="shared" si="19" ref="Y9:Y28">P9+S9+V9</f>
        <v>935.0999999999999</v>
      </c>
      <c r="Z9" s="70">
        <f aca="true" t="shared" si="20" ref="Z9:Z28">Q9+T9+W9</f>
        <v>873.3000000000001</v>
      </c>
      <c r="AA9" s="9">
        <f t="shared" si="3"/>
        <v>93.39108116778957</v>
      </c>
      <c r="AB9" s="34"/>
      <c r="AC9" s="34"/>
      <c r="AD9" s="9" t="e">
        <f t="shared" si="4"/>
        <v>#DIV/0!</v>
      </c>
      <c r="AE9" s="34"/>
      <c r="AF9" s="34"/>
      <c r="AG9" s="9" t="e">
        <f t="shared" si="5"/>
        <v>#DIV/0!</v>
      </c>
      <c r="AH9" s="34"/>
      <c r="AI9" s="34"/>
      <c r="AJ9" s="9" t="e">
        <f t="shared" si="6"/>
        <v>#DIV/0!</v>
      </c>
      <c r="AK9" s="70">
        <f aca="true" t="shared" si="21" ref="AK9:AK42">AB9+AE9+AH9</f>
        <v>0</v>
      </c>
      <c r="AL9" s="70">
        <f aca="true" t="shared" si="22" ref="AL9:AL42">AC9+AF9+AI9</f>
        <v>0</v>
      </c>
      <c r="AM9" s="9" t="e">
        <f t="shared" si="13"/>
        <v>#DIV/0!</v>
      </c>
      <c r="AN9" s="34"/>
      <c r="AO9" s="34"/>
      <c r="AP9" s="34"/>
      <c r="AQ9" s="34"/>
      <c r="AR9" s="34"/>
      <c r="AS9" s="34"/>
      <c r="AT9" s="57">
        <f aca="true" t="shared" si="23" ref="AT9:AT42">M9+Y9+AK9+AN9+AP9+AR9</f>
        <v>1862.7833999999998</v>
      </c>
      <c r="AU9" s="57">
        <f aca="true" t="shared" si="24" ref="AU9:AU42">N9+Z9+AL9+AO9+AQ9+AS9</f>
        <v>1769.23495</v>
      </c>
      <c r="AV9" s="9">
        <f t="shared" si="7"/>
        <v>94.97802857809448</v>
      </c>
      <c r="AW9" s="70">
        <f aca="true" t="shared" si="25" ref="AW9:AW44">AT9-AU9</f>
        <v>93.54844999999978</v>
      </c>
      <c r="AX9" s="71">
        <f aca="true" t="shared" si="26" ref="AX9:AX44">C9+AT9-AU9</f>
        <v>516.4484499999999</v>
      </c>
      <c r="AY9" s="19">
        <f t="shared" si="14"/>
        <v>1862.7833999999998</v>
      </c>
      <c r="AZ9" s="19">
        <f t="shared" si="15"/>
        <v>1769.23495</v>
      </c>
      <c r="BA9" s="68">
        <f t="shared" si="16"/>
        <v>516.4484499999999</v>
      </c>
      <c r="BB9" s="35"/>
      <c r="BC9" s="36"/>
      <c r="BD9" s="36"/>
      <c r="BE9" s="35"/>
      <c r="BF9" s="36"/>
      <c r="BG9" s="36"/>
      <c r="BH9" s="36"/>
      <c r="BI9" s="36"/>
    </row>
    <row r="10" spans="1:61" ht="34.5" customHeight="1">
      <c r="A10" s="11" t="s">
        <v>7</v>
      </c>
      <c r="B10" s="60" t="s">
        <v>81</v>
      </c>
      <c r="C10" s="72"/>
      <c r="D10" s="34"/>
      <c r="E10" s="34"/>
      <c r="F10" s="84" t="e">
        <f t="shared" si="1"/>
        <v>#DIV/0!</v>
      </c>
      <c r="G10" s="34"/>
      <c r="H10" s="34"/>
      <c r="I10" s="84" t="e">
        <f t="shared" si="8"/>
        <v>#DIV/0!</v>
      </c>
      <c r="J10" s="34"/>
      <c r="K10" s="34"/>
      <c r="L10" s="84">
        <v>0</v>
      </c>
      <c r="M10" s="122">
        <f t="shared" si="17"/>
        <v>0</v>
      </c>
      <c r="N10" s="122">
        <f t="shared" si="18"/>
        <v>0</v>
      </c>
      <c r="O10" s="84" t="e">
        <f t="shared" si="10"/>
        <v>#DIV/0!</v>
      </c>
      <c r="P10" s="121"/>
      <c r="Q10" s="34"/>
      <c r="R10" s="84" t="e">
        <f t="shared" si="11"/>
        <v>#DIV/0!</v>
      </c>
      <c r="S10" s="34"/>
      <c r="T10" s="34"/>
      <c r="U10" s="84" t="e">
        <f t="shared" si="12"/>
        <v>#DIV/0!</v>
      </c>
      <c r="V10" s="34"/>
      <c r="W10" s="34"/>
      <c r="X10" s="84" t="e">
        <f t="shared" si="2"/>
        <v>#DIV/0!</v>
      </c>
      <c r="Y10" s="70">
        <f t="shared" si="19"/>
        <v>0</v>
      </c>
      <c r="Z10" s="70">
        <f t="shared" si="20"/>
        <v>0</v>
      </c>
      <c r="AA10" s="84" t="e">
        <f t="shared" si="3"/>
        <v>#DIV/0!</v>
      </c>
      <c r="AB10" s="34"/>
      <c r="AC10" s="34"/>
      <c r="AD10" s="84" t="e">
        <f t="shared" si="4"/>
        <v>#DIV/0!</v>
      </c>
      <c r="AE10" s="34"/>
      <c r="AF10" s="34"/>
      <c r="AG10" s="9" t="e">
        <f t="shared" si="5"/>
        <v>#DIV/0!</v>
      </c>
      <c r="AH10" s="34"/>
      <c r="AI10" s="34"/>
      <c r="AJ10" s="9" t="e">
        <f t="shared" si="6"/>
        <v>#DIV/0!</v>
      </c>
      <c r="AK10" s="70">
        <f t="shared" si="21"/>
        <v>0</v>
      </c>
      <c r="AL10" s="70">
        <f t="shared" si="22"/>
        <v>0</v>
      </c>
      <c r="AM10" s="9" t="e">
        <f t="shared" si="13"/>
        <v>#DIV/0!</v>
      </c>
      <c r="AN10" s="34"/>
      <c r="AO10" s="34"/>
      <c r="AP10" s="34"/>
      <c r="AQ10" s="34"/>
      <c r="AR10" s="34"/>
      <c r="AS10" s="34"/>
      <c r="AT10" s="57"/>
      <c r="AU10" s="57"/>
      <c r="AV10" s="9"/>
      <c r="AW10" s="70"/>
      <c r="AX10" s="71"/>
      <c r="AY10" s="19">
        <f t="shared" si="14"/>
        <v>0</v>
      </c>
      <c r="AZ10" s="19">
        <f t="shared" si="15"/>
        <v>0</v>
      </c>
      <c r="BA10" s="68">
        <f t="shared" si="16"/>
        <v>0</v>
      </c>
      <c r="BB10" s="35"/>
      <c r="BC10" s="36"/>
      <c r="BD10" s="36"/>
      <c r="BE10" s="35"/>
      <c r="BF10" s="36"/>
      <c r="BG10" s="36"/>
      <c r="BH10" s="36"/>
      <c r="BI10" s="36"/>
    </row>
    <row r="11" spans="1:61" ht="34.5" customHeight="1">
      <c r="A11" s="11" t="s">
        <v>8</v>
      </c>
      <c r="B11" s="56" t="s">
        <v>50</v>
      </c>
      <c r="C11" s="69">
        <v>433.5</v>
      </c>
      <c r="D11" s="34">
        <v>494.8</v>
      </c>
      <c r="E11" s="34">
        <v>485</v>
      </c>
      <c r="F11" s="51">
        <f t="shared" si="1"/>
        <v>98.01940177849636</v>
      </c>
      <c r="G11" s="34">
        <v>484.3</v>
      </c>
      <c r="H11" s="34">
        <v>462</v>
      </c>
      <c r="I11" s="9">
        <f t="shared" si="8"/>
        <v>95.39541606442288</v>
      </c>
      <c r="J11" s="34">
        <v>494.3</v>
      </c>
      <c r="K11" s="34">
        <v>431.4</v>
      </c>
      <c r="L11" s="9">
        <f t="shared" si="9"/>
        <v>87.27493425045519</v>
      </c>
      <c r="M11" s="70">
        <f t="shared" si="17"/>
        <v>1473.4</v>
      </c>
      <c r="N11" s="70">
        <f t="shared" si="18"/>
        <v>1378.4</v>
      </c>
      <c r="O11" s="9">
        <f t="shared" si="10"/>
        <v>93.55232794896159</v>
      </c>
      <c r="P11" s="34">
        <v>509</v>
      </c>
      <c r="Q11" s="34">
        <v>483.3</v>
      </c>
      <c r="R11" s="9">
        <f t="shared" si="11"/>
        <v>94.950884086444</v>
      </c>
      <c r="S11" s="34">
        <v>519.5</v>
      </c>
      <c r="T11" s="34">
        <v>509.6</v>
      </c>
      <c r="U11" s="9">
        <f t="shared" si="12"/>
        <v>98.09432146294515</v>
      </c>
      <c r="V11" s="34">
        <v>536.4</v>
      </c>
      <c r="W11" s="34">
        <v>483.7</v>
      </c>
      <c r="X11" s="9">
        <f t="shared" si="2"/>
        <v>90.17524235645041</v>
      </c>
      <c r="Y11" s="70">
        <f t="shared" si="19"/>
        <v>1564.9</v>
      </c>
      <c r="Z11" s="70">
        <f t="shared" si="20"/>
        <v>1476.6000000000001</v>
      </c>
      <c r="AA11" s="9">
        <f t="shared" si="3"/>
        <v>94.3574669307943</v>
      </c>
      <c r="AB11" s="34"/>
      <c r="AC11" s="34"/>
      <c r="AD11" s="9" t="e">
        <f t="shared" si="4"/>
        <v>#DIV/0!</v>
      </c>
      <c r="AE11" s="34"/>
      <c r="AF11" s="34"/>
      <c r="AG11" s="9" t="e">
        <f t="shared" si="5"/>
        <v>#DIV/0!</v>
      </c>
      <c r="AH11" s="34"/>
      <c r="AI11" s="34"/>
      <c r="AJ11" s="9" t="e">
        <f t="shared" si="6"/>
        <v>#DIV/0!</v>
      </c>
      <c r="AK11" s="70">
        <f t="shared" si="21"/>
        <v>0</v>
      </c>
      <c r="AL11" s="70">
        <f t="shared" si="22"/>
        <v>0</v>
      </c>
      <c r="AM11" s="9" t="e">
        <f t="shared" si="13"/>
        <v>#DIV/0!</v>
      </c>
      <c r="AN11" s="34"/>
      <c r="AO11" s="34"/>
      <c r="AP11" s="34"/>
      <c r="AQ11" s="34"/>
      <c r="AR11" s="34"/>
      <c r="AS11" s="34"/>
      <c r="AT11" s="57">
        <f t="shared" si="23"/>
        <v>3038.3</v>
      </c>
      <c r="AU11" s="57">
        <f t="shared" si="24"/>
        <v>2855</v>
      </c>
      <c r="AV11" s="9">
        <f t="shared" si="7"/>
        <v>93.96702103149786</v>
      </c>
      <c r="AW11" s="70">
        <f t="shared" si="25"/>
        <v>183.30000000000018</v>
      </c>
      <c r="AX11" s="71">
        <f t="shared" si="26"/>
        <v>616.8000000000002</v>
      </c>
      <c r="AY11" s="19">
        <f t="shared" si="14"/>
        <v>3038.3</v>
      </c>
      <c r="AZ11" s="19">
        <f t="shared" si="15"/>
        <v>2855</v>
      </c>
      <c r="BA11" s="68">
        <f t="shared" si="16"/>
        <v>616.8000000000002</v>
      </c>
      <c r="BB11" s="35"/>
      <c r="BC11" s="36"/>
      <c r="BD11" s="36"/>
      <c r="BE11" s="35"/>
      <c r="BF11" s="36"/>
      <c r="BG11" s="36"/>
      <c r="BH11" s="36"/>
      <c r="BI11" s="36"/>
    </row>
    <row r="12" spans="1:61" ht="34.5" customHeight="1">
      <c r="A12" s="11" t="s">
        <v>9</v>
      </c>
      <c r="B12" s="56" t="s">
        <v>51</v>
      </c>
      <c r="C12" s="69">
        <v>502.3</v>
      </c>
      <c r="D12" s="34">
        <v>347.6</v>
      </c>
      <c r="E12" s="34">
        <v>343.3</v>
      </c>
      <c r="F12" s="51">
        <f t="shared" si="1"/>
        <v>98.76294591484465</v>
      </c>
      <c r="G12" s="34">
        <v>344.3</v>
      </c>
      <c r="H12" s="34">
        <v>330.3</v>
      </c>
      <c r="I12" s="9">
        <f t="shared" si="8"/>
        <v>95.93377868138252</v>
      </c>
      <c r="J12" s="34">
        <v>333.3</v>
      </c>
      <c r="K12" s="34">
        <v>317</v>
      </c>
      <c r="L12" s="9">
        <f t="shared" si="9"/>
        <v>95.10951095109512</v>
      </c>
      <c r="M12" s="70">
        <f t="shared" si="17"/>
        <v>1025.2</v>
      </c>
      <c r="N12" s="70">
        <f t="shared" si="18"/>
        <v>990.6</v>
      </c>
      <c r="O12" s="9">
        <f t="shared" si="10"/>
        <v>96.62504877097152</v>
      </c>
      <c r="P12" s="34">
        <v>332.8</v>
      </c>
      <c r="Q12" s="34">
        <v>324.5</v>
      </c>
      <c r="R12" s="9">
        <f t="shared" si="11"/>
        <v>97.50600961538461</v>
      </c>
      <c r="S12" s="34">
        <v>337.1</v>
      </c>
      <c r="T12" s="34">
        <v>333</v>
      </c>
      <c r="U12" s="9">
        <f t="shared" si="12"/>
        <v>98.78374369623256</v>
      </c>
      <c r="V12" s="34">
        <v>343</v>
      </c>
      <c r="W12" s="34">
        <v>316.3</v>
      </c>
      <c r="X12" s="102">
        <f t="shared" si="2"/>
        <v>92.21574344023324</v>
      </c>
      <c r="Y12" s="70">
        <f>P12+S12+V12</f>
        <v>1012.9000000000001</v>
      </c>
      <c r="Z12" s="70">
        <f t="shared" si="20"/>
        <v>973.8</v>
      </c>
      <c r="AA12" s="9">
        <f t="shared" si="3"/>
        <v>96.13979662355612</v>
      </c>
      <c r="AB12" s="34"/>
      <c r="AC12" s="34"/>
      <c r="AD12" s="9" t="e">
        <f t="shared" si="4"/>
        <v>#DIV/0!</v>
      </c>
      <c r="AE12" s="34"/>
      <c r="AF12" s="34"/>
      <c r="AG12" s="9" t="e">
        <f t="shared" si="5"/>
        <v>#DIV/0!</v>
      </c>
      <c r="AH12" s="34"/>
      <c r="AI12" s="34"/>
      <c r="AJ12" s="9" t="e">
        <f t="shared" si="6"/>
        <v>#DIV/0!</v>
      </c>
      <c r="AK12" s="70">
        <f t="shared" si="21"/>
        <v>0</v>
      </c>
      <c r="AL12" s="70">
        <f t="shared" si="22"/>
        <v>0</v>
      </c>
      <c r="AM12" s="9" t="e">
        <f t="shared" si="13"/>
        <v>#DIV/0!</v>
      </c>
      <c r="AN12" s="34"/>
      <c r="AO12" s="34"/>
      <c r="AP12" s="34"/>
      <c r="AQ12" s="34"/>
      <c r="AR12" s="34"/>
      <c r="AS12" s="34"/>
      <c r="AT12" s="57">
        <f t="shared" si="23"/>
        <v>2038.1000000000001</v>
      </c>
      <c r="AU12" s="57">
        <f t="shared" si="24"/>
        <v>1964.4</v>
      </c>
      <c r="AV12" s="9">
        <f t="shared" si="7"/>
        <v>96.38388695353515</v>
      </c>
      <c r="AW12" s="70">
        <f t="shared" si="25"/>
        <v>73.70000000000005</v>
      </c>
      <c r="AX12" s="71">
        <f t="shared" si="26"/>
        <v>576</v>
      </c>
      <c r="AY12" s="19">
        <f t="shared" si="14"/>
        <v>2038.1000000000001</v>
      </c>
      <c r="AZ12" s="19">
        <f t="shared" si="15"/>
        <v>1964.4</v>
      </c>
      <c r="BA12" s="68">
        <f t="shared" si="16"/>
        <v>576</v>
      </c>
      <c r="BB12" s="35"/>
      <c r="BC12" s="36"/>
      <c r="BD12" s="36"/>
      <c r="BE12" s="35"/>
      <c r="BF12" s="36"/>
      <c r="BG12" s="36"/>
      <c r="BH12" s="36"/>
      <c r="BI12" s="36"/>
    </row>
    <row r="13" spans="1:61" ht="34.5" customHeight="1">
      <c r="A13" s="11" t="s">
        <v>10</v>
      </c>
      <c r="B13" s="56" t="s">
        <v>52</v>
      </c>
      <c r="C13" s="69">
        <v>437.7</v>
      </c>
      <c r="D13" s="34">
        <v>637.9</v>
      </c>
      <c r="E13" s="34">
        <v>554.1</v>
      </c>
      <c r="F13" s="51">
        <f t="shared" si="1"/>
        <v>86.86314469352564</v>
      </c>
      <c r="G13" s="34">
        <v>586.4</v>
      </c>
      <c r="H13" s="34">
        <v>584.1</v>
      </c>
      <c r="I13" s="9">
        <f t="shared" si="8"/>
        <v>99.60777626193725</v>
      </c>
      <c r="J13" s="34">
        <v>610.23</v>
      </c>
      <c r="K13" s="34">
        <v>528.3</v>
      </c>
      <c r="L13" s="9">
        <f t="shared" si="9"/>
        <v>86.57391475345361</v>
      </c>
      <c r="M13" s="70">
        <f t="shared" si="17"/>
        <v>1834.53</v>
      </c>
      <c r="N13" s="70">
        <f t="shared" si="18"/>
        <v>1666.5</v>
      </c>
      <c r="O13" s="9">
        <f t="shared" si="10"/>
        <v>90.84070579385455</v>
      </c>
      <c r="P13" s="34">
        <v>644.82</v>
      </c>
      <c r="Q13" s="34">
        <v>559.4</v>
      </c>
      <c r="R13" s="9">
        <f t="shared" si="11"/>
        <v>86.75289228001611</v>
      </c>
      <c r="S13" s="34">
        <v>624</v>
      </c>
      <c r="T13" s="34">
        <v>654</v>
      </c>
      <c r="U13" s="9">
        <f t="shared" si="12"/>
        <v>104.8076923076923</v>
      </c>
      <c r="V13" s="34">
        <v>671.5</v>
      </c>
      <c r="W13" s="34">
        <v>598.4</v>
      </c>
      <c r="X13" s="9">
        <f t="shared" si="2"/>
        <v>89.1139240506329</v>
      </c>
      <c r="Y13" s="70">
        <f t="shared" si="19"/>
        <v>1940.3200000000002</v>
      </c>
      <c r="Z13" s="70">
        <f t="shared" si="20"/>
        <v>1811.8000000000002</v>
      </c>
      <c r="AA13" s="9">
        <f t="shared" si="3"/>
        <v>93.37635029273522</v>
      </c>
      <c r="AB13" s="34"/>
      <c r="AC13" s="34"/>
      <c r="AD13" s="9" t="e">
        <f t="shared" si="4"/>
        <v>#DIV/0!</v>
      </c>
      <c r="AE13" s="34"/>
      <c r="AF13" s="34"/>
      <c r="AG13" s="9" t="e">
        <f t="shared" si="5"/>
        <v>#DIV/0!</v>
      </c>
      <c r="AH13" s="34"/>
      <c r="AI13" s="34"/>
      <c r="AJ13" s="9" t="e">
        <f t="shared" si="6"/>
        <v>#DIV/0!</v>
      </c>
      <c r="AK13" s="70">
        <f t="shared" si="21"/>
        <v>0</v>
      </c>
      <c r="AL13" s="70">
        <f t="shared" si="22"/>
        <v>0</v>
      </c>
      <c r="AM13" s="9" t="e">
        <f t="shared" si="13"/>
        <v>#DIV/0!</v>
      </c>
      <c r="AN13" s="34"/>
      <c r="AO13" s="34"/>
      <c r="AP13" s="34"/>
      <c r="AQ13" s="34"/>
      <c r="AR13" s="34"/>
      <c r="AS13" s="34"/>
      <c r="AT13" s="57">
        <f t="shared" si="23"/>
        <v>3774.8500000000004</v>
      </c>
      <c r="AU13" s="57">
        <f t="shared" si="24"/>
        <v>3478.3</v>
      </c>
      <c r="AV13" s="9">
        <f t="shared" si="7"/>
        <v>92.14405870431938</v>
      </c>
      <c r="AW13" s="70">
        <f t="shared" si="25"/>
        <v>296.5500000000002</v>
      </c>
      <c r="AX13" s="71">
        <f t="shared" si="26"/>
        <v>734.25</v>
      </c>
      <c r="AY13" s="19">
        <f t="shared" si="14"/>
        <v>3774.8500000000004</v>
      </c>
      <c r="AZ13" s="19">
        <f t="shared" si="15"/>
        <v>3478.3</v>
      </c>
      <c r="BA13" s="68">
        <f t="shared" si="16"/>
        <v>734.25</v>
      </c>
      <c r="BB13" s="35"/>
      <c r="BC13" s="36"/>
      <c r="BD13" s="36"/>
      <c r="BE13" s="35"/>
      <c r="BF13" s="36"/>
      <c r="BG13" s="36"/>
      <c r="BH13" s="36"/>
      <c r="BI13" s="36"/>
    </row>
    <row r="14" spans="1:61" ht="34.5" customHeight="1">
      <c r="A14" s="11" t="s">
        <v>11</v>
      </c>
      <c r="B14" s="56" t="s">
        <v>82</v>
      </c>
      <c r="C14" s="69">
        <v>281.1</v>
      </c>
      <c r="D14" s="34">
        <v>284.5</v>
      </c>
      <c r="E14" s="34">
        <v>257.7</v>
      </c>
      <c r="F14" s="51">
        <f t="shared" si="1"/>
        <v>90.57996485061511</v>
      </c>
      <c r="G14" s="34">
        <v>283.8</v>
      </c>
      <c r="H14" s="34">
        <v>240.8</v>
      </c>
      <c r="I14" s="9">
        <f t="shared" si="8"/>
        <v>84.84848484848484</v>
      </c>
      <c r="J14" s="34">
        <v>285.7</v>
      </c>
      <c r="K14" s="34">
        <v>259.9</v>
      </c>
      <c r="L14" s="9">
        <f t="shared" si="9"/>
        <v>90.96954847742387</v>
      </c>
      <c r="M14" s="70">
        <f t="shared" si="17"/>
        <v>854</v>
      </c>
      <c r="N14" s="70">
        <f t="shared" si="18"/>
        <v>758.4</v>
      </c>
      <c r="O14" s="9">
        <f t="shared" si="10"/>
        <v>88.80562060889929</v>
      </c>
      <c r="P14" s="34">
        <v>286.1</v>
      </c>
      <c r="Q14" s="34">
        <v>263.3</v>
      </c>
      <c r="R14" s="9">
        <f t="shared" si="11"/>
        <v>92.03075847605731</v>
      </c>
      <c r="S14" s="34">
        <v>300.4</v>
      </c>
      <c r="T14" s="34">
        <v>259.7</v>
      </c>
      <c r="U14" s="9">
        <f t="shared" si="12"/>
        <v>86.45139813581892</v>
      </c>
      <c r="V14" s="34">
        <v>288.7</v>
      </c>
      <c r="W14" s="34">
        <v>262.3</v>
      </c>
      <c r="X14" s="9">
        <f t="shared" si="2"/>
        <v>90.85555940422584</v>
      </c>
      <c r="Y14" s="70">
        <f t="shared" si="19"/>
        <v>875.2</v>
      </c>
      <c r="Z14" s="70">
        <f t="shared" si="20"/>
        <v>785.3</v>
      </c>
      <c r="AA14" s="9">
        <f t="shared" si="3"/>
        <v>89.7280621572212</v>
      </c>
      <c r="AB14" s="34"/>
      <c r="AC14" s="34"/>
      <c r="AD14" s="9" t="e">
        <f t="shared" si="4"/>
        <v>#DIV/0!</v>
      </c>
      <c r="AE14" s="34"/>
      <c r="AF14" s="34"/>
      <c r="AG14" s="9" t="e">
        <f t="shared" si="5"/>
        <v>#DIV/0!</v>
      </c>
      <c r="AH14" s="34"/>
      <c r="AI14" s="34"/>
      <c r="AJ14" s="9" t="e">
        <f t="shared" si="6"/>
        <v>#DIV/0!</v>
      </c>
      <c r="AK14" s="70">
        <f t="shared" si="21"/>
        <v>0</v>
      </c>
      <c r="AL14" s="70">
        <f t="shared" si="22"/>
        <v>0</v>
      </c>
      <c r="AM14" s="9" t="e">
        <f t="shared" si="13"/>
        <v>#DIV/0!</v>
      </c>
      <c r="AN14" s="34"/>
      <c r="AO14" s="34"/>
      <c r="AP14" s="34"/>
      <c r="AQ14" s="34"/>
      <c r="AR14" s="34"/>
      <c r="AS14" s="34"/>
      <c r="AT14" s="57">
        <f t="shared" si="23"/>
        <v>1729.2</v>
      </c>
      <c r="AU14" s="57">
        <f t="shared" si="24"/>
        <v>1543.6999999999998</v>
      </c>
      <c r="AV14" s="9">
        <f t="shared" si="7"/>
        <v>89.27249595188526</v>
      </c>
      <c r="AW14" s="70">
        <f t="shared" si="25"/>
        <v>185.50000000000023</v>
      </c>
      <c r="AX14" s="71">
        <f t="shared" si="26"/>
        <v>466.60000000000036</v>
      </c>
      <c r="AY14" s="19">
        <f t="shared" si="14"/>
        <v>1729.2</v>
      </c>
      <c r="AZ14" s="19">
        <f t="shared" si="15"/>
        <v>1543.6999999999998</v>
      </c>
      <c r="BA14" s="68">
        <f t="shared" si="16"/>
        <v>466.60000000000036</v>
      </c>
      <c r="BB14" s="35"/>
      <c r="BC14" s="36"/>
      <c r="BD14" s="36"/>
      <c r="BE14" s="35"/>
      <c r="BF14" s="36"/>
      <c r="BG14" s="36"/>
      <c r="BH14" s="36"/>
      <c r="BI14" s="36"/>
    </row>
    <row r="15" spans="1:61" ht="34.5" customHeight="1">
      <c r="A15" s="11" t="s">
        <v>12</v>
      </c>
      <c r="B15" s="56" t="s">
        <v>53</v>
      </c>
      <c r="C15" s="69">
        <v>1570.6</v>
      </c>
      <c r="D15" s="34">
        <v>998.3</v>
      </c>
      <c r="E15" s="34">
        <v>929.3</v>
      </c>
      <c r="F15" s="51">
        <f t="shared" si="1"/>
        <v>93.08825002504257</v>
      </c>
      <c r="G15" s="34">
        <v>988.9</v>
      </c>
      <c r="H15" s="34">
        <v>948.5</v>
      </c>
      <c r="I15" s="9">
        <f t="shared" si="8"/>
        <v>95.91465264435232</v>
      </c>
      <c r="J15" s="34">
        <v>1028.6</v>
      </c>
      <c r="K15" s="34">
        <v>919.2</v>
      </c>
      <c r="L15" s="9">
        <f t="shared" si="9"/>
        <v>89.36418432821311</v>
      </c>
      <c r="M15" s="70">
        <f t="shared" si="17"/>
        <v>3015.7999999999997</v>
      </c>
      <c r="N15" s="70">
        <f t="shared" si="18"/>
        <v>2797</v>
      </c>
      <c r="O15" s="9">
        <f t="shared" si="10"/>
        <v>92.74487698123218</v>
      </c>
      <c r="P15" s="34">
        <v>1157.8</v>
      </c>
      <c r="Q15" s="34">
        <v>1033.8999999999999</v>
      </c>
      <c r="R15" s="9">
        <f t="shared" si="11"/>
        <v>89.2986698911729</v>
      </c>
      <c r="S15" s="34">
        <v>1223.7</v>
      </c>
      <c r="T15" s="34">
        <v>1230.2</v>
      </c>
      <c r="U15" s="9">
        <f t="shared" si="12"/>
        <v>100.5311759418158</v>
      </c>
      <c r="V15" s="34">
        <v>1294.5</v>
      </c>
      <c r="W15" s="34">
        <v>1198.6</v>
      </c>
      <c r="X15" s="9">
        <f t="shared" si="2"/>
        <v>92.59173426033217</v>
      </c>
      <c r="Y15" s="70">
        <f t="shared" si="19"/>
        <v>3676</v>
      </c>
      <c r="Z15" s="70">
        <f t="shared" si="20"/>
        <v>3462.7</v>
      </c>
      <c r="AA15" s="9">
        <f t="shared" si="3"/>
        <v>94.19749727965178</v>
      </c>
      <c r="AB15" s="34"/>
      <c r="AC15" s="34"/>
      <c r="AD15" s="9" t="e">
        <f t="shared" si="4"/>
        <v>#DIV/0!</v>
      </c>
      <c r="AE15" s="34"/>
      <c r="AF15" s="34"/>
      <c r="AG15" s="9" t="e">
        <f t="shared" si="5"/>
        <v>#DIV/0!</v>
      </c>
      <c r="AH15" s="34"/>
      <c r="AI15" s="34"/>
      <c r="AJ15" s="9" t="e">
        <f t="shared" si="6"/>
        <v>#DIV/0!</v>
      </c>
      <c r="AK15" s="70">
        <f t="shared" si="21"/>
        <v>0</v>
      </c>
      <c r="AL15" s="70">
        <f t="shared" si="22"/>
        <v>0</v>
      </c>
      <c r="AM15" s="9" t="e">
        <f t="shared" si="13"/>
        <v>#DIV/0!</v>
      </c>
      <c r="AN15" s="34"/>
      <c r="AO15" s="34"/>
      <c r="AP15" s="34"/>
      <c r="AQ15" s="34"/>
      <c r="AR15" s="34"/>
      <c r="AS15" s="34"/>
      <c r="AT15" s="57">
        <f t="shared" si="23"/>
        <v>6691.799999999999</v>
      </c>
      <c r="AU15" s="57">
        <f t="shared" si="24"/>
        <v>6259.7</v>
      </c>
      <c r="AV15" s="9">
        <f t="shared" si="7"/>
        <v>93.54284348008011</v>
      </c>
      <c r="AW15" s="70">
        <f t="shared" si="25"/>
        <v>432.09999999999945</v>
      </c>
      <c r="AX15" s="71">
        <f t="shared" si="26"/>
        <v>2002.6999999999998</v>
      </c>
      <c r="AY15" s="19">
        <f t="shared" si="14"/>
        <v>6691.799999999999</v>
      </c>
      <c r="AZ15" s="19">
        <f t="shared" si="15"/>
        <v>6259.7</v>
      </c>
      <c r="BA15" s="68">
        <f t="shared" si="16"/>
        <v>2002.6999999999998</v>
      </c>
      <c r="BB15" s="35"/>
      <c r="BC15" s="36"/>
      <c r="BD15" s="36"/>
      <c r="BE15" s="35"/>
      <c r="BF15" s="36"/>
      <c r="BG15" s="36"/>
      <c r="BH15" s="36"/>
      <c r="BI15" s="36"/>
    </row>
    <row r="16" spans="1:61" ht="34.5" customHeight="1">
      <c r="A16" s="11" t="s">
        <v>13</v>
      </c>
      <c r="B16" s="56" t="s">
        <v>54</v>
      </c>
      <c r="C16" s="72">
        <v>133.1</v>
      </c>
      <c r="D16" s="34">
        <v>82.5</v>
      </c>
      <c r="E16" s="34">
        <v>77.2</v>
      </c>
      <c r="F16" s="51">
        <f t="shared" si="1"/>
        <v>93.57575757575758</v>
      </c>
      <c r="G16" s="34">
        <v>84.4</v>
      </c>
      <c r="H16" s="34">
        <v>77.2</v>
      </c>
      <c r="I16" s="9">
        <f t="shared" si="8"/>
        <v>91.4691943127962</v>
      </c>
      <c r="J16" s="34">
        <v>74.8</v>
      </c>
      <c r="K16" s="34">
        <v>67.9</v>
      </c>
      <c r="L16" s="9">
        <f t="shared" si="9"/>
        <v>90.77540106951872</v>
      </c>
      <c r="M16" s="70">
        <f t="shared" si="17"/>
        <v>241.7</v>
      </c>
      <c r="N16" s="70">
        <f t="shared" si="18"/>
        <v>222.3</v>
      </c>
      <c r="O16" s="9">
        <f t="shared" si="10"/>
        <v>91.97352089366984</v>
      </c>
      <c r="P16" s="34">
        <v>84.015</v>
      </c>
      <c r="Q16" s="34">
        <v>76.096</v>
      </c>
      <c r="R16" s="9">
        <f t="shared" si="11"/>
        <v>90.57430220793906</v>
      </c>
      <c r="S16" s="34">
        <v>87.4</v>
      </c>
      <c r="T16" s="34">
        <v>78.9</v>
      </c>
      <c r="U16" s="9">
        <f t="shared" si="12"/>
        <v>90.2745995423341</v>
      </c>
      <c r="V16" s="34">
        <v>95.4</v>
      </c>
      <c r="W16" s="34">
        <v>78.4</v>
      </c>
      <c r="X16" s="9">
        <f t="shared" si="2"/>
        <v>82.18029350104821</v>
      </c>
      <c r="Y16" s="70">
        <f t="shared" si="19"/>
        <v>266.81500000000005</v>
      </c>
      <c r="Z16" s="70">
        <f t="shared" si="20"/>
        <v>233.39600000000002</v>
      </c>
      <c r="AA16" s="9">
        <f t="shared" si="3"/>
        <v>87.47484211907125</v>
      </c>
      <c r="AB16" s="34"/>
      <c r="AC16" s="34"/>
      <c r="AD16" s="9" t="e">
        <f t="shared" si="4"/>
        <v>#DIV/0!</v>
      </c>
      <c r="AE16" s="34"/>
      <c r="AF16" s="34"/>
      <c r="AG16" s="9" t="e">
        <f t="shared" si="5"/>
        <v>#DIV/0!</v>
      </c>
      <c r="AH16" s="34"/>
      <c r="AI16" s="34"/>
      <c r="AJ16" s="9" t="e">
        <f t="shared" si="6"/>
        <v>#DIV/0!</v>
      </c>
      <c r="AK16" s="70">
        <f t="shared" si="21"/>
        <v>0</v>
      </c>
      <c r="AL16" s="70">
        <f t="shared" si="22"/>
        <v>0</v>
      </c>
      <c r="AM16" s="9" t="e">
        <f t="shared" si="13"/>
        <v>#DIV/0!</v>
      </c>
      <c r="AN16" s="34"/>
      <c r="AO16" s="34"/>
      <c r="AP16" s="34"/>
      <c r="AQ16" s="34"/>
      <c r="AR16" s="34"/>
      <c r="AS16" s="34"/>
      <c r="AT16" s="57">
        <f t="shared" si="23"/>
        <v>508.51500000000004</v>
      </c>
      <c r="AU16" s="57">
        <f t="shared" si="24"/>
        <v>455.696</v>
      </c>
      <c r="AV16" s="9">
        <f t="shared" si="7"/>
        <v>89.61308909275046</v>
      </c>
      <c r="AW16" s="70">
        <f t="shared" si="25"/>
        <v>52.81900000000002</v>
      </c>
      <c r="AX16" s="71">
        <f t="shared" si="26"/>
        <v>185.91899999999998</v>
      </c>
      <c r="AY16" s="19">
        <f t="shared" si="14"/>
        <v>508.51500000000004</v>
      </c>
      <c r="AZ16" s="19">
        <f t="shared" si="15"/>
        <v>455.696</v>
      </c>
      <c r="BA16" s="68">
        <f t="shared" si="16"/>
        <v>185.91899999999998</v>
      </c>
      <c r="BB16" s="35"/>
      <c r="BC16" s="36"/>
      <c r="BD16" s="36"/>
      <c r="BE16" s="35"/>
      <c r="BF16" s="36"/>
      <c r="BG16" s="36"/>
      <c r="BH16" s="36"/>
      <c r="BI16" s="36"/>
    </row>
    <row r="17" spans="1:61" ht="34.5" customHeight="1">
      <c r="A17" s="11" t="s">
        <v>14</v>
      </c>
      <c r="B17" s="60" t="s">
        <v>83</v>
      </c>
      <c r="C17" s="72">
        <f>1255.6+3338.6</f>
        <v>4594.2</v>
      </c>
      <c r="D17" s="34">
        <f>446.6+413.6</f>
        <v>860.2</v>
      </c>
      <c r="E17" s="34">
        <f>395.5+402.8</f>
        <v>798.3</v>
      </c>
      <c r="F17" s="51">
        <f t="shared" si="1"/>
        <v>92.80399906998372</v>
      </c>
      <c r="G17" s="34">
        <f>433.6+413.8</f>
        <v>847.4000000000001</v>
      </c>
      <c r="H17" s="34">
        <f>423.8+414.4</f>
        <v>838.2</v>
      </c>
      <c r="I17" s="9">
        <f t="shared" si="8"/>
        <v>98.91432617417983</v>
      </c>
      <c r="J17" s="34">
        <f>446.8+413.4</f>
        <v>860.2</v>
      </c>
      <c r="K17" s="34">
        <f>341.9+404.3</f>
        <v>746.2</v>
      </c>
      <c r="L17" s="9">
        <f t="shared" si="9"/>
        <v>86.74726807719135</v>
      </c>
      <c r="M17" s="70">
        <f t="shared" si="17"/>
        <v>2567.8</v>
      </c>
      <c r="N17" s="70">
        <f t="shared" si="18"/>
        <v>2382.7</v>
      </c>
      <c r="O17" s="9">
        <f t="shared" si="10"/>
        <v>92.7914946646935</v>
      </c>
      <c r="P17" s="34">
        <f>430.4+407.6</f>
        <v>838</v>
      </c>
      <c r="Q17" s="34">
        <f>342.3+398.2</f>
        <v>740.5</v>
      </c>
      <c r="R17" s="9">
        <f t="shared" si="11"/>
        <v>88.36515513126491</v>
      </c>
      <c r="S17" s="34">
        <f>427.3+383.9</f>
        <v>811.2</v>
      </c>
      <c r="T17" s="34">
        <f>411.5+415.6</f>
        <v>827.1</v>
      </c>
      <c r="U17" s="9">
        <f t="shared" si="12"/>
        <v>101.96005917159763</v>
      </c>
      <c r="V17" s="34">
        <f>441.7+422.6</f>
        <v>864.3</v>
      </c>
      <c r="W17" s="34">
        <f>428.5+403.9</f>
        <v>832.4</v>
      </c>
      <c r="X17" s="9">
        <f t="shared" si="2"/>
        <v>96.30915191484438</v>
      </c>
      <c r="Y17" s="70">
        <f t="shared" si="19"/>
        <v>2513.5</v>
      </c>
      <c r="Z17" s="70">
        <f t="shared" si="20"/>
        <v>2400</v>
      </c>
      <c r="AA17" s="9">
        <f t="shared" si="3"/>
        <v>95.48438432464691</v>
      </c>
      <c r="AB17" s="34"/>
      <c r="AC17" s="34"/>
      <c r="AD17" s="9" t="e">
        <f t="shared" si="4"/>
        <v>#DIV/0!</v>
      </c>
      <c r="AE17" s="34"/>
      <c r="AF17" s="34"/>
      <c r="AG17" s="9" t="e">
        <f t="shared" si="5"/>
        <v>#DIV/0!</v>
      </c>
      <c r="AH17" s="34"/>
      <c r="AI17" s="34"/>
      <c r="AJ17" s="9" t="e">
        <f t="shared" si="6"/>
        <v>#DIV/0!</v>
      </c>
      <c r="AK17" s="70">
        <f t="shared" si="21"/>
        <v>0</v>
      </c>
      <c r="AL17" s="70">
        <f t="shared" si="22"/>
        <v>0</v>
      </c>
      <c r="AM17" s="9" t="e">
        <f t="shared" si="13"/>
        <v>#DIV/0!</v>
      </c>
      <c r="AN17" s="34"/>
      <c r="AO17" s="34"/>
      <c r="AP17" s="34"/>
      <c r="AQ17" s="34"/>
      <c r="AR17" s="34"/>
      <c r="AS17" s="34"/>
      <c r="AT17" s="57">
        <f t="shared" si="23"/>
        <v>5081.3</v>
      </c>
      <c r="AU17" s="57">
        <f t="shared" si="24"/>
        <v>4782.7</v>
      </c>
      <c r="AV17" s="9">
        <f t="shared" si="7"/>
        <v>94.12355105976816</v>
      </c>
      <c r="AW17" s="70">
        <f t="shared" si="25"/>
        <v>298.60000000000036</v>
      </c>
      <c r="AX17" s="71">
        <f t="shared" si="26"/>
        <v>4892.8</v>
      </c>
      <c r="AY17" s="19">
        <f t="shared" si="14"/>
        <v>5081.3</v>
      </c>
      <c r="AZ17" s="19">
        <f t="shared" si="15"/>
        <v>4782.7</v>
      </c>
      <c r="BA17" s="68">
        <f t="shared" si="16"/>
        <v>4892.8</v>
      </c>
      <c r="BB17" s="35"/>
      <c r="BC17" s="36"/>
      <c r="BD17" s="36"/>
      <c r="BE17" s="35"/>
      <c r="BF17" s="36"/>
      <c r="BG17" s="36"/>
      <c r="BH17" s="36"/>
      <c r="BI17" s="36"/>
    </row>
    <row r="18" spans="1:61" ht="34.5" customHeight="1">
      <c r="A18" s="11" t="s">
        <v>15</v>
      </c>
      <c r="B18" s="60" t="s">
        <v>55</v>
      </c>
      <c r="C18" s="69">
        <v>220.2</v>
      </c>
      <c r="D18" s="34">
        <v>215.2</v>
      </c>
      <c r="E18" s="34">
        <v>218.8</v>
      </c>
      <c r="F18" s="51">
        <f t="shared" si="1"/>
        <v>101.6728624535316</v>
      </c>
      <c r="G18" s="34">
        <v>205.1</v>
      </c>
      <c r="H18" s="34">
        <v>217.8</v>
      </c>
      <c r="I18" s="9">
        <f t="shared" si="8"/>
        <v>106.19210141394441</v>
      </c>
      <c r="J18" s="34">
        <v>202.5</v>
      </c>
      <c r="K18" s="34">
        <v>189.3</v>
      </c>
      <c r="L18" s="9">
        <f t="shared" si="9"/>
        <v>93.48148148148148</v>
      </c>
      <c r="M18" s="70">
        <f t="shared" si="17"/>
        <v>622.8</v>
      </c>
      <c r="N18" s="70">
        <f t="shared" si="18"/>
        <v>625.9000000000001</v>
      </c>
      <c r="O18" s="9">
        <f t="shared" si="10"/>
        <v>100.49775208734748</v>
      </c>
      <c r="P18" s="34">
        <v>229</v>
      </c>
      <c r="Q18" s="34">
        <v>190.6</v>
      </c>
      <c r="R18" s="9">
        <f t="shared" si="11"/>
        <v>83.23144104803492</v>
      </c>
      <c r="S18" s="34">
        <v>223.6</v>
      </c>
      <c r="T18" s="34">
        <v>240.2</v>
      </c>
      <c r="U18" s="9">
        <f t="shared" si="12"/>
        <v>107.42397137745974</v>
      </c>
      <c r="V18" s="34">
        <v>242.3</v>
      </c>
      <c r="W18" s="34">
        <v>214.1</v>
      </c>
      <c r="X18" s="9">
        <f t="shared" si="2"/>
        <v>88.3615352868345</v>
      </c>
      <c r="Y18" s="70">
        <f t="shared" si="19"/>
        <v>694.9000000000001</v>
      </c>
      <c r="Z18" s="70">
        <f t="shared" si="20"/>
        <v>644.9</v>
      </c>
      <c r="AA18" s="9">
        <f t="shared" si="3"/>
        <v>92.80472010361201</v>
      </c>
      <c r="AB18" s="34"/>
      <c r="AC18" s="34"/>
      <c r="AD18" s="9" t="e">
        <f t="shared" si="4"/>
        <v>#DIV/0!</v>
      </c>
      <c r="AE18" s="34"/>
      <c r="AF18" s="34"/>
      <c r="AG18" s="9" t="e">
        <f t="shared" si="5"/>
        <v>#DIV/0!</v>
      </c>
      <c r="AH18" s="34"/>
      <c r="AI18" s="34"/>
      <c r="AJ18" s="9" t="e">
        <f t="shared" si="6"/>
        <v>#DIV/0!</v>
      </c>
      <c r="AK18" s="70">
        <f t="shared" si="21"/>
        <v>0</v>
      </c>
      <c r="AL18" s="70">
        <f t="shared" si="22"/>
        <v>0</v>
      </c>
      <c r="AM18" s="9" t="e">
        <f t="shared" si="13"/>
        <v>#DIV/0!</v>
      </c>
      <c r="AN18" s="34"/>
      <c r="AO18" s="34"/>
      <c r="AP18" s="34"/>
      <c r="AQ18" s="34"/>
      <c r="AR18" s="34"/>
      <c r="AS18" s="34"/>
      <c r="AT18" s="57">
        <f t="shared" si="23"/>
        <v>1317.7</v>
      </c>
      <c r="AU18" s="57">
        <f t="shared" si="24"/>
        <v>1270.8000000000002</v>
      </c>
      <c r="AV18" s="9">
        <f t="shared" si="7"/>
        <v>96.44076800485696</v>
      </c>
      <c r="AW18" s="70">
        <f t="shared" si="25"/>
        <v>46.899999999999864</v>
      </c>
      <c r="AX18" s="71">
        <f t="shared" si="26"/>
        <v>267.0999999999999</v>
      </c>
      <c r="AY18" s="19">
        <f t="shared" si="14"/>
        <v>1317.7</v>
      </c>
      <c r="AZ18" s="19">
        <f t="shared" si="15"/>
        <v>1270.8000000000002</v>
      </c>
      <c r="BA18" s="68">
        <f t="shared" si="16"/>
        <v>267.0999999999999</v>
      </c>
      <c r="BB18" s="35"/>
      <c r="BC18" s="36"/>
      <c r="BD18" s="36"/>
      <c r="BE18" s="35"/>
      <c r="BF18" s="36"/>
      <c r="BG18" s="36"/>
      <c r="BH18" s="36"/>
      <c r="BI18" s="36"/>
    </row>
    <row r="19" spans="1:61" ht="34.5" customHeight="1">
      <c r="A19" s="11" t="s">
        <v>16</v>
      </c>
      <c r="B19" s="56" t="s">
        <v>56</v>
      </c>
      <c r="C19" s="69">
        <v>2338.6</v>
      </c>
      <c r="D19" s="34">
        <v>938.1</v>
      </c>
      <c r="E19" s="34">
        <v>879.4</v>
      </c>
      <c r="F19" s="51">
        <f t="shared" si="1"/>
        <v>93.74267135699819</v>
      </c>
      <c r="G19" s="34">
        <v>864.2</v>
      </c>
      <c r="H19" s="34">
        <v>854.4</v>
      </c>
      <c r="I19" s="9">
        <f t="shared" si="8"/>
        <v>98.86600323999073</v>
      </c>
      <c r="J19" s="34">
        <v>876.6</v>
      </c>
      <c r="K19" s="34">
        <v>793.8</v>
      </c>
      <c r="L19" s="59">
        <f t="shared" si="9"/>
        <v>90.55441478439424</v>
      </c>
      <c r="M19" s="70">
        <f t="shared" si="17"/>
        <v>2678.9</v>
      </c>
      <c r="N19" s="70">
        <f t="shared" si="18"/>
        <v>2527.6</v>
      </c>
      <c r="O19" s="9">
        <f t="shared" si="10"/>
        <v>94.35215946843853</v>
      </c>
      <c r="P19" s="34">
        <v>912.2</v>
      </c>
      <c r="Q19" s="34">
        <v>810.4</v>
      </c>
      <c r="R19" s="9">
        <f t="shared" si="11"/>
        <v>88.84016663012495</v>
      </c>
      <c r="S19" s="34">
        <v>970.9</v>
      </c>
      <c r="T19" s="34">
        <v>884</v>
      </c>
      <c r="U19" s="9">
        <f t="shared" si="12"/>
        <v>91.04954166237512</v>
      </c>
      <c r="V19" s="34">
        <v>986.8</v>
      </c>
      <c r="W19" s="34">
        <v>860.3</v>
      </c>
      <c r="X19" s="102">
        <f t="shared" si="2"/>
        <v>87.18078638021889</v>
      </c>
      <c r="Y19" s="70">
        <f t="shared" si="19"/>
        <v>2869.8999999999996</v>
      </c>
      <c r="Z19" s="70">
        <f t="shared" si="20"/>
        <v>2554.7</v>
      </c>
      <c r="AA19" s="9">
        <f t="shared" si="3"/>
        <v>89.01703892121677</v>
      </c>
      <c r="AB19" s="34"/>
      <c r="AC19" s="34"/>
      <c r="AD19" s="9" t="e">
        <f t="shared" si="4"/>
        <v>#DIV/0!</v>
      </c>
      <c r="AE19" s="34"/>
      <c r="AF19" s="34"/>
      <c r="AG19" s="9" t="e">
        <f t="shared" si="5"/>
        <v>#DIV/0!</v>
      </c>
      <c r="AH19" s="34"/>
      <c r="AI19" s="34"/>
      <c r="AJ19" s="9" t="e">
        <f t="shared" si="6"/>
        <v>#DIV/0!</v>
      </c>
      <c r="AK19" s="70">
        <f t="shared" si="21"/>
        <v>0</v>
      </c>
      <c r="AL19" s="70">
        <f t="shared" si="22"/>
        <v>0</v>
      </c>
      <c r="AM19" s="9" t="e">
        <f t="shared" si="13"/>
        <v>#DIV/0!</v>
      </c>
      <c r="AN19" s="34"/>
      <c r="AO19" s="34"/>
      <c r="AP19" s="34"/>
      <c r="AQ19" s="34"/>
      <c r="AR19" s="34"/>
      <c r="AS19" s="34"/>
      <c r="AT19" s="57">
        <f t="shared" si="23"/>
        <v>5548.799999999999</v>
      </c>
      <c r="AU19" s="57">
        <f t="shared" si="24"/>
        <v>5082.299999999999</v>
      </c>
      <c r="AV19" s="9">
        <f t="shared" si="7"/>
        <v>91.592776816609</v>
      </c>
      <c r="AW19" s="70">
        <f t="shared" si="25"/>
        <v>466.5</v>
      </c>
      <c r="AX19" s="71">
        <f t="shared" si="26"/>
        <v>2805.1000000000004</v>
      </c>
      <c r="AY19" s="19">
        <f t="shared" si="14"/>
        <v>5548.799999999999</v>
      </c>
      <c r="AZ19" s="19">
        <f t="shared" si="15"/>
        <v>5082.299999999999</v>
      </c>
      <c r="BA19" s="68">
        <f t="shared" si="16"/>
        <v>2805.1000000000004</v>
      </c>
      <c r="BB19" s="35"/>
      <c r="BC19" s="36"/>
      <c r="BD19" s="36"/>
      <c r="BE19" s="35"/>
      <c r="BF19" s="36"/>
      <c r="BG19" s="36"/>
      <c r="BH19" s="36"/>
      <c r="BI19" s="36"/>
    </row>
    <row r="20" spans="1:61" ht="34.5" customHeight="1">
      <c r="A20" s="11" t="s">
        <v>17</v>
      </c>
      <c r="B20" s="60" t="s">
        <v>57</v>
      </c>
      <c r="C20" s="73">
        <v>630.5</v>
      </c>
      <c r="D20" s="34">
        <v>339</v>
      </c>
      <c r="E20" s="34">
        <v>280.5</v>
      </c>
      <c r="F20" s="51">
        <f t="shared" si="1"/>
        <v>82.7433628318584</v>
      </c>
      <c r="G20" s="34">
        <v>354</v>
      </c>
      <c r="H20" s="34">
        <v>296.6</v>
      </c>
      <c r="I20" s="9">
        <f t="shared" si="8"/>
        <v>83.78531073446328</v>
      </c>
      <c r="J20" s="34">
        <v>384.7</v>
      </c>
      <c r="K20" s="34">
        <v>311</v>
      </c>
      <c r="L20" s="9">
        <f t="shared" si="9"/>
        <v>80.8422147127632</v>
      </c>
      <c r="M20" s="70">
        <f t="shared" si="17"/>
        <v>1077.7</v>
      </c>
      <c r="N20" s="70">
        <f t="shared" si="18"/>
        <v>888.1</v>
      </c>
      <c r="O20" s="9">
        <f t="shared" si="10"/>
        <v>82.40697782314189</v>
      </c>
      <c r="P20" s="34">
        <v>406.94</v>
      </c>
      <c r="Q20" s="34">
        <v>342.21</v>
      </c>
      <c r="R20" s="9">
        <f t="shared" si="11"/>
        <v>84.09347815402761</v>
      </c>
      <c r="S20" s="34">
        <v>401.7</v>
      </c>
      <c r="T20" s="34">
        <v>405</v>
      </c>
      <c r="U20" s="9">
        <f t="shared" si="12"/>
        <v>100.82150858849887</v>
      </c>
      <c r="V20" s="34">
        <v>447.8</v>
      </c>
      <c r="W20" s="34">
        <v>349.2</v>
      </c>
      <c r="X20" s="9">
        <f t="shared" si="2"/>
        <v>77.98124162572576</v>
      </c>
      <c r="Y20" s="70">
        <f t="shared" si="19"/>
        <v>1256.44</v>
      </c>
      <c r="Z20" s="70">
        <f t="shared" si="20"/>
        <v>1096.41</v>
      </c>
      <c r="AA20" s="9">
        <f t="shared" si="3"/>
        <v>87.26321989112094</v>
      </c>
      <c r="AB20" s="34"/>
      <c r="AC20" s="34"/>
      <c r="AD20" s="9" t="e">
        <f t="shared" si="4"/>
        <v>#DIV/0!</v>
      </c>
      <c r="AE20" s="34"/>
      <c r="AF20" s="34"/>
      <c r="AG20" s="9" t="e">
        <f t="shared" si="5"/>
        <v>#DIV/0!</v>
      </c>
      <c r="AH20" s="34"/>
      <c r="AI20" s="34"/>
      <c r="AJ20" s="9" t="e">
        <f t="shared" si="6"/>
        <v>#DIV/0!</v>
      </c>
      <c r="AK20" s="70">
        <f t="shared" si="21"/>
        <v>0</v>
      </c>
      <c r="AL20" s="70">
        <f t="shared" si="22"/>
        <v>0</v>
      </c>
      <c r="AM20" s="9" t="e">
        <f t="shared" si="13"/>
        <v>#DIV/0!</v>
      </c>
      <c r="AN20" s="34"/>
      <c r="AO20" s="34"/>
      <c r="AP20" s="34"/>
      <c r="AQ20" s="34"/>
      <c r="AR20" s="34"/>
      <c r="AS20" s="34"/>
      <c r="AT20" s="57">
        <f t="shared" si="23"/>
        <v>2334.1400000000003</v>
      </c>
      <c r="AU20" s="57">
        <f t="shared" si="24"/>
        <v>1984.5100000000002</v>
      </c>
      <c r="AV20" s="9">
        <f t="shared" si="7"/>
        <v>85.02103558484066</v>
      </c>
      <c r="AW20" s="70">
        <f t="shared" si="25"/>
        <v>349.6300000000001</v>
      </c>
      <c r="AX20" s="71">
        <f t="shared" si="26"/>
        <v>980.1300000000001</v>
      </c>
      <c r="AY20" s="19">
        <f t="shared" si="14"/>
        <v>2334.1400000000003</v>
      </c>
      <c r="AZ20" s="19">
        <f t="shared" si="15"/>
        <v>1984.5100000000002</v>
      </c>
      <c r="BA20" s="68">
        <f t="shared" si="16"/>
        <v>980.1300000000001</v>
      </c>
      <c r="BB20" s="35"/>
      <c r="BC20" s="36"/>
      <c r="BD20" s="36"/>
      <c r="BE20" s="35"/>
      <c r="BF20" s="36"/>
      <c r="BG20" s="36"/>
      <c r="BH20" s="36"/>
      <c r="BI20" s="36"/>
    </row>
    <row r="21" spans="1:61" ht="34.5" customHeight="1">
      <c r="A21" s="11" t="s">
        <v>18</v>
      </c>
      <c r="B21" s="60" t="s">
        <v>58</v>
      </c>
      <c r="C21" s="69">
        <v>2.4</v>
      </c>
      <c r="D21" s="34">
        <v>21.8</v>
      </c>
      <c r="E21" s="34">
        <v>15.9</v>
      </c>
      <c r="F21" s="51">
        <f t="shared" si="1"/>
        <v>72.93577981651376</v>
      </c>
      <c r="G21" s="34">
        <v>27.6</v>
      </c>
      <c r="H21" s="34">
        <v>19.8</v>
      </c>
      <c r="I21" s="9">
        <f t="shared" si="8"/>
        <v>71.73913043478261</v>
      </c>
      <c r="J21" s="34">
        <v>26.78</v>
      </c>
      <c r="K21" s="34">
        <v>22.92</v>
      </c>
      <c r="L21" s="9">
        <f t="shared" si="9"/>
        <v>85.58625840179238</v>
      </c>
      <c r="M21" s="70">
        <f t="shared" si="17"/>
        <v>76.18</v>
      </c>
      <c r="N21" s="70">
        <f t="shared" si="18"/>
        <v>58.620000000000005</v>
      </c>
      <c r="O21" s="9">
        <f t="shared" si="10"/>
        <v>76.94933053294828</v>
      </c>
      <c r="P21" s="34">
        <v>37.418</v>
      </c>
      <c r="Q21" s="34">
        <v>38.917</v>
      </c>
      <c r="R21" s="9">
        <f t="shared" si="11"/>
        <v>104.00609332406863</v>
      </c>
      <c r="S21" s="34">
        <v>38</v>
      </c>
      <c r="T21" s="34">
        <v>39.4</v>
      </c>
      <c r="U21" s="9">
        <f t="shared" si="12"/>
        <v>103.68421052631578</v>
      </c>
      <c r="V21" s="34">
        <v>39.8</v>
      </c>
      <c r="W21" s="34">
        <v>35.9</v>
      </c>
      <c r="X21" s="9">
        <f t="shared" si="2"/>
        <v>90.20100502512564</v>
      </c>
      <c r="Y21" s="70">
        <f t="shared" si="19"/>
        <v>115.218</v>
      </c>
      <c r="Z21" s="70">
        <f t="shared" si="20"/>
        <v>114.21700000000001</v>
      </c>
      <c r="AA21" s="9">
        <f t="shared" si="3"/>
        <v>99.1312121369925</v>
      </c>
      <c r="AB21" s="34"/>
      <c r="AC21" s="34"/>
      <c r="AD21" s="9" t="e">
        <f t="shared" si="4"/>
        <v>#DIV/0!</v>
      </c>
      <c r="AE21" s="34"/>
      <c r="AF21" s="34"/>
      <c r="AG21" s="9" t="e">
        <f t="shared" si="5"/>
        <v>#DIV/0!</v>
      </c>
      <c r="AH21" s="34"/>
      <c r="AI21" s="34"/>
      <c r="AJ21" s="9" t="e">
        <f t="shared" si="6"/>
        <v>#DIV/0!</v>
      </c>
      <c r="AK21" s="70">
        <f t="shared" si="21"/>
        <v>0</v>
      </c>
      <c r="AL21" s="70">
        <f t="shared" si="22"/>
        <v>0</v>
      </c>
      <c r="AM21" s="9" t="e">
        <f t="shared" si="13"/>
        <v>#DIV/0!</v>
      </c>
      <c r="AN21" s="34"/>
      <c r="AO21" s="34"/>
      <c r="AP21" s="34"/>
      <c r="AQ21" s="34"/>
      <c r="AR21" s="34"/>
      <c r="AS21" s="34"/>
      <c r="AT21" s="57">
        <f t="shared" si="23"/>
        <v>191.39800000000002</v>
      </c>
      <c r="AU21" s="57">
        <f t="shared" si="24"/>
        <v>172.83700000000002</v>
      </c>
      <c r="AV21" s="9">
        <f t="shared" si="7"/>
        <v>90.30240650372522</v>
      </c>
      <c r="AW21" s="70">
        <f t="shared" si="25"/>
        <v>18.561000000000007</v>
      </c>
      <c r="AX21" s="71">
        <f t="shared" si="26"/>
        <v>20.961000000000013</v>
      </c>
      <c r="AY21" s="19">
        <f t="shared" si="14"/>
        <v>191.39800000000002</v>
      </c>
      <c r="AZ21" s="19">
        <f t="shared" si="15"/>
        <v>172.83700000000002</v>
      </c>
      <c r="BA21" s="68">
        <f t="shared" si="16"/>
        <v>20.961000000000013</v>
      </c>
      <c r="BB21" s="35"/>
      <c r="BC21" s="36"/>
      <c r="BD21" s="36"/>
      <c r="BE21" s="35"/>
      <c r="BF21" s="36"/>
      <c r="BG21" s="36"/>
      <c r="BH21" s="36"/>
      <c r="BI21" s="36"/>
    </row>
    <row r="22" spans="1:61" ht="34.5" customHeight="1">
      <c r="A22" s="11" t="s">
        <v>19</v>
      </c>
      <c r="B22" s="60" t="s">
        <v>41</v>
      </c>
      <c r="C22" s="75">
        <v>-0.8</v>
      </c>
      <c r="D22" s="63">
        <v>202.1</v>
      </c>
      <c r="E22" s="63">
        <v>190.1</v>
      </c>
      <c r="F22" s="51">
        <f t="shared" si="1"/>
        <v>94.06234537357744</v>
      </c>
      <c r="G22" s="34">
        <v>153.8</v>
      </c>
      <c r="H22" s="34">
        <v>140.6</v>
      </c>
      <c r="I22" s="9">
        <f t="shared" si="8"/>
        <v>91.41742522756826</v>
      </c>
      <c r="J22" s="34">
        <v>266.80000000000007</v>
      </c>
      <c r="K22" s="34">
        <v>194.9</v>
      </c>
      <c r="L22" s="77">
        <f t="shared" si="9"/>
        <v>73.05097451274362</v>
      </c>
      <c r="M22" s="70">
        <f t="shared" si="17"/>
        <v>622.7</v>
      </c>
      <c r="N22" s="70">
        <f t="shared" si="18"/>
        <v>525.6</v>
      </c>
      <c r="O22" s="9">
        <f t="shared" si="10"/>
        <v>84.40661634816124</v>
      </c>
      <c r="P22" s="34">
        <v>256.79999999999995</v>
      </c>
      <c r="Q22" s="34">
        <v>194.79999999999995</v>
      </c>
      <c r="R22" s="9">
        <f t="shared" si="11"/>
        <v>75.85669781931463</v>
      </c>
      <c r="S22" s="34">
        <v>144.8</v>
      </c>
      <c r="T22" s="34">
        <v>114.7</v>
      </c>
      <c r="U22" s="9">
        <f t="shared" si="12"/>
        <v>79.21270718232044</v>
      </c>
      <c r="V22" s="34">
        <v>226.6</v>
      </c>
      <c r="W22" s="34">
        <v>179</v>
      </c>
      <c r="X22" s="103">
        <f t="shared" si="2"/>
        <v>78.99382171226831</v>
      </c>
      <c r="Y22" s="70">
        <f t="shared" si="19"/>
        <v>628.1999999999999</v>
      </c>
      <c r="Z22" s="70">
        <f t="shared" si="20"/>
        <v>488.49999999999994</v>
      </c>
      <c r="AA22" s="9">
        <f t="shared" si="3"/>
        <v>77.76185928048392</v>
      </c>
      <c r="AB22" s="34"/>
      <c r="AC22" s="34"/>
      <c r="AD22" s="9" t="e">
        <f t="shared" si="4"/>
        <v>#DIV/0!</v>
      </c>
      <c r="AE22" s="34"/>
      <c r="AF22" s="34"/>
      <c r="AG22" s="9" t="e">
        <f t="shared" si="5"/>
        <v>#DIV/0!</v>
      </c>
      <c r="AH22" s="34"/>
      <c r="AI22" s="34"/>
      <c r="AJ22" s="9" t="e">
        <f t="shared" si="6"/>
        <v>#DIV/0!</v>
      </c>
      <c r="AK22" s="70">
        <f t="shared" si="21"/>
        <v>0</v>
      </c>
      <c r="AL22" s="70">
        <f t="shared" si="22"/>
        <v>0</v>
      </c>
      <c r="AM22" s="9" t="e">
        <f t="shared" si="13"/>
        <v>#DIV/0!</v>
      </c>
      <c r="AN22" s="34"/>
      <c r="AO22" s="34"/>
      <c r="AP22" s="34"/>
      <c r="AQ22" s="34"/>
      <c r="AR22" s="34"/>
      <c r="AS22" s="34"/>
      <c r="AT22" s="57">
        <f t="shared" si="23"/>
        <v>1250.9</v>
      </c>
      <c r="AU22" s="57">
        <f t="shared" si="24"/>
        <v>1014.0999999999999</v>
      </c>
      <c r="AV22" s="9">
        <f t="shared" si="7"/>
        <v>81.0696298664961</v>
      </c>
      <c r="AW22" s="70">
        <f t="shared" si="25"/>
        <v>236.80000000000018</v>
      </c>
      <c r="AX22" s="71">
        <f t="shared" si="26"/>
        <v>236.00000000000023</v>
      </c>
      <c r="AY22" s="19">
        <f t="shared" si="14"/>
        <v>1250.9</v>
      </c>
      <c r="AZ22" s="19">
        <f t="shared" si="15"/>
        <v>1014.0999999999999</v>
      </c>
      <c r="BA22" s="68">
        <f t="shared" si="16"/>
        <v>236.00000000000023</v>
      </c>
      <c r="BB22" s="35"/>
      <c r="BC22" s="36"/>
      <c r="BD22" s="36"/>
      <c r="BE22" s="35"/>
      <c r="BF22" s="36"/>
      <c r="BG22" s="36"/>
      <c r="BH22" s="36"/>
      <c r="BI22" s="36"/>
    </row>
    <row r="23" spans="1:61" ht="34.5" customHeight="1">
      <c r="A23" s="11" t="s">
        <v>20</v>
      </c>
      <c r="B23" s="60" t="s">
        <v>84</v>
      </c>
      <c r="C23" s="69">
        <v>28.4</v>
      </c>
      <c r="D23" s="34">
        <v>27.6</v>
      </c>
      <c r="E23" s="34">
        <v>27.4</v>
      </c>
      <c r="F23" s="51">
        <f t="shared" si="1"/>
        <v>99.27536231884056</v>
      </c>
      <c r="G23" s="34">
        <v>27.1</v>
      </c>
      <c r="H23" s="34">
        <v>23.6</v>
      </c>
      <c r="I23" s="9">
        <f t="shared" si="8"/>
        <v>87.08487084870849</v>
      </c>
      <c r="J23" s="34">
        <v>26.5</v>
      </c>
      <c r="K23" s="34">
        <v>26.2</v>
      </c>
      <c r="L23" s="77">
        <f t="shared" si="9"/>
        <v>98.86792452830188</v>
      </c>
      <c r="M23" s="70">
        <f t="shared" si="17"/>
        <v>81.2</v>
      </c>
      <c r="N23" s="70">
        <f t="shared" si="18"/>
        <v>77.2</v>
      </c>
      <c r="O23" s="9">
        <f t="shared" si="10"/>
        <v>95.07389162561576</v>
      </c>
      <c r="P23" s="34">
        <v>29.3</v>
      </c>
      <c r="Q23" s="34">
        <v>22.9</v>
      </c>
      <c r="R23" s="9">
        <f t="shared" si="11"/>
        <v>78.15699658703072</v>
      </c>
      <c r="S23" s="34">
        <v>31.5</v>
      </c>
      <c r="T23" s="34">
        <v>32.6</v>
      </c>
      <c r="U23" s="9">
        <f t="shared" si="12"/>
        <v>103.49206349206351</v>
      </c>
      <c r="V23" s="34">
        <v>34.2</v>
      </c>
      <c r="W23" s="34">
        <v>26.7</v>
      </c>
      <c r="X23" s="103">
        <f t="shared" si="2"/>
        <v>78.07017543859648</v>
      </c>
      <c r="Y23" s="70">
        <f t="shared" si="19"/>
        <v>95</v>
      </c>
      <c r="Z23" s="70">
        <f t="shared" si="20"/>
        <v>82.2</v>
      </c>
      <c r="AA23" s="9">
        <f t="shared" si="3"/>
        <v>86.52631578947368</v>
      </c>
      <c r="AB23" s="34"/>
      <c r="AC23" s="34"/>
      <c r="AD23" s="9" t="e">
        <f t="shared" si="4"/>
        <v>#DIV/0!</v>
      </c>
      <c r="AE23" s="34"/>
      <c r="AF23" s="34"/>
      <c r="AG23" s="9" t="e">
        <f t="shared" si="5"/>
        <v>#DIV/0!</v>
      </c>
      <c r="AH23" s="34"/>
      <c r="AI23" s="34"/>
      <c r="AJ23" s="9" t="e">
        <f t="shared" si="6"/>
        <v>#DIV/0!</v>
      </c>
      <c r="AK23" s="70">
        <f t="shared" si="21"/>
        <v>0</v>
      </c>
      <c r="AL23" s="70">
        <f t="shared" si="22"/>
        <v>0</v>
      </c>
      <c r="AM23" s="9" t="e">
        <f t="shared" si="13"/>
        <v>#DIV/0!</v>
      </c>
      <c r="AN23" s="34"/>
      <c r="AO23" s="34"/>
      <c r="AP23" s="34"/>
      <c r="AQ23" s="34"/>
      <c r="AR23" s="34"/>
      <c r="AS23" s="34"/>
      <c r="AT23" s="57">
        <f t="shared" si="23"/>
        <v>176.2</v>
      </c>
      <c r="AU23" s="57">
        <f t="shared" si="24"/>
        <v>159.4</v>
      </c>
      <c r="AV23" s="9">
        <f t="shared" si="7"/>
        <v>90.46538024971625</v>
      </c>
      <c r="AW23" s="70">
        <f t="shared" si="25"/>
        <v>16.799999999999983</v>
      </c>
      <c r="AX23" s="71">
        <f t="shared" si="26"/>
        <v>45.19999999999999</v>
      </c>
      <c r="AY23" s="19">
        <f t="shared" si="14"/>
        <v>176.2</v>
      </c>
      <c r="AZ23" s="19">
        <f t="shared" si="15"/>
        <v>159.4</v>
      </c>
      <c r="BA23" s="68">
        <f t="shared" si="16"/>
        <v>45.19999999999999</v>
      </c>
      <c r="BB23" s="35"/>
      <c r="BC23" s="36"/>
      <c r="BD23" s="36"/>
      <c r="BE23" s="35"/>
      <c r="BF23" s="36"/>
      <c r="BG23" s="36"/>
      <c r="BH23" s="36"/>
      <c r="BI23" s="36"/>
    </row>
    <row r="24" spans="1:61" ht="34.5" customHeight="1">
      <c r="A24" s="11" t="s">
        <v>21</v>
      </c>
      <c r="B24" s="60" t="s">
        <v>40</v>
      </c>
      <c r="C24" s="69">
        <v>2805</v>
      </c>
      <c r="D24" s="34">
        <v>1968.7</v>
      </c>
      <c r="E24" s="34">
        <v>1998</v>
      </c>
      <c r="F24" s="51">
        <f t="shared" si="1"/>
        <v>101.4882917661401</v>
      </c>
      <c r="G24" s="34">
        <v>1971.8</v>
      </c>
      <c r="H24" s="34">
        <v>1797.5</v>
      </c>
      <c r="I24" s="9">
        <f t="shared" si="8"/>
        <v>91.16036109138858</v>
      </c>
      <c r="J24" s="34">
        <v>1964.5</v>
      </c>
      <c r="K24" s="34">
        <v>1726.5</v>
      </c>
      <c r="L24" s="9">
        <f t="shared" si="9"/>
        <v>87.88495800458132</v>
      </c>
      <c r="M24" s="70">
        <f t="shared" si="17"/>
        <v>5905</v>
      </c>
      <c r="N24" s="70">
        <f t="shared" si="18"/>
        <v>5522</v>
      </c>
      <c r="O24" s="9">
        <f t="shared" si="10"/>
        <v>93.51397121083828</v>
      </c>
      <c r="P24" s="34">
        <v>1960</v>
      </c>
      <c r="Q24" s="34">
        <v>1937</v>
      </c>
      <c r="R24" s="9">
        <f t="shared" si="11"/>
        <v>98.8265306122449</v>
      </c>
      <c r="S24" s="34">
        <v>1932.1</v>
      </c>
      <c r="T24" s="34">
        <v>1824.3</v>
      </c>
      <c r="U24" s="9">
        <f t="shared" si="12"/>
        <v>94.42057864499768</v>
      </c>
      <c r="V24" s="34">
        <v>1960.3</v>
      </c>
      <c r="W24" s="34">
        <v>1802.1</v>
      </c>
      <c r="X24" s="103">
        <f t="shared" si="2"/>
        <v>91.92980666224557</v>
      </c>
      <c r="Y24" s="70">
        <f t="shared" si="19"/>
        <v>5852.4</v>
      </c>
      <c r="Z24" s="70">
        <f t="shared" si="20"/>
        <v>5563.4</v>
      </c>
      <c r="AA24" s="9">
        <f t="shared" si="3"/>
        <v>95.06185496548424</v>
      </c>
      <c r="AB24" s="34"/>
      <c r="AC24" s="34"/>
      <c r="AD24" s="9" t="e">
        <f t="shared" si="4"/>
        <v>#DIV/0!</v>
      </c>
      <c r="AE24" s="34"/>
      <c r="AF24" s="34"/>
      <c r="AG24" s="9" t="e">
        <f t="shared" si="5"/>
        <v>#DIV/0!</v>
      </c>
      <c r="AH24" s="34"/>
      <c r="AI24" s="34"/>
      <c r="AJ24" s="9" t="e">
        <f t="shared" si="6"/>
        <v>#DIV/0!</v>
      </c>
      <c r="AK24" s="70">
        <f t="shared" si="21"/>
        <v>0</v>
      </c>
      <c r="AL24" s="70">
        <f t="shared" si="22"/>
        <v>0</v>
      </c>
      <c r="AM24" s="9" t="e">
        <f t="shared" si="13"/>
        <v>#DIV/0!</v>
      </c>
      <c r="AN24" s="34"/>
      <c r="AO24" s="34"/>
      <c r="AP24" s="34"/>
      <c r="AQ24" s="34"/>
      <c r="AR24" s="34"/>
      <c r="AS24" s="34"/>
      <c r="AT24" s="57">
        <f t="shared" si="23"/>
        <v>11757.4</v>
      </c>
      <c r="AU24" s="57">
        <f t="shared" si="24"/>
        <v>11085.4</v>
      </c>
      <c r="AV24" s="9">
        <f t="shared" si="7"/>
        <v>94.28445064384982</v>
      </c>
      <c r="AW24" s="70">
        <f t="shared" si="25"/>
        <v>672</v>
      </c>
      <c r="AX24" s="71">
        <f t="shared" si="26"/>
        <v>3477</v>
      </c>
      <c r="AY24" s="19">
        <f t="shared" si="14"/>
        <v>11757.4</v>
      </c>
      <c r="AZ24" s="19">
        <f t="shared" si="15"/>
        <v>11085.4</v>
      </c>
      <c r="BA24" s="68">
        <f t="shared" si="16"/>
        <v>3477</v>
      </c>
      <c r="BB24" s="35"/>
      <c r="BC24" s="36"/>
      <c r="BD24" s="36"/>
      <c r="BE24" s="35"/>
      <c r="BF24" s="36"/>
      <c r="BG24" s="36"/>
      <c r="BH24" s="36"/>
      <c r="BI24" s="36"/>
    </row>
    <row r="25" spans="1:61" ht="34.5" customHeight="1">
      <c r="A25" s="11" t="s">
        <v>22</v>
      </c>
      <c r="B25" s="56" t="s">
        <v>43</v>
      </c>
      <c r="C25" s="69">
        <v>290.5</v>
      </c>
      <c r="D25" s="34">
        <v>299.9</v>
      </c>
      <c r="E25" s="34">
        <v>301.9</v>
      </c>
      <c r="F25" s="51">
        <f t="shared" si="1"/>
        <v>100.66688896298766</v>
      </c>
      <c r="G25" s="34">
        <v>329.8</v>
      </c>
      <c r="H25" s="34">
        <v>281.7</v>
      </c>
      <c r="I25" s="9">
        <f t="shared" si="8"/>
        <v>85.41540327471195</v>
      </c>
      <c r="J25" s="34">
        <v>361.2232</v>
      </c>
      <c r="K25" s="34">
        <v>277.76865</v>
      </c>
      <c r="L25" s="9">
        <f t="shared" si="9"/>
        <v>76.89668050114167</v>
      </c>
      <c r="M25" s="70">
        <f t="shared" si="17"/>
        <v>990.9232000000001</v>
      </c>
      <c r="N25" s="70">
        <f t="shared" si="18"/>
        <v>861.3686499999999</v>
      </c>
      <c r="O25" s="9">
        <f t="shared" si="10"/>
        <v>86.925873771045</v>
      </c>
      <c r="P25" s="34">
        <v>368.44301</v>
      </c>
      <c r="Q25" s="34">
        <v>340.69205</v>
      </c>
      <c r="R25" s="9">
        <f t="shared" si="11"/>
        <v>92.46804546515891</v>
      </c>
      <c r="S25" s="34">
        <v>352.8</v>
      </c>
      <c r="T25" s="34">
        <v>353.9</v>
      </c>
      <c r="U25" s="9">
        <f t="shared" si="12"/>
        <v>100.31179138321995</v>
      </c>
      <c r="V25" s="34">
        <v>381.4</v>
      </c>
      <c r="W25" s="34">
        <v>342.6</v>
      </c>
      <c r="X25" s="9">
        <f>W25/V25*100</f>
        <v>89.82695332983745</v>
      </c>
      <c r="Y25" s="70">
        <f t="shared" si="19"/>
        <v>1102.64301</v>
      </c>
      <c r="Z25" s="70">
        <f t="shared" si="20"/>
        <v>1037.19205</v>
      </c>
      <c r="AA25" s="9">
        <f t="shared" si="3"/>
        <v>94.06417494996863</v>
      </c>
      <c r="AB25" s="34"/>
      <c r="AC25" s="34"/>
      <c r="AD25" s="9" t="e">
        <f t="shared" si="4"/>
        <v>#DIV/0!</v>
      </c>
      <c r="AE25" s="34"/>
      <c r="AF25" s="34"/>
      <c r="AG25" s="9" t="e">
        <f t="shared" si="5"/>
        <v>#DIV/0!</v>
      </c>
      <c r="AH25" s="34"/>
      <c r="AI25" s="34"/>
      <c r="AJ25" s="9" t="e">
        <f t="shared" si="6"/>
        <v>#DIV/0!</v>
      </c>
      <c r="AK25" s="70">
        <f t="shared" si="21"/>
        <v>0</v>
      </c>
      <c r="AL25" s="70">
        <f t="shared" si="22"/>
        <v>0</v>
      </c>
      <c r="AM25" s="9" t="e">
        <f t="shared" si="13"/>
        <v>#DIV/0!</v>
      </c>
      <c r="AN25" s="34"/>
      <c r="AO25" s="34"/>
      <c r="AP25" s="34"/>
      <c r="AQ25" s="34"/>
      <c r="AR25" s="34"/>
      <c r="AS25" s="34"/>
      <c r="AT25" s="57">
        <f t="shared" si="23"/>
        <v>2093.56621</v>
      </c>
      <c r="AU25" s="57">
        <f t="shared" si="24"/>
        <v>1898.5607</v>
      </c>
      <c r="AV25" s="9">
        <f t="shared" si="7"/>
        <v>90.68548636921304</v>
      </c>
      <c r="AW25" s="70">
        <f t="shared" si="25"/>
        <v>195.00550999999996</v>
      </c>
      <c r="AX25" s="71">
        <f t="shared" si="26"/>
        <v>485.50550999999996</v>
      </c>
      <c r="AY25" s="19">
        <f t="shared" si="14"/>
        <v>2093.56621</v>
      </c>
      <c r="AZ25" s="19">
        <f t="shared" si="15"/>
        <v>1898.5607</v>
      </c>
      <c r="BA25" s="68">
        <f t="shared" si="16"/>
        <v>485.50550999999996</v>
      </c>
      <c r="BB25" s="35"/>
      <c r="BC25" s="36"/>
      <c r="BD25" s="36"/>
      <c r="BE25" s="35"/>
      <c r="BF25" s="36"/>
      <c r="BG25" s="36"/>
      <c r="BH25" s="36"/>
      <c r="BI25" s="36"/>
    </row>
    <row r="26" spans="1:61" ht="34.5" customHeight="1">
      <c r="A26" s="11" t="s">
        <v>23</v>
      </c>
      <c r="B26" s="60" t="s">
        <v>85</v>
      </c>
      <c r="C26" s="69">
        <v>162.2</v>
      </c>
      <c r="D26" s="34">
        <v>23.8</v>
      </c>
      <c r="E26" s="34">
        <v>24.7</v>
      </c>
      <c r="F26" s="51">
        <f t="shared" si="1"/>
        <v>103.781512605042</v>
      </c>
      <c r="G26" s="34">
        <v>32.2</v>
      </c>
      <c r="H26" s="34">
        <v>25.6</v>
      </c>
      <c r="I26" s="9">
        <f t="shared" si="8"/>
        <v>79.5031055900621</v>
      </c>
      <c r="J26" s="34">
        <v>28.8</v>
      </c>
      <c r="K26" s="34">
        <v>22.8</v>
      </c>
      <c r="L26" s="9">
        <f>K26/J26*100</f>
        <v>79.16666666666666</v>
      </c>
      <c r="M26" s="70">
        <f t="shared" si="17"/>
        <v>84.8</v>
      </c>
      <c r="N26" s="70">
        <f t="shared" si="18"/>
        <v>73.1</v>
      </c>
      <c r="O26" s="9">
        <f t="shared" si="10"/>
        <v>86.20283018867924</v>
      </c>
      <c r="P26" s="34">
        <v>27.3</v>
      </c>
      <c r="Q26" s="34">
        <v>23.9</v>
      </c>
      <c r="R26" s="9">
        <f t="shared" si="11"/>
        <v>87.54578754578753</v>
      </c>
      <c r="S26" s="34">
        <v>27.6</v>
      </c>
      <c r="T26" s="34">
        <v>21.2</v>
      </c>
      <c r="U26" s="9">
        <f t="shared" si="12"/>
        <v>76.81159420289855</v>
      </c>
      <c r="V26" s="34">
        <v>29.6</v>
      </c>
      <c r="W26" s="34">
        <v>23.6</v>
      </c>
      <c r="X26" s="9">
        <f>W26/V26*100</f>
        <v>79.72972972972973</v>
      </c>
      <c r="Y26" s="70">
        <f t="shared" si="19"/>
        <v>84.5</v>
      </c>
      <c r="Z26" s="70">
        <f t="shared" si="20"/>
        <v>68.69999999999999</v>
      </c>
      <c r="AA26" s="9">
        <f t="shared" si="3"/>
        <v>81.30177514792898</v>
      </c>
      <c r="AB26" s="34"/>
      <c r="AC26" s="34"/>
      <c r="AD26" s="9" t="e">
        <f t="shared" si="4"/>
        <v>#DIV/0!</v>
      </c>
      <c r="AE26" s="34"/>
      <c r="AF26" s="34"/>
      <c r="AG26" s="9" t="e">
        <f t="shared" si="5"/>
        <v>#DIV/0!</v>
      </c>
      <c r="AH26" s="34"/>
      <c r="AI26" s="34"/>
      <c r="AJ26" s="9" t="e">
        <f t="shared" si="6"/>
        <v>#DIV/0!</v>
      </c>
      <c r="AK26" s="70">
        <f t="shared" si="21"/>
        <v>0</v>
      </c>
      <c r="AL26" s="70">
        <f t="shared" si="22"/>
        <v>0</v>
      </c>
      <c r="AM26" s="9" t="e">
        <f t="shared" si="13"/>
        <v>#DIV/0!</v>
      </c>
      <c r="AN26" s="34"/>
      <c r="AO26" s="34"/>
      <c r="AP26" s="34"/>
      <c r="AQ26" s="34"/>
      <c r="AR26" s="34"/>
      <c r="AS26" s="34"/>
      <c r="AT26" s="57">
        <f t="shared" si="23"/>
        <v>169.3</v>
      </c>
      <c r="AU26" s="57">
        <f t="shared" si="24"/>
        <v>141.79999999999998</v>
      </c>
      <c r="AV26" s="9">
        <f t="shared" si="7"/>
        <v>83.75664500886</v>
      </c>
      <c r="AW26" s="70">
        <f t="shared" si="25"/>
        <v>27.50000000000003</v>
      </c>
      <c r="AX26" s="71">
        <f t="shared" si="26"/>
        <v>189.70000000000002</v>
      </c>
      <c r="AY26" s="19">
        <f t="shared" si="14"/>
        <v>169.3</v>
      </c>
      <c r="AZ26" s="19">
        <f t="shared" si="15"/>
        <v>141.79999999999998</v>
      </c>
      <c r="BA26" s="68">
        <f t="shared" si="16"/>
        <v>189.70000000000002</v>
      </c>
      <c r="BB26" s="35"/>
      <c r="BC26" s="36"/>
      <c r="BD26" s="36"/>
      <c r="BE26" s="35"/>
      <c r="BF26" s="36"/>
      <c r="BG26" s="36"/>
      <c r="BH26" s="36"/>
      <c r="BI26" s="36"/>
    </row>
    <row r="27" spans="1:61" ht="34.5" customHeight="1">
      <c r="A27" s="11" t="s">
        <v>24</v>
      </c>
      <c r="B27" s="60" t="s">
        <v>59</v>
      </c>
      <c r="C27" s="69">
        <v>50.2</v>
      </c>
      <c r="D27" s="34">
        <v>508.2</v>
      </c>
      <c r="E27" s="34">
        <v>484.5</v>
      </c>
      <c r="F27" s="51">
        <f t="shared" si="1"/>
        <v>95.33648170011807</v>
      </c>
      <c r="G27" s="34">
        <v>513.2</v>
      </c>
      <c r="H27" s="34">
        <v>509.8</v>
      </c>
      <c r="I27" s="9">
        <f t="shared" si="8"/>
        <v>99.33749025720967</v>
      </c>
      <c r="J27" s="34">
        <v>496.1</v>
      </c>
      <c r="K27" s="34">
        <v>378.6</v>
      </c>
      <c r="L27" s="9">
        <f>K27/J27*100</f>
        <v>76.3152590203588</v>
      </c>
      <c r="M27" s="70">
        <f t="shared" si="17"/>
        <v>1517.5</v>
      </c>
      <c r="N27" s="70">
        <f t="shared" si="18"/>
        <v>1372.9</v>
      </c>
      <c r="O27" s="9">
        <f t="shared" si="10"/>
        <v>90.47116968698518</v>
      </c>
      <c r="P27" s="34">
        <v>491.7</v>
      </c>
      <c r="Q27" s="34">
        <v>441.1</v>
      </c>
      <c r="R27" s="9">
        <f t="shared" si="11"/>
        <v>89.70917225950784</v>
      </c>
      <c r="S27" s="34">
        <v>785.2</v>
      </c>
      <c r="T27" s="34">
        <v>492.8</v>
      </c>
      <c r="U27" s="9">
        <f t="shared" si="12"/>
        <v>62.76107997962303</v>
      </c>
      <c r="V27" s="34">
        <v>508.6</v>
      </c>
      <c r="W27" s="34">
        <v>435</v>
      </c>
      <c r="X27" s="9">
        <f>W27/V27*100</f>
        <v>85.52890287062525</v>
      </c>
      <c r="Y27" s="70">
        <f t="shared" si="19"/>
        <v>1785.5</v>
      </c>
      <c r="Z27" s="70">
        <f t="shared" si="20"/>
        <v>1368.9</v>
      </c>
      <c r="AA27" s="9">
        <f t="shared" si="3"/>
        <v>76.66760011201345</v>
      </c>
      <c r="AB27" s="34"/>
      <c r="AC27" s="34"/>
      <c r="AD27" s="9" t="e">
        <f t="shared" si="4"/>
        <v>#DIV/0!</v>
      </c>
      <c r="AE27" s="34"/>
      <c r="AF27" s="34"/>
      <c r="AG27" s="9" t="e">
        <f t="shared" si="5"/>
        <v>#DIV/0!</v>
      </c>
      <c r="AH27" s="34"/>
      <c r="AI27" s="34"/>
      <c r="AJ27" s="9" t="e">
        <f t="shared" si="6"/>
        <v>#DIV/0!</v>
      </c>
      <c r="AK27" s="70">
        <f t="shared" si="21"/>
        <v>0</v>
      </c>
      <c r="AL27" s="70">
        <f t="shared" si="22"/>
        <v>0</v>
      </c>
      <c r="AM27" s="9" t="e">
        <f t="shared" si="13"/>
        <v>#DIV/0!</v>
      </c>
      <c r="AN27" s="34"/>
      <c r="AO27" s="34"/>
      <c r="AP27" s="34"/>
      <c r="AQ27" s="34"/>
      <c r="AR27" s="34"/>
      <c r="AS27" s="34"/>
      <c r="AT27" s="57">
        <f t="shared" si="23"/>
        <v>3303</v>
      </c>
      <c r="AU27" s="57">
        <f t="shared" si="24"/>
        <v>2741.8</v>
      </c>
      <c r="AV27" s="9">
        <f t="shared" si="7"/>
        <v>83.00938540720557</v>
      </c>
      <c r="AW27" s="70">
        <f t="shared" si="25"/>
        <v>561.1999999999998</v>
      </c>
      <c r="AX27" s="71">
        <f>C27+AT27-AU27</f>
        <v>611.3999999999996</v>
      </c>
      <c r="AY27" s="19">
        <f t="shared" si="14"/>
        <v>3303</v>
      </c>
      <c r="AZ27" s="19">
        <f t="shared" si="15"/>
        <v>2741.8</v>
      </c>
      <c r="BA27" s="68">
        <f t="shared" si="16"/>
        <v>611.3999999999996</v>
      </c>
      <c r="BB27" s="35"/>
      <c r="BC27" s="36"/>
      <c r="BD27" s="36"/>
      <c r="BE27" s="35"/>
      <c r="BF27" s="36"/>
      <c r="BG27" s="36"/>
      <c r="BH27" s="36"/>
      <c r="BI27" s="36"/>
    </row>
    <row r="28" spans="1:61" ht="34.5" customHeight="1">
      <c r="A28" s="11" t="s">
        <v>25</v>
      </c>
      <c r="B28" s="112" t="s">
        <v>86</v>
      </c>
      <c r="C28" s="73">
        <v>254.4</v>
      </c>
      <c r="D28" s="34">
        <v>246.6</v>
      </c>
      <c r="E28" s="34">
        <v>205.9</v>
      </c>
      <c r="F28" s="51">
        <f t="shared" si="1"/>
        <v>83.4955393349554</v>
      </c>
      <c r="G28" s="34">
        <v>253.7</v>
      </c>
      <c r="H28" s="78">
        <v>227</v>
      </c>
      <c r="I28" s="9">
        <f t="shared" si="8"/>
        <v>89.47575877020103</v>
      </c>
      <c r="J28" s="34">
        <v>230.9</v>
      </c>
      <c r="K28" s="78">
        <v>210.1</v>
      </c>
      <c r="L28" s="74">
        <f>K28/J28*100</f>
        <v>90.99177132957989</v>
      </c>
      <c r="M28" s="70">
        <f t="shared" si="17"/>
        <v>731.1999999999999</v>
      </c>
      <c r="N28" s="70">
        <f t="shared" si="18"/>
        <v>643</v>
      </c>
      <c r="O28" s="9">
        <f t="shared" si="10"/>
        <v>87.93763676148797</v>
      </c>
      <c r="P28" s="34">
        <v>235.7</v>
      </c>
      <c r="Q28" s="78">
        <v>222.2</v>
      </c>
      <c r="R28" s="9">
        <f t="shared" si="11"/>
        <v>94.27238014425117</v>
      </c>
      <c r="S28" s="34">
        <v>263.6</v>
      </c>
      <c r="T28" s="78">
        <v>236.3</v>
      </c>
      <c r="U28" s="9">
        <f t="shared" si="12"/>
        <v>89.64339908952958</v>
      </c>
      <c r="V28" s="34">
        <v>264.9</v>
      </c>
      <c r="W28" s="78">
        <v>249.2</v>
      </c>
      <c r="X28" s="74">
        <f>W28/V28*100</f>
        <v>94.07323518308797</v>
      </c>
      <c r="Y28" s="70">
        <f t="shared" si="19"/>
        <v>764.2</v>
      </c>
      <c r="Z28" s="70">
        <f t="shared" si="20"/>
        <v>707.7</v>
      </c>
      <c r="AA28" s="9">
        <f t="shared" si="3"/>
        <v>92.60664747448311</v>
      </c>
      <c r="AB28" s="34"/>
      <c r="AC28" s="78"/>
      <c r="AD28" s="9" t="e">
        <f t="shared" si="4"/>
        <v>#DIV/0!</v>
      </c>
      <c r="AE28" s="34"/>
      <c r="AF28" s="78"/>
      <c r="AG28" s="9" t="e">
        <f t="shared" si="5"/>
        <v>#DIV/0!</v>
      </c>
      <c r="AH28" s="34"/>
      <c r="AI28" s="78"/>
      <c r="AJ28" s="9" t="e">
        <f t="shared" si="6"/>
        <v>#DIV/0!</v>
      </c>
      <c r="AK28" s="70">
        <f t="shared" si="21"/>
        <v>0</v>
      </c>
      <c r="AL28" s="70">
        <f t="shared" si="22"/>
        <v>0</v>
      </c>
      <c r="AM28" s="9" t="e">
        <f t="shared" si="13"/>
        <v>#DIV/0!</v>
      </c>
      <c r="AN28" s="34"/>
      <c r="AO28" s="78"/>
      <c r="AP28" s="34"/>
      <c r="AQ28" s="78"/>
      <c r="AR28" s="34"/>
      <c r="AS28" s="78"/>
      <c r="AT28" s="57">
        <f t="shared" si="23"/>
        <v>1495.4</v>
      </c>
      <c r="AU28" s="57">
        <f t="shared" si="24"/>
        <v>1350.7</v>
      </c>
      <c r="AV28" s="9">
        <f t="shared" si="7"/>
        <v>90.32365922161294</v>
      </c>
      <c r="AW28" s="70">
        <f t="shared" si="25"/>
        <v>144.70000000000005</v>
      </c>
      <c r="AX28" s="71">
        <f t="shared" si="26"/>
        <v>399.10000000000014</v>
      </c>
      <c r="AY28" s="19">
        <f t="shared" si="14"/>
        <v>1495.4</v>
      </c>
      <c r="AZ28" s="19">
        <f t="shared" si="15"/>
        <v>1350.7</v>
      </c>
      <c r="BA28" s="68">
        <f t="shared" si="16"/>
        <v>399.10000000000014</v>
      </c>
      <c r="BB28" s="35"/>
      <c r="BC28" s="36"/>
      <c r="BD28" s="36"/>
      <c r="BE28" s="35"/>
      <c r="BF28" s="36"/>
      <c r="BG28" s="36"/>
      <c r="BH28" s="36"/>
      <c r="BI28" s="36"/>
    </row>
    <row r="29" spans="1:61" ht="34.5" customHeight="1">
      <c r="A29" s="11" t="s">
        <v>26</v>
      </c>
      <c r="B29" s="56" t="s">
        <v>2</v>
      </c>
      <c r="C29" s="52"/>
      <c r="D29" s="52"/>
      <c r="E29" s="52"/>
      <c r="F29" s="84" t="e">
        <f t="shared" si="1"/>
        <v>#DIV/0!</v>
      </c>
      <c r="G29" s="52"/>
      <c r="H29" s="52"/>
      <c r="I29" s="84" t="e">
        <f t="shared" si="8"/>
        <v>#DIV/0!</v>
      </c>
      <c r="J29" s="52"/>
      <c r="K29" s="52"/>
      <c r="L29" s="52"/>
      <c r="M29" s="70"/>
      <c r="N29" s="70"/>
      <c r="O29" s="9"/>
      <c r="P29" s="52"/>
      <c r="Q29" s="52"/>
      <c r="R29" s="84" t="e">
        <f t="shared" si="11"/>
        <v>#DIV/0!</v>
      </c>
      <c r="S29" s="52"/>
      <c r="T29" s="52"/>
      <c r="U29" s="9"/>
      <c r="V29" s="52"/>
      <c r="W29" s="52"/>
      <c r="X29" s="52"/>
      <c r="Y29" s="70"/>
      <c r="Z29" s="70"/>
      <c r="AA29" s="9"/>
      <c r="AB29" s="52"/>
      <c r="AC29" s="52"/>
      <c r="AD29" s="9"/>
      <c r="AE29" s="52"/>
      <c r="AF29" s="52"/>
      <c r="AG29" s="84" t="e">
        <f t="shared" si="5"/>
        <v>#DIV/0!</v>
      </c>
      <c r="AH29" s="52"/>
      <c r="AI29" s="52"/>
      <c r="AJ29" s="9"/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52"/>
      <c r="AW29" s="70"/>
      <c r="AX29" s="79"/>
      <c r="AY29" s="19">
        <f t="shared" si="14"/>
        <v>0</v>
      </c>
      <c r="AZ29" s="19">
        <f t="shared" si="15"/>
        <v>0</v>
      </c>
      <c r="BA29" s="68">
        <f t="shared" si="16"/>
        <v>0</v>
      </c>
      <c r="BB29" s="35"/>
      <c r="BC29" s="36"/>
      <c r="BD29" s="36"/>
      <c r="BE29" s="35"/>
      <c r="BF29" s="36"/>
      <c r="BG29" s="36"/>
      <c r="BH29" s="36"/>
      <c r="BI29" s="36"/>
    </row>
    <row r="30" spans="1:61" ht="34.5" customHeight="1">
      <c r="A30" s="11" t="s">
        <v>27</v>
      </c>
      <c r="B30" s="60" t="s">
        <v>39</v>
      </c>
      <c r="C30" s="80">
        <v>-39.3</v>
      </c>
      <c r="D30" s="34">
        <v>71.8</v>
      </c>
      <c r="E30" s="34">
        <v>68.9</v>
      </c>
      <c r="F30" s="51">
        <f t="shared" si="1"/>
        <v>95.96100278551533</v>
      </c>
      <c r="G30" s="34">
        <v>95.3</v>
      </c>
      <c r="H30" s="34">
        <v>81.6</v>
      </c>
      <c r="I30" s="9">
        <f t="shared" si="8"/>
        <v>85.62434417628542</v>
      </c>
      <c r="J30" s="34">
        <v>81.9</v>
      </c>
      <c r="K30" s="34">
        <v>80.9</v>
      </c>
      <c r="L30" s="59">
        <f aca="true" t="shared" si="27" ref="L30:L45">K30/J30*100</f>
        <v>98.77899877899878</v>
      </c>
      <c r="M30" s="70">
        <f t="shared" si="17"/>
        <v>249</v>
      </c>
      <c r="N30" s="70">
        <f t="shared" si="18"/>
        <v>231.4</v>
      </c>
      <c r="O30" s="9">
        <f t="shared" si="10"/>
        <v>92.93172690763053</v>
      </c>
      <c r="P30" s="34">
        <v>94.1</v>
      </c>
      <c r="Q30" s="34">
        <v>94.6</v>
      </c>
      <c r="R30" s="9">
        <f t="shared" si="11"/>
        <v>100.53134962805525</v>
      </c>
      <c r="S30" s="34">
        <v>97.4</v>
      </c>
      <c r="T30" s="34">
        <v>89.6</v>
      </c>
      <c r="U30" s="9">
        <f t="shared" si="12"/>
        <v>91.99178644763859</v>
      </c>
      <c r="V30" s="34">
        <v>136.8</v>
      </c>
      <c r="W30" s="34">
        <v>120.6</v>
      </c>
      <c r="X30" s="102">
        <f aca="true" t="shared" si="28" ref="X30:X43">W30/V30*100</f>
        <v>88.1578947368421</v>
      </c>
      <c r="Y30" s="70">
        <f aca="true" t="shared" si="29" ref="Y30:Y42">P30+S30+V30</f>
        <v>328.3</v>
      </c>
      <c r="Z30" s="70">
        <f aca="true" t="shared" si="30" ref="Z30:Z42">Q30+T30+W30</f>
        <v>304.79999999999995</v>
      </c>
      <c r="AA30" s="9">
        <f t="shared" si="3"/>
        <v>92.84191288455679</v>
      </c>
      <c r="AB30" s="34"/>
      <c r="AC30" s="34"/>
      <c r="AD30" s="9" t="e">
        <f t="shared" si="4"/>
        <v>#DIV/0!</v>
      </c>
      <c r="AE30" s="34"/>
      <c r="AF30" s="34"/>
      <c r="AG30" s="9" t="e">
        <f t="shared" si="5"/>
        <v>#DIV/0!</v>
      </c>
      <c r="AH30" s="34"/>
      <c r="AI30" s="34"/>
      <c r="AJ30" s="9" t="e">
        <f t="shared" si="6"/>
        <v>#DIV/0!</v>
      </c>
      <c r="AK30" s="70">
        <f t="shared" si="21"/>
        <v>0</v>
      </c>
      <c r="AL30" s="70">
        <f t="shared" si="22"/>
        <v>0</v>
      </c>
      <c r="AM30" s="9" t="e">
        <f aca="true" t="shared" si="31" ref="AM30:AM45">AL30/AK30*100</f>
        <v>#DIV/0!</v>
      </c>
      <c r="AN30" s="34"/>
      <c r="AO30" s="34"/>
      <c r="AP30" s="34"/>
      <c r="AQ30" s="34"/>
      <c r="AR30" s="34"/>
      <c r="AS30" s="34"/>
      <c r="AT30" s="57">
        <f t="shared" si="23"/>
        <v>577.3</v>
      </c>
      <c r="AU30" s="57">
        <f t="shared" si="24"/>
        <v>536.1999999999999</v>
      </c>
      <c r="AV30" s="9">
        <f t="shared" si="7"/>
        <v>92.88065130781223</v>
      </c>
      <c r="AW30" s="70">
        <f t="shared" si="25"/>
        <v>41.10000000000002</v>
      </c>
      <c r="AX30" s="71">
        <f t="shared" si="26"/>
        <v>1.8000000000000682</v>
      </c>
      <c r="AY30" s="19">
        <f t="shared" si="14"/>
        <v>577.3</v>
      </c>
      <c r="AZ30" s="19">
        <f t="shared" si="15"/>
        <v>536.1999999999999</v>
      </c>
      <c r="BA30" s="68">
        <f t="shared" si="16"/>
        <v>1.8000000000000682</v>
      </c>
      <c r="BB30" s="35"/>
      <c r="BC30" s="36"/>
      <c r="BD30" s="36"/>
      <c r="BE30" s="35"/>
      <c r="BF30" s="36"/>
      <c r="BG30" s="36"/>
      <c r="BH30" s="36"/>
      <c r="BI30" s="36"/>
    </row>
    <row r="31" spans="1:61" ht="34.5" customHeight="1">
      <c r="A31" s="11" t="s">
        <v>28</v>
      </c>
      <c r="B31" s="60" t="s">
        <v>3</v>
      </c>
      <c r="C31" s="69">
        <v>157.9</v>
      </c>
      <c r="D31" s="34">
        <v>189.6</v>
      </c>
      <c r="E31" s="34">
        <v>161</v>
      </c>
      <c r="F31" s="51">
        <f t="shared" si="1"/>
        <v>84.915611814346</v>
      </c>
      <c r="G31" s="34">
        <v>189.1</v>
      </c>
      <c r="H31" s="34">
        <v>146.6</v>
      </c>
      <c r="I31" s="9">
        <f t="shared" si="8"/>
        <v>77.5251189846642</v>
      </c>
      <c r="J31" s="34">
        <v>198.3</v>
      </c>
      <c r="K31" s="34">
        <v>166.3</v>
      </c>
      <c r="L31" s="59">
        <f t="shared" si="27"/>
        <v>83.86283408976298</v>
      </c>
      <c r="M31" s="70">
        <f t="shared" si="17"/>
        <v>577</v>
      </c>
      <c r="N31" s="70">
        <f t="shared" si="18"/>
        <v>473.90000000000003</v>
      </c>
      <c r="O31" s="9">
        <f t="shared" si="10"/>
        <v>82.1317157712305</v>
      </c>
      <c r="P31" s="34">
        <v>188.3</v>
      </c>
      <c r="Q31" s="34">
        <v>177.2</v>
      </c>
      <c r="R31" s="9">
        <f t="shared" si="11"/>
        <v>94.10515135422197</v>
      </c>
      <c r="S31" s="34">
        <v>251.4</v>
      </c>
      <c r="T31" s="34">
        <v>191.3</v>
      </c>
      <c r="U31" s="9">
        <f t="shared" si="12"/>
        <v>76.09387430389816</v>
      </c>
      <c r="V31" s="34">
        <v>228.4</v>
      </c>
      <c r="W31" s="34">
        <v>180.4</v>
      </c>
      <c r="X31" s="102">
        <f t="shared" si="28"/>
        <v>78.98423817863399</v>
      </c>
      <c r="Y31" s="70">
        <f t="shared" si="29"/>
        <v>668.1</v>
      </c>
      <c r="Z31" s="70">
        <f t="shared" si="30"/>
        <v>548.9</v>
      </c>
      <c r="AA31" s="9">
        <f t="shared" si="3"/>
        <v>82.15835952701691</v>
      </c>
      <c r="AB31" s="34"/>
      <c r="AC31" s="34"/>
      <c r="AD31" s="9" t="e">
        <f t="shared" si="4"/>
        <v>#DIV/0!</v>
      </c>
      <c r="AE31" s="34"/>
      <c r="AF31" s="34"/>
      <c r="AG31" s="9" t="e">
        <f t="shared" si="5"/>
        <v>#DIV/0!</v>
      </c>
      <c r="AH31" s="34"/>
      <c r="AI31" s="34"/>
      <c r="AJ31" s="9" t="e">
        <f t="shared" si="6"/>
        <v>#DIV/0!</v>
      </c>
      <c r="AK31" s="70">
        <f t="shared" si="21"/>
        <v>0</v>
      </c>
      <c r="AL31" s="70">
        <f t="shared" si="22"/>
        <v>0</v>
      </c>
      <c r="AM31" s="9" t="e">
        <f t="shared" si="31"/>
        <v>#DIV/0!</v>
      </c>
      <c r="AN31" s="34"/>
      <c r="AO31" s="34"/>
      <c r="AP31" s="34"/>
      <c r="AQ31" s="34"/>
      <c r="AR31" s="34"/>
      <c r="AS31" s="34"/>
      <c r="AT31" s="57">
        <f t="shared" si="23"/>
        <v>1245.1</v>
      </c>
      <c r="AU31" s="57">
        <f t="shared" si="24"/>
        <v>1022.8</v>
      </c>
      <c r="AV31" s="9">
        <f t="shared" si="7"/>
        <v>82.14601236848446</v>
      </c>
      <c r="AW31" s="70">
        <f t="shared" si="25"/>
        <v>222.29999999999995</v>
      </c>
      <c r="AX31" s="71">
        <f t="shared" si="26"/>
        <v>380.20000000000005</v>
      </c>
      <c r="AY31" s="19">
        <f t="shared" si="14"/>
        <v>1245.1</v>
      </c>
      <c r="AZ31" s="19">
        <f t="shared" si="15"/>
        <v>1022.8</v>
      </c>
      <c r="BA31" s="68">
        <f t="shared" si="16"/>
        <v>380.20000000000005</v>
      </c>
      <c r="BB31" s="35"/>
      <c r="BC31" s="36"/>
      <c r="BD31" s="36"/>
      <c r="BE31" s="35"/>
      <c r="BF31" s="36"/>
      <c r="BG31" s="36"/>
      <c r="BH31" s="36"/>
      <c r="BI31" s="36"/>
    </row>
    <row r="32" spans="1:61" ht="34.5" customHeight="1">
      <c r="A32" s="11" t="s">
        <v>29</v>
      </c>
      <c r="B32" s="60" t="s">
        <v>87</v>
      </c>
      <c r="C32" s="14">
        <f>SUM(C33:C34)</f>
        <v>12258</v>
      </c>
      <c r="D32" s="14">
        <f aca="true" t="shared" si="32" ref="D32:AS32">SUM(D33:D34)</f>
        <v>2240.3</v>
      </c>
      <c r="E32" s="14">
        <f t="shared" si="32"/>
        <v>2385.9</v>
      </c>
      <c r="F32" s="14">
        <f t="shared" si="32"/>
        <v>207.53019026296684</v>
      </c>
      <c r="G32" s="14">
        <f t="shared" si="32"/>
        <v>2470</v>
      </c>
      <c r="H32" s="14">
        <f t="shared" si="32"/>
        <v>2164.7</v>
      </c>
      <c r="I32" s="14">
        <f t="shared" si="32"/>
        <v>171.22472255472672</v>
      </c>
      <c r="J32" s="14">
        <f t="shared" si="32"/>
        <v>2508.1555</v>
      </c>
      <c r="K32" s="14">
        <f t="shared" si="32"/>
        <v>2044.5451600000001</v>
      </c>
      <c r="L32" s="14">
        <f t="shared" si="32"/>
        <v>164.0843164968854</v>
      </c>
      <c r="M32" s="14">
        <f t="shared" si="32"/>
        <v>7218.4555</v>
      </c>
      <c r="N32" s="14">
        <f t="shared" si="32"/>
        <v>6595.14516</v>
      </c>
      <c r="O32" s="9">
        <f t="shared" si="10"/>
        <v>91.36504561121143</v>
      </c>
      <c r="P32" s="14">
        <f t="shared" si="32"/>
        <v>2618.9</v>
      </c>
      <c r="Q32" s="14">
        <f t="shared" si="32"/>
        <v>1815.8</v>
      </c>
      <c r="R32" s="106">
        <f t="shared" si="11"/>
        <v>69.33445339646416</v>
      </c>
      <c r="S32" s="14">
        <f t="shared" si="32"/>
        <v>2428.2</v>
      </c>
      <c r="T32" s="14">
        <f t="shared" si="32"/>
        <v>1757.5</v>
      </c>
      <c r="U32" s="14">
        <f t="shared" si="32"/>
        <v>154.85609453786287</v>
      </c>
      <c r="V32" s="14">
        <f t="shared" si="32"/>
        <v>1906.5</v>
      </c>
      <c r="W32" s="14">
        <f t="shared" si="32"/>
        <v>2789.8</v>
      </c>
      <c r="X32" s="14">
        <f t="shared" si="32"/>
        <v>256.09506124639415</v>
      </c>
      <c r="Y32" s="14">
        <f t="shared" si="32"/>
        <v>6953.599999999999</v>
      </c>
      <c r="Z32" s="14">
        <f t="shared" si="32"/>
        <v>6363.099999999999</v>
      </c>
      <c r="AA32" s="9">
        <f t="shared" si="3"/>
        <v>91.50799585826047</v>
      </c>
      <c r="AB32" s="14">
        <f t="shared" si="32"/>
        <v>0</v>
      </c>
      <c r="AC32" s="14">
        <f t="shared" si="32"/>
        <v>0</v>
      </c>
      <c r="AD32" s="14" t="e">
        <f t="shared" si="32"/>
        <v>#DIV/0!</v>
      </c>
      <c r="AE32" s="14">
        <f t="shared" si="32"/>
        <v>0</v>
      </c>
      <c r="AF32" s="14">
        <f t="shared" si="32"/>
        <v>0</v>
      </c>
      <c r="AG32" s="14" t="e">
        <f t="shared" si="32"/>
        <v>#DIV/0!</v>
      </c>
      <c r="AH32" s="14">
        <f t="shared" si="32"/>
        <v>0</v>
      </c>
      <c r="AI32" s="14">
        <f t="shared" si="32"/>
        <v>0</v>
      </c>
      <c r="AJ32" s="14" t="e">
        <f t="shared" si="32"/>
        <v>#DIV/0!</v>
      </c>
      <c r="AK32" s="14">
        <f t="shared" si="32"/>
        <v>0</v>
      </c>
      <c r="AL32" s="14">
        <f t="shared" si="32"/>
        <v>0</v>
      </c>
      <c r="AM32" s="9" t="e">
        <f t="shared" si="31"/>
        <v>#DIV/0!</v>
      </c>
      <c r="AN32" s="14">
        <f t="shared" si="32"/>
        <v>0</v>
      </c>
      <c r="AO32" s="14">
        <f t="shared" si="32"/>
        <v>0</v>
      </c>
      <c r="AP32" s="14">
        <f t="shared" si="32"/>
        <v>0</v>
      </c>
      <c r="AQ32" s="14">
        <f t="shared" si="32"/>
        <v>0</v>
      </c>
      <c r="AR32" s="14">
        <f t="shared" si="32"/>
        <v>0</v>
      </c>
      <c r="AS32" s="14">
        <f t="shared" si="32"/>
        <v>0</v>
      </c>
      <c r="AT32" s="14">
        <f>SUM(AT33:AT34)</f>
        <v>14172.0555</v>
      </c>
      <c r="AU32" s="14">
        <f>SUM(AU33:AU34)</f>
        <v>12958.245159999999</v>
      </c>
      <c r="AV32" s="9">
        <f t="shared" si="7"/>
        <v>91.43518496664085</v>
      </c>
      <c r="AW32" s="14">
        <f>SUM(AW33:AW34)</f>
        <v>1213.8103400000014</v>
      </c>
      <c r="AX32" s="14">
        <f>SUM(AX33:AX34)</f>
        <v>13471.81034</v>
      </c>
      <c r="AY32" s="19">
        <f t="shared" si="14"/>
        <v>14172.055499999999</v>
      </c>
      <c r="AZ32" s="19">
        <f t="shared" si="15"/>
        <v>12958.245159999999</v>
      </c>
      <c r="BA32" s="68">
        <f t="shared" si="16"/>
        <v>13471.81034</v>
      </c>
      <c r="BB32" s="35"/>
      <c r="BC32" s="36"/>
      <c r="BD32" s="36"/>
      <c r="BE32" s="35"/>
      <c r="BF32" s="36"/>
      <c r="BG32" s="36"/>
      <c r="BH32" s="36"/>
      <c r="BI32" s="36"/>
    </row>
    <row r="33" spans="1:61" ht="34.5" customHeight="1">
      <c r="A33" s="11"/>
      <c r="B33" s="60" t="s">
        <v>100</v>
      </c>
      <c r="C33" s="69">
        <v>9509.3</v>
      </c>
      <c r="D33" s="78">
        <v>1771.3</v>
      </c>
      <c r="E33" s="34">
        <v>1921.3</v>
      </c>
      <c r="F33" s="51">
        <f>E33/D33*100</f>
        <v>108.46835657426747</v>
      </c>
      <c r="G33" s="34">
        <v>1951.1</v>
      </c>
      <c r="H33" s="34">
        <v>1738.6</v>
      </c>
      <c r="I33" s="9">
        <f t="shared" si="8"/>
        <v>89.10870790835939</v>
      </c>
      <c r="J33" s="34">
        <v>1979.47</v>
      </c>
      <c r="K33" s="34">
        <v>1605.99</v>
      </c>
      <c r="L33" s="9">
        <f t="shared" si="27"/>
        <v>81.13232329866075</v>
      </c>
      <c r="M33" s="70">
        <f t="shared" si="17"/>
        <v>5701.87</v>
      </c>
      <c r="N33" s="70">
        <f t="shared" si="18"/>
        <v>5265.889999999999</v>
      </c>
      <c r="O33" s="9">
        <f t="shared" si="10"/>
        <v>92.3537365811567</v>
      </c>
      <c r="P33" s="34">
        <v>2092.4</v>
      </c>
      <c r="Q33" s="34">
        <v>1420.1</v>
      </c>
      <c r="R33" s="9">
        <f t="shared" si="11"/>
        <v>67.86943223093098</v>
      </c>
      <c r="S33" s="34">
        <v>1913</v>
      </c>
      <c r="T33" s="34">
        <v>1313.4</v>
      </c>
      <c r="U33" s="9">
        <f t="shared" si="12"/>
        <v>68.6565603763722</v>
      </c>
      <c r="V33" s="34">
        <v>1382</v>
      </c>
      <c r="W33" s="34">
        <v>2331.4</v>
      </c>
      <c r="X33" s="9">
        <f t="shared" si="28"/>
        <v>168.69753979739508</v>
      </c>
      <c r="Y33" s="70">
        <f t="shared" si="29"/>
        <v>5387.4</v>
      </c>
      <c r="Z33" s="70">
        <f t="shared" si="30"/>
        <v>5064.9</v>
      </c>
      <c r="AA33" s="9">
        <f t="shared" si="3"/>
        <v>94.01381000111371</v>
      </c>
      <c r="AB33" s="34"/>
      <c r="AC33" s="34"/>
      <c r="AD33" s="9" t="e">
        <f t="shared" si="4"/>
        <v>#DIV/0!</v>
      </c>
      <c r="AE33" s="34"/>
      <c r="AF33" s="34"/>
      <c r="AG33" s="9" t="e">
        <f t="shared" si="5"/>
        <v>#DIV/0!</v>
      </c>
      <c r="AH33" s="34"/>
      <c r="AI33" s="34"/>
      <c r="AJ33" s="9" t="e">
        <f t="shared" si="6"/>
        <v>#DIV/0!</v>
      </c>
      <c r="AK33" s="70">
        <f t="shared" si="21"/>
        <v>0</v>
      </c>
      <c r="AL33" s="70">
        <f t="shared" si="22"/>
        <v>0</v>
      </c>
      <c r="AM33" s="9" t="e">
        <f t="shared" si="31"/>
        <v>#DIV/0!</v>
      </c>
      <c r="AN33" s="34"/>
      <c r="AO33" s="34"/>
      <c r="AP33" s="34"/>
      <c r="AQ33" s="34"/>
      <c r="AR33" s="34"/>
      <c r="AS33" s="34"/>
      <c r="AT33" s="57">
        <f aca="true" t="shared" si="33" ref="AT33:AU35">M33+Y33+AK33+AN33+AP33+AR33</f>
        <v>11089.27</v>
      </c>
      <c r="AU33" s="57">
        <f t="shared" si="33"/>
        <v>10330.789999999999</v>
      </c>
      <c r="AV33" s="9">
        <f t="shared" si="7"/>
        <v>93.16023507408512</v>
      </c>
      <c r="AW33" s="70">
        <f t="shared" si="25"/>
        <v>758.4800000000014</v>
      </c>
      <c r="AX33" s="71">
        <f t="shared" si="26"/>
        <v>10267.78</v>
      </c>
      <c r="AY33" s="19">
        <f t="shared" si="14"/>
        <v>11089.27</v>
      </c>
      <c r="AZ33" s="19">
        <f t="shared" si="15"/>
        <v>10330.789999999999</v>
      </c>
      <c r="BA33" s="68">
        <f t="shared" si="16"/>
        <v>10267.78</v>
      </c>
      <c r="BB33" s="35"/>
      <c r="BC33" s="36"/>
      <c r="BD33" s="36"/>
      <c r="BE33" s="35"/>
      <c r="BF33" s="36"/>
      <c r="BG33" s="36"/>
      <c r="BH33" s="36"/>
      <c r="BI33" s="36"/>
    </row>
    <row r="34" spans="1:61" ht="34.5" customHeight="1">
      <c r="A34" s="11"/>
      <c r="B34" s="60" t="s">
        <v>88</v>
      </c>
      <c r="C34" s="32">
        <v>2748.7</v>
      </c>
      <c r="D34" s="78">
        <v>469</v>
      </c>
      <c r="E34" s="34">
        <v>464.6</v>
      </c>
      <c r="F34" s="51">
        <f>E34/D34*100</f>
        <v>99.06183368869937</v>
      </c>
      <c r="G34" s="34">
        <v>518.9</v>
      </c>
      <c r="H34" s="34">
        <v>426.1</v>
      </c>
      <c r="I34" s="9">
        <f t="shared" si="8"/>
        <v>82.11601464636732</v>
      </c>
      <c r="J34" s="34">
        <v>528.6855</v>
      </c>
      <c r="K34" s="34">
        <v>438.55516</v>
      </c>
      <c r="L34" s="9">
        <f t="shared" si="27"/>
        <v>82.95199319822466</v>
      </c>
      <c r="M34" s="70">
        <f t="shared" si="17"/>
        <v>1516.5855000000001</v>
      </c>
      <c r="N34" s="70">
        <f t="shared" si="18"/>
        <v>1329.2551600000002</v>
      </c>
      <c r="O34" s="9">
        <f t="shared" si="10"/>
        <v>87.64788796938913</v>
      </c>
      <c r="P34" s="34">
        <v>526.5</v>
      </c>
      <c r="Q34" s="34">
        <v>395.7</v>
      </c>
      <c r="R34" s="9">
        <f t="shared" si="11"/>
        <v>75.15669515669515</v>
      </c>
      <c r="S34" s="34">
        <v>515.2</v>
      </c>
      <c r="T34" s="34">
        <v>444.1</v>
      </c>
      <c r="U34" s="9">
        <f t="shared" si="12"/>
        <v>86.19953416149067</v>
      </c>
      <c r="V34" s="34">
        <v>524.5</v>
      </c>
      <c r="W34" s="34">
        <v>458.4</v>
      </c>
      <c r="X34" s="9">
        <f t="shared" si="28"/>
        <v>87.39752144899904</v>
      </c>
      <c r="Y34" s="70">
        <f>P34+S34+V34</f>
        <v>1566.2</v>
      </c>
      <c r="Z34" s="70">
        <f>Q34+T34+W34</f>
        <v>1298.1999999999998</v>
      </c>
      <c r="AA34" s="9">
        <f t="shared" si="3"/>
        <v>82.88851998467626</v>
      </c>
      <c r="AB34" s="34"/>
      <c r="AC34" s="34"/>
      <c r="AD34" s="9" t="e">
        <f t="shared" si="4"/>
        <v>#DIV/0!</v>
      </c>
      <c r="AE34" s="34"/>
      <c r="AF34" s="34"/>
      <c r="AG34" s="9" t="e">
        <f t="shared" si="5"/>
        <v>#DIV/0!</v>
      </c>
      <c r="AH34" s="34"/>
      <c r="AI34" s="34"/>
      <c r="AJ34" s="9" t="e">
        <f t="shared" si="6"/>
        <v>#DIV/0!</v>
      </c>
      <c r="AK34" s="70">
        <f t="shared" si="21"/>
        <v>0</v>
      </c>
      <c r="AL34" s="70">
        <f t="shared" si="22"/>
        <v>0</v>
      </c>
      <c r="AM34" s="9" t="e">
        <f>AL34/AK34*100</f>
        <v>#DIV/0!</v>
      </c>
      <c r="AN34" s="34"/>
      <c r="AO34" s="34"/>
      <c r="AP34" s="34"/>
      <c r="AQ34" s="34"/>
      <c r="AR34" s="34"/>
      <c r="AS34" s="34"/>
      <c r="AT34" s="57">
        <f t="shared" si="33"/>
        <v>3082.7855</v>
      </c>
      <c r="AU34" s="57">
        <f t="shared" si="33"/>
        <v>2627.45516</v>
      </c>
      <c r="AV34" s="9">
        <f t="shared" si="7"/>
        <v>85.22990522694491</v>
      </c>
      <c r="AW34" s="70">
        <f t="shared" si="25"/>
        <v>455.33034</v>
      </c>
      <c r="AX34" s="71">
        <f t="shared" si="26"/>
        <v>3204.03034</v>
      </c>
      <c r="AY34" s="19">
        <f t="shared" si="14"/>
        <v>3082.7855</v>
      </c>
      <c r="AZ34" s="19">
        <f t="shared" si="15"/>
        <v>2627.45516</v>
      </c>
      <c r="BA34" s="68">
        <f t="shared" si="16"/>
        <v>3204.03034</v>
      </c>
      <c r="BB34" s="35"/>
      <c r="BC34" s="36"/>
      <c r="BD34" s="36"/>
      <c r="BE34" s="35"/>
      <c r="BF34" s="36"/>
      <c r="BG34" s="36"/>
      <c r="BH34" s="36"/>
      <c r="BI34" s="36"/>
    </row>
    <row r="35" spans="1:61" ht="34.5" customHeight="1">
      <c r="A35" s="11" t="s">
        <v>30</v>
      </c>
      <c r="B35" s="60" t="s">
        <v>60</v>
      </c>
      <c r="C35" s="32">
        <v>2732.6</v>
      </c>
      <c r="D35" s="33">
        <v>740.3</v>
      </c>
      <c r="E35" s="33">
        <v>720.7</v>
      </c>
      <c r="F35" s="51">
        <f>E35/D35*100</f>
        <v>97.35242469269217</v>
      </c>
      <c r="G35" s="34">
        <v>696.8</v>
      </c>
      <c r="H35" s="34">
        <v>676.3</v>
      </c>
      <c r="I35" s="9">
        <f t="shared" si="8"/>
        <v>97.05797933409873</v>
      </c>
      <c r="J35" s="34">
        <v>663.1</v>
      </c>
      <c r="K35" s="34">
        <v>618.2</v>
      </c>
      <c r="L35" s="9">
        <f t="shared" si="27"/>
        <v>93.22877394058212</v>
      </c>
      <c r="M35" s="70">
        <f t="shared" si="17"/>
        <v>2100.2</v>
      </c>
      <c r="N35" s="70">
        <f t="shared" si="18"/>
        <v>2015.2</v>
      </c>
      <c r="O35" s="9">
        <f t="shared" si="10"/>
        <v>95.9527664031997</v>
      </c>
      <c r="P35" s="34">
        <v>688.6000000000001</v>
      </c>
      <c r="Q35" s="34">
        <v>633</v>
      </c>
      <c r="R35" s="9">
        <f t="shared" si="11"/>
        <v>91.92564623874526</v>
      </c>
      <c r="S35" s="34">
        <v>762.5</v>
      </c>
      <c r="T35" s="34">
        <v>633.8</v>
      </c>
      <c r="U35" s="9">
        <f t="shared" si="12"/>
        <v>83.12131147540983</v>
      </c>
      <c r="V35" s="34">
        <v>780.6</v>
      </c>
      <c r="W35" s="34">
        <v>705</v>
      </c>
      <c r="X35" s="9">
        <f t="shared" si="28"/>
        <v>90.31514219830899</v>
      </c>
      <c r="Y35" s="70">
        <f t="shared" si="29"/>
        <v>2231.7000000000003</v>
      </c>
      <c r="Z35" s="70">
        <f t="shared" si="30"/>
        <v>1971.8</v>
      </c>
      <c r="AA35" s="9">
        <f aca="true" t="shared" si="34" ref="AA35:AA45">Z35/Y35*100</f>
        <v>88.35416946722229</v>
      </c>
      <c r="AB35" s="34"/>
      <c r="AC35" s="34"/>
      <c r="AD35" s="9" t="e">
        <f t="shared" si="4"/>
        <v>#DIV/0!</v>
      </c>
      <c r="AE35" s="34"/>
      <c r="AF35" s="34"/>
      <c r="AG35" s="9" t="e">
        <f t="shared" si="5"/>
        <v>#DIV/0!</v>
      </c>
      <c r="AH35" s="34"/>
      <c r="AI35" s="34"/>
      <c r="AJ35" s="9" t="e">
        <f t="shared" si="6"/>
        <v>#DIV/0!</v>
      </c>
      <c r="AK35" s="70">
        <f t="shared" si="21"/>
        <v>0</v>
      </c>
      <c r="AL35" s="70">
        <f t="shared" si="22"/>
        <v>0</v>
      </c>
      <c r="AM35" s="9" t="e">
        <f t="shared" si="31"/>
        <v>#DIV/0!</v>
      </c>
      <c r="AN35" s="34"/>
      <c r="AO35" s="34"/>
      <c r="AP35" s="34"/>
      <c r="AQ35" s="34"/>
      <c r="AR35" s="34"/>
      <c r="AS35" s="34"/>
      <c r="AT35" s="57">
        <f t="shared" si="33"/>
        <v>4331.9</v>
      </c>
      <c r="AU35" s="57">
        <f t="shared" si="33"/>
        <v>3987</v>
      </c>
      <c r="AV35" s="9">
        <f t="shared" si="7"/>
        <v>92.03813569103627</v>
      </c>
      <c r="AW35" s="70">
        <f t="shared" si="25"/>
        <v>344.89999999999964</v>
      </c>
      <c r="AX35" s="71">
        <f t="shared" si="26"/>
        <v>3077.5</v>
      </c>
      <c r="AY35" s="19">
        <f t="shared" si="14"/>
        <v>4331.9</v>
      </c>
      <c r="AZ35" s="19">
        <f t="shared" si="15"/>
        <v>3987</v>
      </c>
      <c r="BA35" s="68">
        <f t="shared" si="16"/>
        <v>3077.5</v>
      </c>
      <c r="BB35" s="35"/>
      <c r="BC35" s="36"/>
      <c r="BD35" s="36"/>
      <c r="BE35" s="35"/>
      <c r="BF35" s="36"/>
      <c r="BG35" s="36"/>
      <c r="BH35" s="36"/>
      <c r="BI35" s="36"/>
    </row>
    <row r="36" spans="1:61" ht="34.5" customHeight="1">
      <c r="A36" s="11" t="s">
        <v>31</v>
      </c>
      <c r="B36" s="113" t="s">
        <v>61</v>
      </c>
      <c r="C36" s="72">
        <v>520.9</v>
      </c>
      <c r="D36" s="63">
        <v>332.8</v>
      </c>
      <c r="E36" s="63">
        <v>311.4</v>
      </c>
      <c r="F36" s="51">
        <f>E36/D36*100</f>
        <v>93.56971153846153</v>
      </c>
      <c r="G36" s="34">
        <v>325.5</v>
      </c>
      <c r="H36" s="34">
        <v>315.2</v>
      </c>
      <c r="I36" s="9">
        <f t="shared" si="8"/>
        <v>96.83563748079877</v>
      </c>
      <c r="J36" s="34">
        <v>380.3</v>
      </c>
      <c r="K36" s="34">
        <v>304.3</v>
      </c>
      <c r="L36" s="9">
        <f t="shared" si="27"/>
        <v>80.01577701814358</v>
      </c>
      <c r="M36" s="70">
        <f t="shared" si="17"/>
        <v>1038.6</v>
      </c>
      <c r="N36" s="70">
        <f t="shared" si="18"/>
        <v>930.8999999999999</v>
      </c>
      <c r="O36" s="9">
        <f t="shared" si="10"/>
        <v>89.63027151935296</v>
      </c>
      <c r="P36" s="34">
        <v>368.1</v>
      </c>
      <c r="Q36" s="34">
        <v>332.7</v>
      </c>
      <c r="R36" s="9">
        <f t="shared" si="11"/>
        <v>90.38304808475957</v>
      </c>
      <c r="S36" s="34">
        <v>338.7</v>
      </c>
      <c r="T36" s="34">
        <v>364.7</v>
      </c>
      <c r="U36" s="9">
        <f t="shared" si="12"/>
        <v>107.67640980218482</v>
      </c>
      <c r="V36" s="34">
        <v>241</v>
      </c>
      <c r="W36" s="34">
        <v>334.2</v>
      </c>
      <c r="X36" s="9">
        <f t="shared" si="28"/>
        <v>138.6721991701245</v>
      </c>
      <c r="Y36" s="70">
        <f t="shared" si="29"/>
        <v>947.8</v>
      </c>
      <c r="Z36" s="70">
        <f t="shared" si="30"/>
        <v>1031.6</v>
      </c>
      <c r="AA36" s="9">
        <f t="shared" si="34"/>
        <v>108.84152774847013</v>
      </c>
      <c r="AB36" s="34"/>
      <c r="AC36" s="34"/>
      <c r="AD36" s="9" t="e">
        <f t="shared" si="4"/>
        <v>#DIV/0!</v>
      </c>
      <c r="AE36" s="34"/>
      <c r="AF36" s="34"/>
      <c r="AG36" s="9" t="e">
        <f t="shared" si="5"/>
        <v>#DIV/0!</v>
      </c>
      <c r="AH36" s="34"/>
      <c r="AI36" s="34"/>
      <c r="AJ36" s="9" t="e">
        <f t="shared" si="6"/>
        <v>#DIV/0!</v>
      </c>
      <c r="AK36" s="70">
        <f t="shared" si="21"/>
        <v>0</v>
      </c>
      <c r="AL36" s="70">
        <f t="shared" si="22"/>
        <v>0</v>
      </c>
      <c r="AM36" s="9" t="e">
        <f t="shared" si="31"/>
        <v>#DIV/0!</v>
      </c>
      <c r="AN36" s="34"/>
      <c r="AO36" s="34"/>
      <c r="AP36" s="34"/>
      <c r="AQ36" s="34"/>
      <c r="AR36" s="34"/>
      <c r="AS36" s="34"/>
      <c r="AT36" s="57">
        <f t="shared" si="23"/>
        <v>1986.3999999999999</v>
      </c>
      <c r="AU36" s="57">
        <f t="shared" si="24"/>
        <v>1962.4999999999998</v>
      </c>
      <c r="AV36" s="9">
        <f t="shared" si="7"/>
        <v>98.79681836488119</v>
      </c>
      <c r="AW36" s="70">
        <f t="shared" si="25"/>
        <v>23.90000000000009</v>
      </c>
      <c r="AX36" s="71">
        <f t="shared" si="26"/>
        <v>544.8</v>
      </c>
      <c r="AY36" s="19">
        <f t="shared" si="14"/>
        <v>1986.3999999999999</v>
      </c>
      <c r="AZ36" s="19">
        <f t="shared" si="15"/>
        <v>1962.4999999999998</v>
      </c>
      <c r="BA36" s="68">
        <f t="shared" si="16"/>
        <v>544.8</v>
      </c>
      <c r="BB36" s="35"/>
      <c r="BC36" s="36"/>
      <c r="BD36" s="36"/>
      <c r="BE36" s="35"/>
      <c r="BF36" s="36"/>
      <c r="BG36" s="36"/>
      <c r="BH36" s="36"/>
      <c r="BI36" s="36"/>
    </row>
    <row r="37" spans="1:61" ht="34.5" customHeight="1">
      <c r="A37" s="11" t="s">
        <v>32</v>
      </c>
      <c r="B37" s="114" t="s">
        <v>62</v>
      </c>
      <c r="C37" s="72">
        <v>4145.7</v>
      </c>
      <c r="D37" s="34">
        <v>2444.4</v>
      </c>
      <c r="E37" s="34">
        <v>2352.9</v>
      </c>
      <c r="F37" s="51">
        <f aca="true" t="shared" si="35" ref="F37:F43">E37/D37*100</f>
        <v>96.2567501227295</v>
      </c>
      <c r="G37" s="34">
        <v>2339.2</v>
      </c>
      <c r="H37" s="34">
        <v>2246.9</v>
      </c>
      <c r="I37" s="9">
        <f t="shared" si="8"/>
        <v>96.05420656634747</v>
      </c>
      <c r="J37" s="34">
        <v>2354</v>
      </c>
      <c r="K37" s="34">
        <v>2105.6</v>
      </c>
      <c r="L37" s="9">
        <f t="shared" si="27"/>
        <v>89.44774851316907</v>
      </c>
      <c r="M37" s="70">
        <f t="shared" si="17"/>
        <v>7137.6</v>
      </c>
      <c r="N37" s="70">
        <f t="shared" si="18"/>
        <v>6705.4</v>
      </c>
      <c r="O37" s="9">
        <f t="shared" si="10"/>
        <v>93.94474333109167</v>
      </c>
      <c r="P37" s="34">
        <v>2309.9</v>
      </c>
      <c r="Q37" s="34">
        <v>2242</v>
      </c>
      <c r="R37" s="9">
        <f t="shared" si="11"/>
        <v>97.06047880860643</v>
      </c>
      <c r="S37" s="34">
        <v>2426.2</v>
      </c>
      <c r="T37" s="34">
        <v>2315.2</v>
      </c>
      <c r="U37" s="9">
        <f t="shared" si="12"/>
        <v>95.42494435743137</v>
      </c>
      <c r="V37" s="34">
        <v>2533.4</v>
      </c>
      <c r="W37" s="34">
        <v>2309.9</v>
      </c>
      <c r="X37" s="9">
        <f t="shared" si="28"/>
        <v>91.1778637404279</v>
      </c>
      <c r="Y37" s="70">
        <f t="shared" si="29"/>
        <v>7269.5</v>
      </c>
      <c r="Z37" s="70">
        <f t="shared" si="30"/>
        <v>6867.1</v>
      </c>
      <c r="AA37" s="9">
        <f t="shared" si="34"/>
        <v>94.46454364124081</v>
      </c>
      <c r="AB37" s="34"/>
      <c r="AC37" s="34"/>
      <c r="AD37" s="9" t="e">
        <f t="shared" si="4"/>
        <v>#DIV/0!</v>
      </c>
      <c r="AE37" s="34"/>
      <c r="AF37" s="34"/>
      <c r="AG37" s="9" t="e">
        <f t="shared" si="5"/>
        <v>#DIV/0!</v>
      </c>
      <c r="AH37" s="34"/>
      <c r="AI37" s="34"/>
      <c r="AJ37" s="9" t="e">
        <f t="shared" si="6"/>
        <v>#DIV/0!</v>
      </c>
      <c r="AK37" s="70">
        <f t="shared" si="21"/>
        <v>0</v>
      </c>
      <c r="AL37" s="70">
        <f t="shared" si="22"/>
        <v>0</v>
      </c>
      <c r="AM37" s="9" t="e">
        <f t="shared" si="31"/>
        <v>#DIV/0!</v>
      </c>
      <c r="AN37" s="34"/>
      <c r="AO37" s="34"/>
      <c r="AP37" s="34"/>
      <c r="AQ37" s="34"/>
      <c r="AR37" s="34"/>
      <c r="AS37" s="34"/>
      <c r="AT37" s="57">
        <f t="shared" si="23"/>
        <v>14407.1</v>
      </c>
      <c r="AU37" s="57">
        <f t="shared" si="24"/>
        <v>13572.5</v>
      </c>
      <c r="AV37" s="9">
        <f t="shared" si="7"/>
        <v>94.2070229261961</v>
      </c>
      <c r="AW37" s="70">
        <f t="shared" si="25"/>
        <v>834.6000000000004</v>
      </c>
      <c r="AX37" s="71">
        <f t="shared" si="26"/>
        <v>4980.299999999999</v>
      </c>
      <c r="AY37" s="19">
        <f t="shared" si="14"/>
        <v>14407.1</v>
      </c>
      <c r="AZ37" s="19">
        <f t="shared" si="15"/>
        <v>13572.5</v>
      </c>
      <c r="BA37" s="68">
        <f t="shared" si="16"/>
        <v>4980.299999999999</v>
      </c>
      <c r="BB37" s="35"/>
      <c r="BC37" s="36"/>
      <c r="BD37" s="36"/>
      <c r="BE37" s="35"/>
      <c r="BF37" s="36"/>
      <c r="BG37" s="36"/>
      <c r="BH37" s="36"/>
      <c r="BI37" s="36"/>
    </row>
    <row r="38" spans="1:61" ht="34.5" customHeight="1">
      <c r="A38" s="11" t="s">
        <v>33</v>
      </c>
      <c r="B38" s="114" t="s">
        <v>89</v>
      </c>
      <c r="C38" s="72">
        <v>3973.8</v>
      </c>
      <c r="D38" s="34">
        <v>2563</v>
      </c>
      <c r="E38" s="34">
        <v>2351.3</v>
      </c>
      <c r="F38" s="51">
        <f t="shared" si="35"/>
        <v>91.74014826375341</v>
      </c>
      <c r="G38" s="34">
        <v>2340.4</v>
      </c>
      <c r="H38" s="34">
        <v>2530.4</v>
      </c>
      <c r="I38" s="9">
        <f t="shared" si="8"/>
        <v>108.11827038113142</v>
      </c>
      <c r="J38" s="34">
        <v>2489.9</v>
      </c>
      <c r="K38" s="34">
        <v>2164.6</v>
      </c>
      <c r="L38" s="9">
        <f t="shared" si="27"/>
        <v>86.93521828185871</v>
      </c>
      <c r="M38" s="70">
        <f t="shared" si="17"/>
        <v>7393.299999999999</v>
      </c>
      <c r="N38" s="70">
        <f t="shared" si="18"/>
        <v>7046.300000000001</v>
      </c>
      <c r="O38" s="9">
        <f t="shared" si="10"/>
        <v>95.30656134608364</v>
      </c>
      <c r="P38" s="34">
        <v>2726.6</v>
      </c>
      <c r="Q38" s="34">
        <v>2203.7</v>
      </c>
      <c r="R38" s="9">
        <f t="shared" si="11"/>
        <v>80.82226949314165</v>
      </c>
      <c r="S38" s="34">
        <v>2682.2</v>
      </c>
      <c r="T38" s="34">
        <v>2544.5</v>
      </c>
      <c r="U38" s="9">
        <f t="shared" si="12"/>
        <v>94.86615464916859</v>
      </c>
      <c r="V38" s="34">
        <v>2676.7</v>
      </c>
      <c r="W38" s="34">
        <v>2315.8</v>
      </c>
      <c r="X38" s="9">
        <f t="shared" si="28"/>
        <v>86.51697986326448</v>
      </c>
      <c r="Y38" s="70">
        <f t="shared" si="29"/>
        <v>8085.499999999999</v>
      </c>
      <c r="Z38" s="70">
        <f t="shared" si="30"/>
        <v>7064</v>
      </c>
      <c r="AA38" s="9">
        <f t="shared" si="34"/>
        <v>87.36627295776391</v>
      </c>
      <c r="AB38" s="34"/>
      <c r="AC38" s="34"/>
      <c r="AD38" s="9" t="e">
        <f t="shared" si="4"/>
        <v>#DIV/0!</v>
      </c>
      <c r="AE38" s="34"/>
      <c r="AF38" s="34"/>
      <c r="AG38" s="9" t="e">
        <f t="shared" si="5"/>
        <v>#DIV/0!</v>
      </c>
      <c r="AH38" s="34"/>
      <c r="AI38" s="34"/>
      <c r="AJ38" s="9" t="e">
        <f t="shared" si="6"/>
        <v>#DIV/0!</v>
      </c>
      <c r="AK38" s="70">
        <f t="shared" si="21"/>
        <v>0</v>
      </c>
      <c r="AL38" s="70">
        <f t="shared" si="22"/>
        <v>0</v>
      </c>
      <c r="AM38" s="9" t="e">
        <f t="shared" si="31"/>
        <v>#DIV/0!</v>
      </c>
      <c r="AN38" s="34"/>
      <c r="AO38" s="34"/>
      <c r="AP38" s="34"/>
      <c r="AQ38" s="34"/>
      <c r="AR38" s="34"/>
      <c r="AS38" s="34"/>
      <c r="AT38" s="57">
        <f>M38+Y38+AK38+AN38+AP38+AR38</f>
        <v>15478.8</v>
      </c>
      <c r="AU38" s="57">
        <f t="shared" si="24"/>
        <v>14110.300000000001</v>
      </c>
      <c r="AV38" s="9">
        <f t="shared" si="7"/>
        <v>91.15887536501539</v>
      </c>
      <c r="AW38" s="70">
        <f t="shared" si="25"/>
        <v>1368.4999999999982</v>
      </c>
      <c r="AX38" s="71">
        <f t="shared" si="26"/>
        <v>5342.299999999997</v>
      </c>
      <c r="AY38" s="19">
        <f t="shared" si="14"/>
        <v>15478.8</v>
      </c>
      <c r="AZ38" s="19">
        <f t="shared" si="15"/>
        <v>14110.300000000001</v>
      </c>
      <c r="BA38" s="68">
        <f t="shared" si="16"/>
        <v>5342.299999999997</v>
      </c>
      <c r="BB38" s="35"/>
      <c r="BC38" s="36"/>
      <c r="BD38" s="36"/>
      <c r="BE38" s="35"/>
      <c r="BF38" s="36"/>
      <c r="BG38" s="36"/>
      <c r="BH38" s="36"/>
      <c r="BI38" s="36"/>
    </row>
    <row r="39" spans="1:61" ht="34.5" customHeight="1">
      <c r="A39" s="11" t="s">
        <v>34</v>
      </c>
      <c r="B39" s="114" t="s">
        <v>4</v>
      </c>
      <c r="C39" s="69">
        <v>26966.7</v>
      </c>
      <c r="D39" s="34">
        <v>4696.9</v>
      </c>
      <c r="E39" s="34">
        <v>3946.5</v>
      </c>
      <c r="F39" s="51">
        <f t="shared" si="35"/>
        <v>84.0235048649109</v>
      </c>
      <c r="G39" s="34">
        <v>4270.6</v>
      </c>
      <c r="H39" s="34">
        <v>3266.3</v>
      </c>
      <c r="I39" s="9">
        <f t="shared" si="8"/>
        <v>76.48339811736055</v>
      </c>
      <c r="J39" s="34">
        <v>4341.1</v>
      </c>
      <c r="K39" s="34">
        <v>2785</v>
      </c>
      <c r="L39" s="9">
        <f t="shared" si="27"/>
        <v>64.15424661952039</v>
      </c>
      <c r="M39" s="70">
        <f t="shared" si="17"/>
        <v>13308.6</v>
      </c>
      <c r="N39" s="70">
        <f t="shared" si="18"/>
        <v>9997.8</v>
      </c>
      <c r="O39" s="9">
        <f t="shared" si="10"/>
        <v>75.12285289211486</v>
      </c>
      <c r="P39" s="34">
        <v>4459</v>
      </c>
      <c r="Q39" s="34">
        <v>1858</v>
      </c>
      <c r="R39" s="9">
        <f t="shared" si="11"/>
        <v>41.66853554608657</v>
      </c>
      <c r="S39" s="34">
        <v>4509</v>
      </c>
      <c r="T39" s="34">
        <v>4152.3</v>
      </c>
      <c r="U39" s="9">
        <f t="shared" si="12"/>
        <v>92.08915502328676</v>
      </c>
      <c r="V39" s="34">
        <v>4648.1</v>
      </c>
      <c r="W39" s="34">
        <v>3960</v>
      </c>
      <c r="X39" s="9">
        <f t="shared" si="28"/>
        <v>85.19610163292526</v>
      </c>
      <c r="Y39" s="70">
        <f t="shared" si="29"/>
        <v>13616.1</v>
      </c>
      <c r="Z39" s="70">
        <f t="shared" si="30"/>
        <v>9970.3</v>
      </c>
      <c r="AA39" s="9">
        <f t="shared" si="34"/>
        <v>73.22434470957175</v>
      </c>
      <c r="AB39" s="34"/>
      <c r="AC39" s="34"/>
      <c r="AD39" s="9" t="e">
        <f t="shared" si="4"/>
        <v>#DIV/0!</v>
      </c>
      <c r="AE39" s="34"/>
      <c r="AF39" s="34"/>
      <c r="AG39" s="9" t="e">
        <f t="shared" si="5"/>
        <v>#DIV/0!</v>
      </c>
      <c r="AH39" s="34"/>
      <c r="AI39" s="34"/>
      <c r="AJ39" s="9" t="e">
        <f t="shared" si="6"/>
        <v>#DIV/0!</v>
      </c>
      <c r="AK39" s="70">
        <f t="shared" si="21"/>
        <v>0</v>
      </c>
      <c r="AL39" s="70">
        <f t="shared" si="22"/>
        <v>0</v>
      </c>
      <c r="AM39" s="9" t="e">
        <f t="shared" si="31"/>
        <v>#DIV/0!</v>
      </c>
      <c r="AN39" s="34"/>
      <c r="AO39" s="34"/>
      <c r="AP39" s="34"/>
      <c r="AQ39" s="34"/>
      <c r="AR39" s="34"/>
      <c r="AS39" s="34"/>
      <c r="AT39" s="57">
        <f t="shared" si="23"/>
        <v>26924.7</v>
      </c>
      <c r="AU39" s="57">
        <f t="shared" si="24"/>
        <v>19968.1</v>
      </c>
      <c r="AV39" s="9">
        <f t="shared" si="7"/>
        <v>74.16275761661225</v>
      </c>
      <c r="AW39" s="70">
        <f t="shared" si="25"/>
        <v>6956.600000000002</v>
      </c>
      <c r="AX39" s="71">
        <f t="shared" si="26"/>
        <v>33923.3</v>
      </c>
      <c r="AY39" s="19">
        <f t="shared" si="14"/>
        <v>26924.7</v>
      </c>
      <c r="AZ39" s="19">
        <f t="shared" si="15"/>
        <v>19968.1</v>
      </c>
      <c r="BA39" s="68">
        <f t="shared" si="16"/>
        <v>33923.3</v>
      </c>
      <c r="BB39" s="35"/>
      <c r="BC39" s="36"/>
      <c r="BD39" s="36"/>
      <c r="BE39" s="35"/>
      <c r="BF39" s="36"/>
      <c r="BG39" s="36"/>
      <c r="BH39" s="36"/>
      <c r="BI39" s="36"/>
    </row>
    <row r="40" spans="1:61" ht="34.5" customHeight="1">
      <c r="A40" s="11" t="s">
        <v>35</v>
      </c>
      <c r="B40" s="114" t="s">
        <v>63</v>
      </c>
      <c r="C40" s="69">
        <v>2314.1</v>
      </c>
      <c r="D40" s="34">
        <v>625.8</v>
      </c>
      <c r="E40" s="34">
        <v>564.1</v>
      </c>
      <c r="F40" s="51">
        <f t="shared" si="35"/>
        <v>90.14062000639183</v>
      </c>
      <c r="G40" s="34">
        <v>533.8</v>
      </c>
      <c r="H40" s="34">
        <v>531.5</v>
      </c>
      <c r="I40" s="9">
        <f t="shared" si="8"/>
        <v>99.56912701386288</v>
      </c>
      <c r="J40" s="34">
        <v>557.7</v>
      </c>
      <c r="K40" s="34">
        <v>444.3</v>
      </c>
      <c r="L40" s="9">
        <f t="shared" si="27"/>
        <v>79.66648735879505</v>
      </c>
      <c r="M40" s="70">
        <f t="shared" si="17"/>
        <v>1717.3</v>
      </c>
      <c r="N40" s="70">
        <f t="shared" si="18"/>
        <v>1539.8999999999999</v>
      </c>
      <c r="O40" s="9">
        <f t="shared" si="10"/>
        <v>89.66983054795318</v>
      </c>
      <c r="P40" s="34">
        <v>599.3</v>
      </c>
      <c r="Q40" s="34">
        <v>506.3</v>
      </c>
      <c r="R40" s="9">
        <f t="shared" si="11"/>
        <v>84.48189554480227</v>
      </c>
      <c r="S40" s="34">
        <v>722.8</v>
      </c>
      <c r="T40" s="34">
        <v>556.4</v>
      </c>
      <c r="U40" s="9">
        <f t="shared" si="12"/>
        <v>76.97841726618705</v>
      </c>
      <c r="V40" s="34">
        <v>740.6</v>
      </c>
      <c r="W40" s="34">
        <v>626.9</v>
      </c>
      <c r="X40" s="9">
        <f t="shared" si="28"/>
        <v>84.64758304077775</v>
      </c>
      <c r="Y40" s="70">
        <f t="shared" si="29"/>
        <v>2062.7</v>
      </c>
      <c r="Z40" s="70">
        <f t="shared" si="30"/>
        <v>1689.6</v>
      </c>
      <c r="AA40" s="9">
        <f t="shared" si="34"/>
        <v>81.91205701265332</v>
      </c>
      <c r="AB40" s="34"/>
      <c r="AC40" s="34"/>
      <c r="AD40" s="9" t="e">
        <f t="shared" si="4"/>
        <v>#DIV/0!</v>
      </c>
      <c r="AE40" s="34"/>
      <c r="AF40" s="34"/>
      <c r="AG40" s="9" t="e">
        <f t="shared" si="5"/>
        <v>#DIV/0!</v>
      </c>
      <c r="AH40" s="34"/>
      <c r="AI40" s="34"/>
      <c r="AJ40" s="9" t="e">
        <f t="shared" si="6"/>
        <v>#DIV/0!</v>
      </c>
      <c r="AK40" s="70">
        <f t="shared" si="21"/>
        <v>0</v>
      </c>
      <c r="AL40" s="70">
        <f t="shared" si="22"/>
        <v>0</v>
      </c>
      <c r="AM40" s="9" t="e">
        <f t="shared" si="31"/>
        <v>#DIV/0!</v>
      </c>
      <c r="AN40" s="34"/>
      <c r="AO40" s="34"/>
      <c r="AP40" s="34"/>
      <c r="AQ40" s="34"/>
      <c r="AR40" s="34"/>
      <c r="AS40" s="34"/>
      <c r="AT40" s="57">
        <f t="shared" si="23"/>
        <v>3780</v>
      </c>
      <c r="AU40" s="57">
        <f t="shared" si="24"/>
        <v>3229.5</v>
      </c>
      <c r="AV40" s="9">
        <f t="shared" si="7"/>
        <v>85.43650793650794</v>
      </c>
      <c r="AW40" s="70">
        <f t="shared" si="25"/>
        <v>550.5</v>
      </c>
      <c r="AX40" s="71">
        <f t="shared" si="26"/>
        <v>2864.6000000000004</v>
      </c>
      <c r="AY40" s="19">
        <f t="shared" si="14"/>
        <v>3780</v>
      </c>
      <c r="AZ40" s="19">
        <f t="shared" si="15"/>
        <v>3229.5</v>
      </c>
      <c r="BA40" s="68">
        <f t="shared" si="16"/>
        <v>2864.6000000000004</v>
      </c>
      <c r="BB40" s="35"/>
      <c r="BC40" s="36"/>
      <c r="BD40" s="36"/>
      <c r="BE40" s="35"/>
      <c r="BF40" s="36"/>
      <c r="BG40" s="36"/>
      <c r="BH40" s="36"/>
      <c r="BI40" s="36"/>
    </row>
    <row r="41" spans="1:61" ht="34.5" customHeight="1">
      <c r="A41" s="11" t="s">
        <v>36</v>
      </c>
      <c r="B41" s="58" t="s">
        <v>64</v>
      </c>
      <c r="C41" s="72">
        <v>7270.2</v>
      </c>
      <c r="D41" s="34">
        <v>2311</v>
      </c>
      <c r="E41" s="34">
        <v>1908.2</v>
      </c>
      <c r="F41" s="51">
        <f t="shared" si="35"/>
        <v>82.57031588057119</v>
      </c>
      <c r="G41" s="34">
        <v>2239.4</v>
      </c>
      <c r="H41" s="34">
        <v>1844</v>
      </c>
      <c r="I41" s="9">
        <f t="shared" si="8"/>
        <v>82.34348486201661</v>
      </c>
      <c r="J41" s="34">
        <v>2138.23234</v>
      </c>
      <c r="K41" s="34">
        <v>1757.69968</v>
      </c>
      <c r="L41" s="9">
        <f t="shared" si="27"/>
        <v>82.20339984194608</v>
      </c>
      <c r="M41" s="70">
        <f t="shared" si="17"/>
        <v>6688.63234</v>
      </c>
      <c r="N41" s="70">
        <f t="shared" si="18"/>
        <v>5509.8996799999995</v>
      </c>
      <c r="O41" s="9">
        <f t="shared" si="10"/>
        <v>82.37707501201956</v>
      </c>
      <c r="P41" s="34">
        <v>2023.10142</v>
      </c>
      <c r="Q41" s="34">
        <v>1808.5968400000002</v>
      </c>
      <c r="R41" s="9">
        <f t="shared" si="11"/>
        <v>89.39724040132403</v>
      </c>
      <c r="S41" s="34">
        <v>2388.5</v>
      </c>
      <c r="T41" s="34">
        <v>1937.8</v>
      </c>
      <c r="U41" s="9">
        <f t="shared" si="12"/>
        <v>81.13041657944316</v>
      </c>
      <c r="V41" s="34">
        <v>2251.1</v>
      </c>
      <c r="W41" s="34">
        <v>1901.7</v>
      </c>
      <c r="X41" s="9">
        <f t="shared" si="28"/>
        <v>84.4786993025632</v>
      </c>
      <c r="Y41" s="70">
        <f t="shared" si="29"/>
        <v>6662.701419999999</v>
      </c>
      <c r="Z41" s="70">
        <f t="shared" si="30"/>
        <v>5648.09684</v>
      </c>
      <c r="AA41" s="9">
        <f t="shared" si="34"/>
        <v>84.77187380850695</v>
      </c>
      <c r="AB41" s="34"/>
      <c r="AC41" s="34"/>
      <c r="AD41" s="9" t="e">
        <f t="shared" si="4"/>
        <v>#DIV/0!</v>
      </c>
      <c r="AE41" s="34"/>
      <c r="AF41" s="34"/>
      <c r="AG41" s="9" t="e">
        <f t="shared" si="5"/>
        <v>#DIV/0!</v>
      </c>
      <c r="AH41" s="34"/>
      <c r="AI41" s="34"/>
      <c r="AJ41" s="9" t="e">
        <f t="shared" si="6"/>
        <v>#DIV/0!</v>
      </c>
      <c r="AK41" s="70">
        <f t="shared" si="21"/>
        <v>0</v>
      </c>
      <c r="AL41" s="70">
        <f t="shared" si="22"/>
        <v>0</v>
      </c>
      <c r="AM41" s="9" t="e">
        <f t="shared" si="31"/>
        <v>#DIV/0!</v>
      </c>
      <c r="AN41" s="34"/>
      <c r="AO41" s="34"/>
      <c r="AP41" s="34"/>
      <c r="AQ41" s="34"/>
      <c r="AR41" s="34"/>
      <c r="AS41" s="34"/>
      <c r="AT41" s="57">
        <f t="shared" si="23"/>
        <v>13351.33376</v>
      </c>
      <c r="AU41" s="57">
        <f t="shared" si="24"/>
        <v>11157.99652</v>
      </c>
      <c r="AV41" s="9">
        <f t="shared" si="7"/>
        <v>83.5721488247778</v>
      </c>
      <c r="AW41" s="70">
        <f t="shared" si="25"/>
        <v>2193.337239999999</v>
      </c>
      <c r="AX41" s="71">
        <f t="shared" si="26"/>
        <v>9463.537239999998</v>
      </c>
      <c r="AY41" s="19">
        <f t="shared" si="14"/>
        <v>13351.33376</v>
      </c>
      <c r="AZ41" s="19">
        <f t="shared" si="15"/>
        <v>11157.99652</v>
      </c>
      <c r="BA41" s="68">
        <f t="shared" si="16"/>
        <v>9463.537239999998</v>
      </c>
      <c r="BB41" s="35"/>
      <c r="BC41" s="36"/>
      <c r="BD41" s="36"/>
      <c r="BE41" s="35"/>
      <c r="BF41" s="36"/>
      <c r="BG41" s="36"/>
      <c r="BH41" s="36"/>
      <c r="BI41" s="36"/>
    </row>
    <row r="42" spans="1:61" ht="34.5" customHeight="1">
      <c r="A42" s="11" t="s">
        <v>37</v>
      </c>
      <c r="B42" s="114" t="s">
        <v>48</v>
      </c>
      <c r="C42" s="69">
        <v>6222.4</v>
      </c>
      <c r="D42" s="34">
        <v>2388</v>
      </c>
      <c r="E42" s="34">
        <v>2187.2</v>
      </c>
      <c r="F42" s="51">
        <f t="shared" si="35"/>
        <v>91.59128978224454</v>
      </c>
      <c r="G42" s="34">
        <v>2251.9</v>
      </c>
      <c r="H42" s="34">
        <v>2058.2</v>
      </c>
      <c r="I42" s="9">
        <f t="shared" si="8"/>
        <v>91.39837470580397</v>
      </c>
      <c r="J42" s="34">
        <v>2262.2</v>
      </c>
      <c r="K42" s="34">
        <v>2046</v>
      </c>
      <c r="L42" s="9">
        <f t="shared" si="27"/>
        <v>90.44293165944657</v>
      </c>
      <c r="M42" s="70">
        <f t="shared" si="17"/>
        <v>6902.099999999999</v>
      </c>
      <c r="N42" s="70">
        <f t="shared" si="18"/>
        <v>6291.4</v>
      </c>
      <c r="O42" s="9">
        <f t="shared" si="10"/>
        <v>91.15196824154967</v>
      </c>
      <c r="P42" s="34">
        <v>2438.5</v>
      </c>
      <c r="Q42" s="34">
        <v>1980</v>
      </c>
      <c r="R42" s="9">
        <f t="shared" si="11"/>
        <v>81.19745745335247</v>
      </c>
      <c r="S42" s="34">
        <v>2979.9</v>
      </c>
      <c r="T42" s="34">
        <v>2477.9</v>
      </c>
      <c r="U42" s="9">
        <f t="shared" si="12"/>
        <v>83.15379710728547</v>
      </c>
      <c r="V42" s="34">
        <v>3126.8</v>
      </c>
      <c r="W42" s="34">
        <v>2473.7</v>
      </c>
      <c r="X42" s="9">
        <f t="shared" si="28"/>
        <v>79.1128310093386</v>
      </c>
      <c r="Y42" s="70">
        <f t="shared" si="29"/>
        <v>8545.2</v>
      </c>
      <c r="Z42" s="70">
        <f t="shared" si="30"/>
        <v>6931.599999999999</v>
      </c>
      <c r="AA42" s="9">
        <f t="shared" si="34"/>
        <v>81.1168843327248</v>
      </c>
      <c r="AB42" s="34"/>
      <c r="AC42" s="34"/>
      <c r="AD42" s="9" t="e">
        <f t="shared" si="4"/>
        <v>#DIV/0!</v>
      </c>
      <c r="AE42" s="34"/>
      <c r="AF42" s="34"/>
      <c r="AG42" s="9" t="e">
        <f t="shared" si="5"/>
        <v>#DIV/0!</v>
      </c>
      <c r="AH42" s="34"/>
      <c r="AI42" s="34"/>
      <c r="AJ42" s="9" t="e">
        <f t="shared" si="6"/>
        <v>#DIV/0!</v>
      </c>
      <c r="AK42" s="70">
        <f t="shared" si="21"/>
        <v>0</v>
      </c>
      <c r="AL42" s="70">
        <f t="shared" si="22"/>
        <v>0</v>
      </c>
      <c r="AM42" s="9" t="e">
        <f t="shared" si="31"/>
        <v>#DIV/0!</v>
      </c>
      <c r="AN42" s="34"/>
      <c r="AO42" s="34"/>
      <c r="AP42" s="34"/>
      <c r="AQ42" s="34"/>
      <c r="AR42" s="34"/>
      <c r="AS42" s="34"/>
      <c r="AT42" s="57">
        <f t="shared" si="23"/>
        <v>15447.3</v>
      </c>
      <c r="AU42" s="57">
        <f t="shared" si="24"/>
        <v>13223</v>
      </c>
      <c r="AV42" s="9">
        <f t="shared" si="7"/>
        <v>85.60071986690231</v>
      </c>
      <c r="AW42" s="70">
        <f t="shared" si="25"/>
        <v>2224.2999999999993</v>
      </c>
      <c r="AX42" s="71">
        <f t="shared" si="26"/>
        <v>8446.699999999997</v>
      </c>
      <c r="AY42" s="19">
        <f t="shared" si="14"/>
        <v>15447.3</v>
      </c>
      <c r="AZ42" s="19">
        <f t="shared" si="15"/>
        <v>13223</v>
      </c>
      <c r="BA42" s="68">
        <f t="shared" si="16"/>
        <v>8446.699999999997</v>
      </c>
      <c r="BB42" s="35"/>
      <c r="BC42" s="36"/>
      <c r="BD42" s="36"/>
      <c r="BE42" s="35"/>
      <c r="BF42" s="36"/>
      <c r="BG42" s="36"/>
      <c r="BH42" s="36"/>
      <c r="BI42" s="36"/>
    </row>
    <row r="43" spans="1:61" s="10" customFormat="1" ht="34.5" customHeight="1">
      <c r="A43" s="11" t="s">
        <v>38</v>
      </c>
      <c r="B43" s="13" t="s">
        <v>66</v>
      </c>
      <c r="C43" s="14">
        <f>SUM(C44:C44)</f>
        <v>417782.80000000005</v>
      </c>
      <c r="D43" s="15">
        <f>SUM(D44:D44)</f>
        <v>94914.2</v>
      </c>
      <c r="E43" s="15">
        <f>SUM(E44:E44)</f>
        <v>92484.5</v>
      </c>
      <c r="F43" s="51">
        <f t="shared" si="35"/>
        <v>97.4401090669257</v>
      </c>
      <c r="G43" s="15">
        <f>SUM(G44:G44)</f>
        <v>113916.5</v>
      </c>
      <c r="H43" s="15">
        <f>SUM(H44:H44)</f>
        <v>82757.4</v>
      </c>
      <c r="I43" s="9">
        <f t="shared" si="8"/>
        <v>72.64742157633003</v>
      </c>
      <c r="J43" s="15">
        <f>SUM(J44:J44)</f>
        <v>115261.09999999999</v>
      </c>
      <c r="K43" s="15">
        <f>SUM(K44:K44)</f>
        <v>83861.8</v>
      </c>
      <c r="L43" s="9">
        <f t="shared" si="27"/>
        <v>72.75811180007827</v>
      </c>
      <c r="M43" s="15">
        <f>SUM(M44:M44)</f>
        <v>324091.8</v>
      </c>
      <c r="N43" s="15">
        <f>SUM(N44:N44)</f>
        <v>259103.7</v>
      </c>
      <c r="O43" s="9">
        <f t="shared" si="10"/>
        <v>79.94762595042516</v>
      </c>
      <c r="P43" s="15">
        <f>SUM(P44:P44)</f>
        <v>120061.1</v>
      </c>
      <c r="Q43" s="15">
        <f>SUM(Q44:Q44)</f>
        <v>91471.7</v>
      </c>
      <c r="R43" s="9">
        <f t="shared" si="11"/>
        <v>76.18762446787511</v>
      </c>
      <c r="S43" s="15">
        <f>SUM(S44:S44)</f>
        <v>118154.09999999999</v>
      </c>
      <c r="T43" s="15">
        <f>SUM(T44:T44)</f>
        <v>104144.8</v>
      </c>
      <c r="U43" s="9">
        <f t="shared" si="12"/>
        <v>88.14319604651892</v>
      </c>
      <c r="V43" s="15">
        <f>SUM(V44:V44)</f>
        <v>120298.40000000001</v>
      </c>
      <c r="W43" s="15">
        <f>SUM(W44:W44)</f>
        <v>105959.4</v>
      </c>
      <c r="X43" s="9">
        <f t="shared" si="28"/>
        <v>88.0804732232515</v>
      </c>
      <c r="Y43" s="15">
        <f>SUM(Y44:Y44)</f>
        <v>358513.60000000003</v>
      </c>
      <c r="Z43" s="15">
        <f>SUM(Z44:Z44)</f>
        <v>301575.9</v>
      </c>
      <c r="AA43" s="9">
        <f t="shared" si="34"/>
        <v>84.11839885571983</v>
      </c>
      <c r="AB43" s="15">
        <f>SUM(AB44:AB44)</f>
        <v>0</v>
      </c>
      <c r="AC43" s="15">
        <f>SUM(AC44:AC44)</f>
        <v>0</v>
      </c>
      <c r="AD43" s="9" t="e">
        <f t="shared" si="4"/>
        <v>#DIV/0!</v>
      </c>
      <c r="AE43" s="15">
        <f>SUM(AE44:AE44)</f>
        <v>0</v>
      </c>
      <c r="AF43" s="15">
        <f>SUM(AF44:AF44)</f>
        <v>0</v>
      </c>
      <c r="AG43" s="9" t="e">
        <f t="shared" si="5"/>
        <v>#DIV/0!</v>
      </c>
      <c r="AH43" s="15">
        <f>SUM(AH44:AH44)</f>
        <v>0</v>
      </c>
      <c r="AI43" s="15">
        <f>SUM(AI44:AI44)</f>
        <v>0</v>
      </c>
      <c r="AJ43" s="9" t="e">
        <f t="shared" si="6"/>
        <v>#DIV/0!</v>
      </c>
      <c r="AK43" s="15">
        <f>SUM(AK44:AK44)</f>
        <v>0</v>
      </c>
      <c r="AL43" s="15">
        <f>SUM(AL44:AL44)</f>
        <v>0</v>
      </c>
      <c r="AM43" s="9" t="e">
        <f t="shared" si="31"/>
        <v>#DIV/0!</v>
      </c>
      <c r="AN43" s="15">
        <f aca="true" t="shared" si="36" ref="AN43:AS43">SUM(AN44:AN44)</f>
        <v>0</v>
      </c>
      <c r="AO43" s="15">
        <f t="shared" si="36"/>
        <v>0</v>
      </c>
      <c r="AP43" s="15">
        <f t="shared" si="36"/>
        <v>0</v>
      </c>
      <c r="AQ43" s="15">
        <f t="shared" si="36"/>
        <v>0</v>
      </c>
      <c r="AR43" s="15">
        <f t="shared" si="36"/>
        <v>0</v>
      </c>
      <c r="AS43" s="15">
        <f t="shared" si="36"/>
        <v>0</v>
      </c>
      <c r="AT43" s="102">
        <f>AT44</f>
        <v>682605.4</v>
      </c>
      <c r="AU43" s="102">
        <f>AU44</f>
        <v>560679.6000000001</v>
      </c>
      <c r="AV43" s="9">
        <f t="shared" si="7"/>
        <v>82.13817236136721</v>
      </c>
      <c r="AW43" s="15">
        <f>AW44</f>
        <v>121925.79999999993</v>
      </c>
      <c r="AX43" s="15">
        <f>AX44</f>
        <v>539708.6000000001</v>
      </c>
      <c r="AY43" s="19">
        <f t="shared" si="14"/>
        <v>682605.4</v>
      </c>
      <c r="AZ43" s="19">
        <f t="shared" si="15"/>
        <v>560679.6000000001</v>
      </c>
      <c r="BA43" s="68">
        <f t="shared" si="16"/>
        <v>539708.6000000001</v>
      </c>
      <c r="BB43" s="67"/>
      <c r="BC43" s="17"/>
      <c r="BD43" s="17"/>
      <c r="BE43" s="19"/>
      <c r="BF43" s="17"/>
      <c r="BG43" s="17"/>
      <c r="BH43" s="17"/>
      <c r="BI43" s="17"/>
    </row>
    <row r="44" spans="1:61" s="10" customFormat="1" ht="34.5" customHeight="1">
      <c r="A44" s="81"/>
      <c r="B44" s="37" t="s">
        <v>67</v>
      </c>
      <c r="C44" s="69">
        <f>413745.4+4037.4</f>
        <v>417782.80000000005</v>
      </c>
      <c r="D44" s="34">
        <f>94500.2+414</f>
        <v>94914.2</v>
      </c>
      <c r="E44" s="34">
        <v>92484.5</v>
      </c>
      <c r="F44" s="51">
        <f>E44/D44*100</f>
        <v>97.4401090669257</v>
      </c>
      <c r="G44" s="34">
        <f>113402.3+514.2</f>
        <v>113916.5</v>
      </c>
      <c r="H44" s="34">
        <v>82757.4</v>
      </c>
      <c r="I44" s="9">
        <f t="shared" si="8"/>
        <v>72.64742157633003</v>
      </c>
      <c r="J44" s="34">
        <f>114725.9+535.2</f>
        <v>115261.09999999999</v>
      </c>
      <c r="K44" s="34">
        <f>83693.5+168.3</f>
        <v>83861.8</v>
      </c>
      <c r="L44" s="9">
        <f t="shared" si="27"/>
        <v>72.75811180007827</v>
      </c>
      <c r="M44" s="70">
        <f t="shared" si="17"/>
        <v>324091.8</v>
      </c>
      <c r="N44" s="70">
        <f t="shared" si="18"/>
        <v>259103.7</v>
      </c>
      <c r="O44" s="9">
        <f t="shared" si="10"/>
        <v>79.94762595042516</v>
      </c>
      <c r="P44" s="34">
        <f>119512.8+548.3</f>
        <v>120061.1</v>
      </c>
      <c r="Q44" s="34">
        <v>91471.7</v>
      </c>
      <c r="R44" s="9">
        <f t="shared" si="11"/>
        <v>76.18762446787511</v>
      </c>
      <c r="S44" s="34">
        <f>117598.2+555.9</f>
        <v>118154.09999999999</v>
      </c>
      <c r="T44" s="34">
        <v>104144.8</v>
      </c>
      <c r="U44" s="9">
        <f t="shared" si="12"/>
        <v>88.14319604651892</v>
      </c>
      <c r="V44" s="34">
        <f>119724.8+573.6</f>
        <v>120298.40000000001</v>
      </c>
      <c r="W44" s="34">
        <v>105959.4</v>
      </c>
      <c r="X44" s="9">
        <f>W44/V44*100</f>
        <v>88.0804732232515</v>
      </c>
      <c r="Y44" s="70">
        <f>P44+S44+V44</f>
        <v>358513.60000000003</v>
      </c>
      <c r="Z44" s="70">
        <f>Q44+T44+W44</f>
        <v>301575.9</v>
      </c>
      <c r="AA44" s="9">
        <f t="shared" si="34"/>
        <v>84.11839885571983</v>
      </c>
      <c r="AB44" s="34"/>
      <c r="AC44" s="34"/>
      <c r="AD44" s="9" t="e">
        <f t="shared" si="4"/>
        <v>#DIV/0!</v>
      </c>
      <c r="AE44" s="34"/>
      <c r="AF44" s="34"/>
      <c r="AG44" s="9" t="e">
        <f t="shared" si="5"/>
        <v>#DIV/0!</v>
      </c>
      <c r="AH44" s="34"/>
      <c r="AI44" s="34"/>
      <c r="AJ44" s="9" t="e">
        <f t="shared" si="6"/>
        <v>#DIV/0!</v>
      </c>
      <c r="AK44" s="70">
        <f>AB44+AE44+AH44</f>
        <v>0</v>
      </c>
      <c r="AL44" s="70">
        <f>AC44+AF44+AI44</f>
        <v>0</v>
      </c>
      <c r="AM44" s="9" t="e">
        <f t="shared" si="31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682605.4</v>
      </c>
      <c r="AU44" s="57">
        <f>N44+Z44+AL44+AO44+AQ44+AS44</f>
        <v>560679.6000000001</v>
      </c>
      <c r="AV44" s="9">
        <f t="shared" si="7"/>
        <v>82.13817236136721</v>
      </c>
      <c r="AW44" s="70">
        <f t="shared" si="25"/>
        <v>121925.79999999993</v>
      </c>
      <c r="AX44" s="71">
        <f t="shared" si="26"/>
        <v>539708.6000000001</v>
      </c>
      <c r="AY44" s="19">
        <f t="shared" si="14"/>
        <v>682605.4</v>
      </c>
      <c r="AZ44" s="19">
        <f t="shared" si="15"/>
        <v>560679.6000000001</v>
      </c>
      <c r="BA44" s="68">
        <f t="shared" si="16"/>
        <v>539708.6000000001</v>
      </c>
      <c r="BB44" s="35"/>
      <c r="BC44" s="17"/>
      <c r="BD44" s="17"/>
      <c r="BE44" s="35"/>
      <c r="BF44" s="17"/>
      <c r="BG44" s="17"/>
      <c r="BH44" s="17"/>
      <c r="BI44" s="17"/>
    </row>
    <row r="45" spans="1:61" ht="34.5" customHeight="1">
      <c r="A45" s="11"/>
      <c r="B45" s="13" t="s">
        <v>90</v>
      </c>
      <c r="C45" s="14">
        <f>C43+C7</f>
        <v>501403.60000000003</v>
      </c>
      <c r="D45" s="15">
        <f>D43+D7</f>
        <v>124397.6</v>
      </c>
      <c r="E45" s="15">
        <f>E43+E7</f>
        <v>119708.6</v>
      </c>
      <c r="F45" s="51">
        <f>E45/D45*100</f>
        <v>96.23063467462394</v>
      </c>
      <c r="G45" s="15">
        <f>G43+G7</f>
        <v>142281.7</v>
      </c>
      <c r="H45" s="15">
        <f>H43+H7</f>
        <v>108682.5</v>
      </c>
      <c r="I45" s="9">
        <f t="shared" si="8"/>
        <v>76.38543818354714</v>
      </c>
      <c r="J45" s="15">
        <f>J43+J7</f>
        <v>144180.70444</v>
      </c>
      <c r="K45" s="15">
        <f>K43+K7</f>
        <v>107833.06844</v>
      </c>
      <c r="L45" s="9">
        <f t="shared" si="27"/>
        <v>74.79022165887262</v>
      </c>
      <c r="M45" s="15">
        <f>M43+M7</f>
        <v>410860.00444</v>
      </c>
      <c r="N45" s="15">
        <f>N43+N7</f>
        <v>336224.16844000004</v>
      </c>
      <c r="O45" s="9">
        <f t="shared" si="10"/>
        <v>81.83424154372773</v>
      </c>
      <c r="P45" s="15">
        <f>P43+P7</f>
        <v>149551.43743</v>
      </c>
      <c r="Q45" s="15">
        <f>Q43+Q7</f>
        <v>115215.91189</v>
      </c>
      <c r="R45" s="9">
        <f t="shared" si="11"/>
        <v>77.04099263099941</v>
      </c>
      <c r="S45" s="15">
        <f>S43+S7</f>
        <v>149205.59999999998</v>
      </c>
      <c r="T45" s="15">
        <f>T43+T7</f>
        <v>131996.8</v>
      </c>
      <c r="U45" s="9">
        <f t="shared" si="12"/>
        <v>88.46638463971863</v>
      </c>
      <c r="V45" s="15">
        <f>V43+V7</f>
        <v>151201.5</v>
      </c>
      <c r="W45" s="15">
        <f>W43+W7</f>
        <v>134154.1</v>
      </c>
      <c r="X45" s="9">
        <f>W45/V45*100</f>
        <v>88.72537640168913</v>
      </c>
      <c r="Y45" s="15">
        <f>Y43+Y7</f>
        <v>449958.53743</v>
      </c>
      <c r="Z45" s="15">
        <f>Z43+Z7</f>
        <v>381366.81189</v>
      </c>
      <c r="AA45" s="9">
        <f t="shared" si="34"/>
        <v>84.75598975590705</v>
      </c>
      <c r="AB45" s="15">
        <f>AB43+AB7</f>
        <v>0</v>
      </c>
      <c r="AC45" s="15">
        <f>AC43+AC7</f>
        <v>0</v>
      </c>
      <c r="AD45" s="9" t="e">
        <f t="shared" si="4"/>
        <v>#DIV/0!</v>
      </c>
      <c r="AE45" s="15">
        <f>AE43+AE7</f>
        <v>0</v>
      </c>
      <c r="AF45" s="15">
        <f>AF43+AF7</f>
        <v>0</v>
      </c>
      <c r="AG45" s="9" t="e">
        <f t="shared" si="5"/>
        <v>#DIV/0!</v>
      </c>
      <c r="AH45" s="15">
        <f>AH43+AH7</f>
        <v>0</v>
      </c>
      <c r="AI45" s="15">
        <f>AI43+AI7</f>
        <v>0</v>
      </c>
      <c r="AJ45" s="9" t="e">
        <f t="shared" si="6"/>
        <v>#DIV/0!</v>
      </c>
      <c r="AK45" s="15">
        <f>AK43+AK7</f>
        <v>0</v>
      </c>
      <c r="AL45" s="15">
        <f>AL43+AL7</f>
        <v>0</v>
      </c>
      <c r="AM45" s="9" t="e">
        <f t="shared" si="31"/>
        <v>#DIV/0!</v>
      </c>
      <c r="AN45" s="15">
        <f aca="true" t="shared" si="37" ref="AN45:AU45">AN43+AN7</f>
        <v>0</v>
      </c>
      <c r="AO45" s="15">
        <f t="shared" si="37"/>
        <v>0</v>
      </c>
      <c r="AP45" s="15">
        <f t="shared" si="37"/>
        <v>0</v>
      </c>
      <c r="AQ45" s="15">
        <f t="shared" si="37"/>
        <v>0</v>
      </c>
      <c r="AR45" s="15">
        <f>AR43+AR7</f>
        <v>0</v>
      </c>
      <c r="AS45" s="15">
        <f>AS43+AS7</f>
        <v>0</v>
      </c>
      <c r="AT45" s="102">
        <f t="shared" si="37"/>
        <v>860818.5418700001</v>
      </c>
      <c r="AU45" s="102">
        <f t="shared" si="37"/>
        <v>717590.98033</v>
      </c>
      <c r="AV45" s="9">
        <f>AU45/AT45*100</f>
        <v>83.36146881445427</v>
      </c>
      <c r="AW45" s="15">
        <f>AW43+AW7</f>
        <v>143227.56153999994</v>
      </c>
      <c r="AX45" s="15">
        <f>AX43+AX7</f>
        <v>644631.1615400001</v>
      </c>
      <c r="AY45" s="19">
        <f t="shared" si="14"/>
        <v>860818.5418700001</v>
      </c>
      <c r="AZ45" s="19">
        <f t="shared" si="15"/>
        <v>717590.98033</v>
      </c>
      <c r="BA45" s="68">
        <f t="shared" si="16"/>
        <v>644631.1615400001</v>
      </c>
      <c r="BB45" s="67"/>
      <c r="BC45" s="67"/>
      <c r="BD45" s="67"/>
      <c r="BE45" s="67"/>
      <c r="BF45" s="36"/>
      <c r="BG45" s="36"/>
      <c r="BH45" s="36"/>
      <c r="BI45" s="36"/>
    </row>
    <row r="46" spans="1:61" s="110" customFormat="1" ht="93" customHeight="1">
      <c r="A46" s="242" t="s">
        <v>95</v>
      </c>
      <c r="B46" s="242"/>
      <c r="C46" s="24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7"/>
      <c r="BG46" s="127"/>
      <c r="BH46" s="127"/>
      <c r="BI46" s="127"/>
    </row>
    <row r="47" spans="1:61" s="10" customFormat="1" ht="19.5" customHeight="1" hidden="1">
      <c r="A47" s="22"/>
      <c r="B47" s="10" t="s">
        <v>70</v>
      </c>
      <c r="C47" s="18"/>
      <c r="D47" s="19"/>
      <c r="E47" s="19"/>
      <c r="F47" s="117"/>
      <c r="G47" s="19"/>
      <c r="H47" s="19"/>
      <c r="I47" s="20"/>
      <c r="J47" s="19"/>
      <c r="K47" s="19"/>
      <c r="L47" s="20"/>
      <c r="M47" s="20"/>
      <c r="N47" s="20"/>
      <c r="O47" s="20"/>
      <c r="P47" s="19"/>
      <c r="Q47" s="19"/>
      <c r="R47" s="20"/>
      <c r="S47" s="19"/>
      <c r="T47" s="19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19"/>
      <c r="BD47" s="6"/>
      <c r="BE47" s="6"/>
      <c r="BF47" s="21"/>
      <c r="BG47" s="6"/>
      <c r="BI47" s="6"/>
    </row>
    <row r="48" spans="1:61" s="10" customFormat="1" ht="7.5" customHeight="1" hidden="1">
      <c r="A48" s="17"/>
      <c r="C48" s="18"/>
      <c r="D48" s="19"/>
      <c r="E48" s="19"/>
      <c r="F48" s="117"/>
      <c r="G48" s="19"/>
      <c r="H48" s="19"/>
      <c r="I48" s="20"/>
      <c r="J48" s="19"/>
      <c r="K48" s="19"/>
      <c r="L48" s="20"/>
      <c r="M48" s="20"/>
      <c r="N48" s="20"/>
      <c r="O48" s="20"/>
      <c r="P48" s="19"/>
      <c r="Q48" s="19"/>
      <c r="R48" s="20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19"/>
      <c r="BD48" s="6"/>
      <c r="BE48" s="6"/>
      <c r="BF48" s="21"/>
      <c r="BG48" s="6"/>
      <c r="BI48" s="6"/>
    </row>
    <row r="49" spans="1:61" s="10" customFormat="1" ht="14.25" customHeight="1" hidden="1">
      <c r="A49" s="22"/>
      <c r="B49" s="10" t="s">
        <v>71</v>
      </c>
      <c r="C49" s="18"/>
      <c r="D49" s="19"/>
      <c r="E49" s="19"/>
      <c r="F49" s="117"/>
      <c r="G49" s="19"/>
      <c r="H49" s="19"/>
      <c r="I49" s="20"/>
      <c r="J49" s="19"/>
      <c r="K49" s="19"/>
      <c r="L49" s="20"/>
      <c r="M49" s="20"/>
      <c r="N49" s="20"/>
      <c r="O49" s="20"/>
      <c r="P49" s="19"/>
      <c r="Q49" s="19"/>
      <c r="R49" s="20"/>
      <c r="S49" s="19"/>
      <c r="T49" s="1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19"/>
      <c r="BD49" s="6"/>
      <c r="BE49" s="6"/>
      <c r="BF49" s="21"/>
      <c r="BG49" s="6"/>
      <c r="BI49" s="6"/>
    </row>
    <row r="50" spans="1:61" ht="24.75" customHeight="1">
      <c r="A50" s="2"/>
      <c r="C50" s="23"/>
      <c r="D50" s="16"/>
      <c r="E50" s="16"/>
      <c r="F50" s="117"/>
      <c r="G50" s="16"/>
      <c r="H50" s="16"/>
      <c r="I50" s="47"/>
      <c r="J50" s="16"/>
      <c r="K50" s="16"/>
      <c r="L50" s="47"/>
      <c r="M50" s="47"/>
      <c r="N50" s="47"/>
      <c r="O50" s="47"/>
      <c r="P50" s="16"/>
      <c r="Q50" s="16"/>
      <c r="R50" s="47"/>
      <c r="S50" s="16"/>
      <c r="T50" s="16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16"/>
      <c r="AU50" s="16"/>
      <c r="AV50" s="47"/>
      <c r="AW50" s="16"/>
      <c r="AX50" s="16"/>
      <c r="AY50" s="16"/>
      <c r="AZ50" s="16"/>
      <c r="BA50" s="16"/>
      <c r="BB50" s="16"/>
      <c r="BC50" s="16"/>
      <c r="BD50" s="7"/>
      <c r="BE50" s="7"/>
      <c r="BF50" s="24"/>
      <c r="BG50" s="7"/>
      <c r="BI50" s="7"/>
    </row>
    <row r="51" spans="1:50" s="28" customFormat="1" ht="96.75" customHeight="1">
      <c r="A51" s="25"/>
      <c r="B51" s="233" t="s">
        <v>76</v>
      </c>
      <c r="C51" s="233"/>
      <c r="D51" s="233"/>
      <c r="E51" s="233"/>
      <c r="F51" s="233"/>
      <c r="G51" s="26"/>
      <c r="H51" s="26"/>
      <c r="I51" s="48"/>
      <c r="J51" s="26"/>
      <c r="K51" s="26"/>
      <c r="L51" s="48"/>
      <c r="M51" s="48"/>
      <c r="N51" s="48"/>
      <c r="O51" s="48"/>
      <c r="P51" s="26"/>
      <c r="Q51" s="26"/>
      <c r="R51" s="48"/>
      <c r="S51" s="26"/>
      <c r="T51" s="26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26"/>
      <c r="AU51" s="26"/>
      <c r="AV51" s="48"/>
      <c r="AW51" s="244" t="s">
        <v>75</v>
      </c>
      <c r="AX51" s="244"/>
    </row>
    <row r="52" spans="1:50" ht="73.5" customHeight="1" hidden="1">
      <c r="A52" s="243" t="s">
        <v>72</v>
      </c>
      <c r="B52" s="243"/>
      <c r="C52" s="29"/>
      <c r="D52" s="29"/>
      <c r="E52" s="29"/>
      <c r="F52" s="118"/>
      <c r="G52" s="30"/>
      <c r="H52" s="30"/>
      <c r="I52" s="31"/>
      <c r="J52" s="30"/>
      <c r="K52" s="30"/>
      <c r="L52" s="31"/>
      <c r="M52" s="31"/>
      <c r="N52" s="31"/>
      <c r="O52" s="31"/>
      <c r="P52" s="30"/>
      <c r="Q52" s="30"/>
      <c r="R52" s="31"/>
      <c r="S52" s="30"/>
      <c r="T52" s="30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0"/>
      <c r="AU52" s="30"/>
      <c r="AV52" s="31"/>
      <c r="AX52" s="4" t="s">
        <v>73</v>
      </c>
    </row>
    <row r="53" spans="51:61" ht="24.75" customHeight="1"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</row>
    <row r="55" spans="51:61" ht="24.75" customHeight="1"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</row>
    <row r="56" spans="51:61" ht="24.75" customHeight="1"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</row>
    <row r="57" spans="51:61" ht="24.75" customHeight="1"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51:61" ht="24.75" customHeight="1"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51:61" ht="24.75" customHeight="1"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</row>
    <row r="60" spans="51:61" ht="18.75"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</row>
    <row r="61" spans="51:61" ht="18.75"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</row>
    <row r="62" spans="51:61" ht="18.75"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</row>
    <row r="63" spans="51:61" ht="18.75"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</row>
    <row r="64" spans="51:61" ht="18.75"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</row>
    <row r="65" spans="51:61" ht="18.75"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</row>
    <row r="66" spans="51:61" ht="18.75"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</row>
    <row r="67" spans="51:61" ht="18.75"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</row>
    <row r="68" spans="51:61" ht="18.75"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</row>
    <row r="69" spans="51:61" ht="18.75"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</row>
    <row r="70" spans="51:61" ht="18.75"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</row>
    <row r="71" spans="51:61" ht="18.75"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</row>
    <row r="72" spans="51:61" ht="18.75"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</row>
    <row r="73" spans="51:61" ht="18.75"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</row>
    <row r="74" spans="51:61" ht="18.75"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</row>
    <row r="75" spans="51:61" ht="18.75"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</row>
    <row r="76" spans="51:61" ht="18.75"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</row>
    <row r="77" spans="51:61" ht="18.75"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</row>
    <row r="78" spans="51:61" ht="18.75"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</row>
    <row r="79" spans="51:61" ht="18.75"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</row>
    <row r="80" spans="51:61" ht="18.75"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</row>
    <row r="81" spans="51:61" ht="18.75"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</row>
    <row r="82" spans="51:61" ht="18.75"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</row>
    <row r="83" spans="51:61" ht="18.75"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</row>
    <row r="84" spans="51:61" ht="18.75"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</row>
    <row r="85" spans="51:61" ht="18.75"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</row>
    <row r="86" spans="51:61" ht="18.75"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</row>
    <row r="87" spans="51:61" ht="18.75"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</row>
    <row r="88" spans="51:61" ht="18.75"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</row>
    <row r="89" spans="51:61" ht="18.75"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</row>
    <row r="90" spans="51:61" ht="18.75"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</row>
    <row r="91" spans="51:61" ht="18.75"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</row>
    <row r="92" spans="51:61" ht="18.75"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</row>
    <row r="93" spans="51:61" ht="18.75"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</row>
    <row r="94" spans="51:61" ht="18.75"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</row>
    <row r="95" spans="51:61" ht="18.75"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</row>
  </sheetData>
  <sheetProtection/>
  <mergeCells count="25">
    <mergeCell ref="I1:AX1"/>
    <mergeCell ref="B4:F4"/>
    <mergeCell ref="D5:F5"/>
    <mergeCell ref="AX5:AX6"/>
    <mergeCell ref="B2:AX3"/>
    <mergeCell ref="AH5:AJ5"/>
    <mergeCell ref="A52:B52"/>
    <mergeCell ref="AW51:AX51"/>
    <mergeCell ref="M5:O5"/>
    <mergeCell ref="S5:U5"/>
    <mergeCell ref="P5:R5"/>
    <mergeCell ref="Y5:AA5"/>
    <mergeCell ref="V5:X5"/>
    <mergeCell ref="AB5:AD5"/>
    <mergeCell ref="AR5:AS5"/>
    <mergeCell ref="AN5:AO5"/>
    <mergeCell ref="B51:F51"/>
    <mergeCell ref="AE5:AG5"/>
    <mergeCell ref="AK5:AM5"/>
    <mergeCell ref="AP5:AQ5"/>
    <mergeCell ref="AW5:AW6"/>
    <mergeCell ref="G5:I5"/>
    <mergeCell ref="J5:L5"/>
    <mergeCell ref="AT5:AV5"/>
    <mergeCell ref="A46:C4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R34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S35" sqref="AS35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2" customWidth="1"/>
    <col min="4" max="4" width="16.625" style="2" hidden="1" customWidth="1"/>
    <col min="5" max="5" width="16.125" style="2" hidden="1" customWidth="1"/>
    <col min="6" max="6" width="12.1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25390625" style="10" customWidth="1"/>
    <col min="14" max="14" width="12.8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1.125" style="10" hidden="1" customWidth="1"/>
    <col min="22" max="22" width="14.875" style="10" customWidth="1"/>
    <col min="23" max="23" width="13.125" style="10" customWidth="1"/>
    <col min="24" max="24" width="11.125" style="10" hidden="1" customWidth="1"/>
    <col min="25" max="25" width="13.25390625" style="10" hidden="1" customWidth="1"/>
    <col min="26" max="26" width="12.875" style="10" hidden="1" customWidth="1"/>
    <col min="27" max="27" width="11.125" style="10" hidden="1" customWidth="1"/>
    <col min="28" max="28" width="14.875" style="10" hidden="1" customWidth="1"/>
    <col min="29" max="29" width="13.1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125" style="10" hidden="1" customWidth="1"/>
    <col min="35" max="35" width="11.875" style="10" hidden="1" customWidth="1"/>
    <col min="36" max="36" width="13.75390625" style="10" hidden="1" customWidth="1"/>
    <col min="37" max="37" width="12.875" style="10" hidden="1" customWidth="1"/>
    <col min="38" max="38" width="11.125" style="10" hidden="1" customWidth="1"/>
    <col min="39" max="39" width="13.125" style="10" hidden="1" customWidth="1"/>
    <col min="40" max="40" width="11.875" style="10" hidden="1" customWidth="1"/>
    <col min="41" max="41" width="13.125" style="10" hidden="1" customWidth="1"/>
    <col min="42" max="42" width="12.75390625" style="10" hidden="1" customWidth="1"/>
    <col min="43" max="43" width="13.125" style="10" hidden="1" customWidth="1"/>
    <col min="44" max="44" width="11.875" style="10" hidden="1" customWidth="1"/>
    <col min="45" max="46" width="14.75390625" style="2" customWidth="1"/>
    <col min="47" max="47" width="11.125" style="10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245" t="s">
        <v>42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</row>
    <row r="2" spans="1:49" s="50" customFormat="1" ht="60" customHeight="1">
      <c r="A2" s="54"/>
      <c r="B2" s="247" t="s">
        <v>117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</row>
    <row r="3" spans="1:49" s="50" customFormat="1" ht="60" customHeight="1">
      <c r="A3" s="49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</row>
    <row r="4" spans="2:49" ht="49.5" customHeight="1">
      <c r="B4" s="248"/>
      <c r="C4" s="248"/>
      <c r="D4" s="248"/>
      <c r="E4" s="248"/>
      <c r="F4" s="248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80</v>
      </c>
    </row>
    <row r="5" spans="1:49" ht="58.5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6"/>
      <c r="AJ5" s="234" t="s">
        <v>107</v>
      </c>
      <c r="AK5" s="235"/>
      <c r="AL5" s="236"/>
      <c r="AM5" s="234" t="s">
        <v>108</v>
      </c>
      <c r="AN5" s="236"/>
      <c r="AO5" s="234" t="s">
        <v>109</v>
      </c>
      <c r="AP5" s="236"/>
      <c r="AQ5" s="234" t="s">
        <v>110</v>
      </c>
      <c r="AR5" s="236"/>
      <c r="AS5" s="239" t="s">
        <v>111</v>
      </c>
      <c r="AT5" s="240"/>
      <c r="AU5" s="241"/>
      <c r="AV5" s="237" t="s">
        <v>123</v>
      </c>
      <c r="AW5" s="237" t="s">
        <v>124</v>
      </c>
    </row>
    <row r="6" spans="1:51" ht="46.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4" t="s">
        <v>77</v>
      </c>
      <c r="AK6" s="44" t="s">
        <v>69</v>
      </c>
      <c r="AL6" s="46" t="s">
        <v>0</v>
      </c>
      <c r="AM6" s="44" t="s">
        <v>77</v>
      </c>
      <c r="AN6" s="44" t="s">
        <v>69</v>
      </c>
      <c r="AO6" s="44" t="s">
        <v>77</v>
      </c>
      <c r="AP6" s="44" t="s">
        <v>69</v>
      </c>
      <c r="AQ6" s="44" t="s">
        <v>77</v>
      </c>
      <c r="AR6" s="44" t="s">
        <v>69</v>
      </c>
      <c r="AS6" s="44" t="s">
        <v>79</v>
      </c>
      <c r="AT6" s="44" t="s">
        <v>69</v>
      </c>
      <c r="AU6" s="46" t="s">
        <v>0</v>
      </c>
      <c r="AV6" s="238"/>
      <c r="AW6" s="238"/>
      <c r="AY6" s="139">
        <f>AZ7-AW7</f>
        <v>0</v>
      </c>
    </row>
    <row r="7" spans="1:52" s="10" customFormat="1" ht="34.5" customHeight="1">
      <c r="A7" s="46"/>
      <c r="B7" s="111" t="s">
        <v>92</v>
      </c>
      <c r="C7" s="53">
        <f>SUM(C8:C42)-C33-C34</f>
        <v>60.1</v>
      </c>
      <c r="D7" s="53">
        <f aca="true" t="shared" si="0" ref="D7:AT7">SUM(D8:D42)-D33-D34</f>
        <v>48.699999999999996</v>
      </c>
      <c r="E7" s="53">
        <f t="shared" si="0"/>
        <v>39.5</v>
      </c>
      <c r="F7" s="53" t="e">
        <f t="shared" si="0"/>
        <v>#DIV/0!</v>
      </c>
      <c r="G7" s="53">
        <f t="shared" si="0"/>
        <v>61.50000000000001</v>
      </c>
      <c r="H7" s="53">
        <f t="shared" si="0"/>
        <v>49.6</v>
      </c>
      <c r="I7" s="53" t="e">
        <f t="shared" si="0"/>
        <v>#DIV/0!</v>
      </c>
      <c r="J7" s="53">
        <f t="shared" si="0"/>
        <v>64.75999999999999</v>
      </c>
      <c r="K7" s="53">
        <f t="shared" si="0"/>
        <v>63.83</v>
      </c>
      <c r="L7" s="53" t="e">
        <f t="shared" si="0"/>
        <v>#DIV/0!</v>
      </c>
      <c r="M7" s="53">
        <f t="shared" si="0"/>
        <v>174.96</v>
      </c>
      <c r="N7" s="53">
        <f t="shared" si="0"/>
        <v>152.93</v>
      </c>
      <c r="O7" s="9">
        <f aca="true" t="shared" si="1" ref="O7:O45">N7/M7*100</f>
        <v>87.40855052583447</v>
      </c>
      <c r="P7" s="53">
        <f t="shared" si="0"/>
        <v>52.86</v>
      </c>
      <c r="Q7" s="53">
        <f t="shared" si="0"/>
        <v>64.8</v>
      </c>
      <c r="R7" s="106">
        <f aca="true" t="shared" si="2" ref="R7:R45">Q7/P7*100</f>
        <v>122.58796821793416</v>
      </c>
      <c r="S7" s="53">
        <f t="shared" si="0"/>
        <v>100.50000000000001</v>
      </c>
      <c r="T7" s="53">
        <f t="shared" si="0"/>
        <v>99.70000000000002</v>
      </c>
      <c r="U7" s="9">
        <f aca="true" t="shared" si="3" ref="U7:U45">T7/S7*100</f>
        <v>99.20398009950249</v>
      </c>
      <c r="V7" s="53">
        <f t="shared" si="0"/>
        <v>130.2</v>
      </c>
      <c r="W7" s="53">
        <f t="shared" si="0"/>
        <v>126.8</v>
      </c>
      <c r="X7" s="53" t="e">
        <f t="shared" si="0"/>
        <v>#DIV/0!</v>
      </c>
      <c r="Y7" s="53">
        <f t="shared" si="0"/>
        <v>283.55999999999995</v>
      </c>
      <c r="Z7" s="53">
        <f t="shared" si="0"/>
        <v>291.29999999999995</v>
      </c>
      <c r="AA7" s="9">
        <f aca="true" t="shared" si="4" ref="AA7:AA28">Z7/Y7*100</f>
        <v>102.72958104104953</v>
      </c>
      <c r="AB7" s="53">
        <f t="shared" si="0"/>
        <v>0</v>
      </c>
      <c r="AC7" s="53">
        <f t="shared" si="0"/>
        <v>0</v>
      </c>
      <c r="AD7" s="9" t="e">
        <f aca="true" t="shared" si="5" ref="AD7:AD45">AC7/AB7*100</f>
        <v>#DIV/0!</v>
      </c>
      <c r="AE7" s="53">
        <f t="shared" si="0"/>
        <v>0</v>
      </c>
      <c r="AF7" s="53">
        <f t="shared" si="0"/>
        <v>0</v>
      </c>
      <c r="AG7" s="9" t="e">
        <f aca="true" t="shared" si="6" ref="AG7:AG45">AF7/AE7*100</f>
        <v>#DIV/0!</v>
      </c>
      <c r="AH7" s="53">
        <f t="shared" si="0"/>
        <v>0</v>
      </c>
      <c r="AI7" s="53">
        <f t="shared" si="0"/>
        <v>0</v>
      </c>
      <c r="AJ7" s="53">
        <f t="shared" si="0"/>
        <v>0</v>
      </c>
      <c r="AK7" s="53">
        <f t="shared" si="0"/>
        <v>0</v>
      </c>
      <c r="AL7" s="53" t="e">
        <f t="shared" si="0"/>
        <v>#DIV/0!</v>
      </c>
      <c r="AM7" s="53">
        <f t="shared" si="0"/>
        <v>0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458.52000000000004</v>
      </c>
      <c r="AT7" s="53">
        <f t="shared" si="0"/>
        <v>444.23</v>
      </c>
      <c r="AU7" s="9">
        <f aca="true" t="shared" si="7" ref="AU7:AU44">AT7/AS7*100</f>
        <v>96.88345110355056</v>
      </c>
      <c r="AV7" s="53">
        <f>SUM(AV8:AV42)-AV33-AV34</f>
        <v>14.290000000000024</v>
      </c>
      <c r="AW7" s="53">
        <f>SUM(AW8:AW42)-AW33-AW34</f>
        <v>74.39000000000004</v>
      </c>
      <c r="AX7" s="19">
        <f>M7+Y7+AJ7+AM7+AO7+AQ7</f>
        <v>458.52</v>
      </c>
      <c r="AY7" s="19">
        <f>N7+Z7+AK7+AN7+AP7+AR7</f>
        <v>444.22999999999996</v>
      </c>
      <c r="AZ7" s="38">
        <f>C7+AX7-AY7</f>
        <v>74.39000000000004</v>
      </c>
    </row>
    <row r="8" spans="1:52" ht="34.5" customHeight="1">
      <c r="A8" s="55">
        <v>1</v>
      </c>
      <c r="B8" s="56" t="s">
        <v>49</v>
      </c>
      <c r="C8" s="83">
        <v>0</v>
      </c>
      <c r="D8" s="34">
        <v>0</v>
      </c>
      <c r="E8" s="34">
        <v>0</v>
      </c>
      <c r="F8" s="84" t="e">
        <f>E8/D8*100</f>
        <v>#DIV/0!</v>
      </c>
      <c r="G8" s="34">
        <v>0</v>
      </c>
      <c r="H8" s="34">
        <v>0</v>
      </c>
      <c r="I8" s="84" t="e">
        <f aca="true" t="shared" si="8" ref="I8:I45">H8/G8*100</f>
        <v>#DIV/0!</v>
      </c>
      <c r="J8" s="34">
        <v>0</v>
      </c>
      <c r="K8" s="34">
        <v>0</v>
      </c>
      <c r="L8" s="84" t="e">
        <f aca="true" t="shared" si="9" ref="L8:L16">K8/J8*100</f>
        <v>#DIV/0!</v>
      </c>
      <c r="M8" s="70">
        <f>D8+G8+J8</f>
        <v>0</v>
      </c>
      <c r="N8" s="70">
        <f>E8+H8+K8</f>
        <v>0</v>
      </c>
      <c r="O8" s="84" t="e">
        <f t="shared" si="1"/>
        <v>#DIV/0!</v>
      </c>
      <c r="P8" s="34">
        <v>0</v>
      </c>
      <c r="Q8" s="34">
        <v>0</v>
      </c>
      <c r="R8" s="84" t="e">
        <f t="shared" si="2"/>
        <v>#DIV/0!</v>
      </c>
      <c r="S8" s="34">
        <v>0</v>
      </c>
      <c r="T8" s="34">
        <v>0</v>
      </c>
      <c r="U8" s="84" t="e">
        <f t="shared" si="3"/>
        <v>#DIV/0!</v>
      </c>
      <c r="V8" s="34"/>
      <c r="W8" s="34"/>
      <c r="X8" s="9" t="e">
        <f aca="true" t="shared" si="10" ref="X8:X28">W8/V8*100</f>
        <v>#DIV/0!</v>
      </c>
      <c r="Y8" s="70">
        <f>P8+S8+V8</f>
        <v>0</v>
      </c>
      <c r="Z8" s="70">
        <f>Q8+T8+W8</f>
        <v>0</v>
      </c>
      <c r="AA8" s="9" t="e">
        <f t="shared" si="4"/>
        <v>#DIV/0!</v>
      </c>
      <c r="AB8" s="34"/>
      <c r="AC8" s="34"/>
      <c r="AD8" s="9" t="e">
        <f t="shared" si="5"/>
        <v>#DIV/0!</v>
      </c>
      <c r="AE8" s="34"/>
      <c r="AF8" s="34"/>
      <c r="AG8" s="9" t="e">
        <f t="shared" si="6"/>
        <v>#DIV/0!</v>
      </c>
      <c r="AH8" s="34"/>
      <c r="AI8" s="34"/>
      <c r="AJ8" s="70">
        <f>AB8+AE8+AH8</f>
        <v>0</v>
      </c>
      <c r="AK8" s="70">
        <f>AC8+AF8+AI8</f>
        <v>0</v>
      </c>
      <c r="AL8" s="9" t="e">
        <f aca="true" t="shared" si="11" ref="AL8:AL28">AK8/AJ8*100</f>
        <v>#DIV/0!</v>
      </c>
      <c r="AM8" s="34"/>
      <c r="AN8" s="34"/>
      <c r="AO8" s="34"/>
      <c r="AP8" s="34"/>
      <c r="AQ8" s="34"/>
      <c r="AR8" s="34"/>
      <c r="AS8" s="57">
        <f>M8+Y8+AJ8+AM8+AO8+AQ8</f>
        <v>0</v>
      </c>
      <c r="AT8" s="57">
        <f>N8+Z8+AK8+AN8+AP8+AR8</f>
        <v>0</v>
      </c>
      <c r="AU8" s="84" t="e">
        <f t="shared" si="7"/>
        <v>#DIV/0!</v>
      </c>
      <c r="AV8" s="57">
        <f>AS8-AT8</f>
        <v>0</v>
      </c>
      <c r="AW8" s="15">
        <f aca="true" t="shared" si="12" ref="AW8:AW28">C8+AS8-AT8</f>
        <v>0</v>
      </c>
      <c r="AX8" s="19">
        <f aca="true" t="shared" si="13" ref="AX8:AX45">M8+Y8+AJ8+AM8+AO8+AQ8</f>
        <v>0</v>
      </c>
      <c r="AY8" s="19">
        <f aca="true" t="shared" si="14" ref="AY8:AY45">N8+Z8+AK8+AN8+AP8+AR8</f>
        <v>0</v>
      </c>
      <c r="AZ8" s="38">
        <f aca="true" t="shared" si="15" ref="AZ8:AZ43">C8+AX8-AY8</f>
        <v>0</v>
      </c>
    </row>
    <row r="9" spans="1:52" ht="34.5" customHeight="1">
      <c r="A9" s="55">
        <v>2</v>
      </c>
      <c r="B9" s="58" t="s">
        <v>65</v>
      </c>
      <c r="C9" s="83">
        <v>0</v>
      </c>
      <c r="D9" s="34">
        <v>0</v>
      </c>
      <c r="E9" s="34">
        <v>0</v>
      </c>
      <c r="F9" s="84" t="e">
        <f>E9/D9*100</f>
        <v>#DIV/0!</v>
      </c>
      <c r="G9" s="34">
        <v>0</v>
      </c>
      <c r="H9" s="34">
        <v>0</v>
      </c>
      <c r="I9" s="84" t="e">
        <f t="shared" si="8"/>
        <v>#DIV/0!</v>
      </c>
      <c r="J9" s="34">
        <v>0</v>
      </c>
      <c r="K9" s="34">
        <v>0</v>
      </c>
      <c r="L9" s="84" t="e">
        <f t="shared" si="9"/>
        <v>#DIV/0!</v>
      </c>
      <c r="M9" s="70">
        <f aca="true" t="shared" si="16" ref="M9:M44">D9+G9+J9</f>
        <v>0</v>
      </c>
      <c r="N9" s="70">
        <f aca="true" t="shared" si="17" ref="N9:N44">E9+H9+K9</f>
        <v>0</v>
      </c>
      <c r="O9" s="84" t="e">
        <f t="shared" si="1"/>
        <v>#DIV/0!</v>
      </c>
      <c r="P9" s="34">
        <v>0</v>
      </c>
      <c r="Q9" s="34">
        <v>0</v>
      </c>
      <c r="R9" s="84" t="e">
        <f t="shared" si="2"/>
        <v>#DIV/0!</v>
      </c>
      <c r="S9" s="34">
        <v>0</v>
      </c>
      <c r="T9" s="34">
        <v>0</v>
      </c>
      <c r="U9" s="84" t="e">
        <f t="shared" si="3"/>
        <v>#DIV/0!</v>
      </c>
      <c r="V9" s="34"/>
      <c r="W9" s="34"/>
      <c r="X9" s="9" t="e">
        <f t="shared" si="10"/>
        <v>#DIV/0!</v>
      </c>
      <c r="Y9" s="70">
        <f aca="true" t="shared" si="18" ref="Y9:Y28">P9+S9+V9</f>
        <v>0</v>
      </c>
      <c r="Z9" s="70">
        <f aca="true" t="shared" si="19" ref="Z9:Z28">Q9+T9+W9</f>
        <v>0</v>
      </c>
      <c r="AA9" s="9" t="e">
        <f t="shared" si="4"/>
        <v>#DIV/0!</v>
      </c>
      <c r="AB9" s="34"/>
      <c r="AC9" s="34"/>
      <c r="AD9" s="9" t="e">
        <f t="shared" si="5"/>
        <v>#DIV/0!</v>
      </c>
      <c r="AE9" s="34"/>
      <c r="AF9" s="34"/>
      <c r="AG9" s="9" t="e">
        <f t="shared" si="6"/>
        <v>#DIV/0!</v>
      </c>
      <c r="AH9" s="34"/>
      <c r="AI9" s="34"/>
      <c r="AJ9" s="70">
        <f aca="true" t="shared" si="20" ref="AJ9:AJ42">AB9+AE9+AH9</f>
        <v>0</v>
      </c>
      <c r="AK9" s="70">
        <f aca="true" t="shared" si="21" ref="AK9:AK42">AC9+AF9+AI9</f>
        <v>0</v>
      </c>
      <c r="AL9" s="9" t="e">
        <f t="shared" si="11"/>
        <v>#DIV/0!</v>
      </c>
      <c r="AM9" s="34"/>
      <c r="AN9" s="34"/>
      <c r="AO9" s="34"/>
      <c r="AP9" s="34"/>
      <c r="AQ9" s="34"/>
      <c r="AR9" s="34"/>
      <c r="AS9" s="57">
        <f aca="true" t="shared" si="22" ref="AS9:AS41">M9+Y9+AJ9+AM9+AO9+AQ9</f>
        <v>0</v>
      </c>
      <c r="AT9" s="57">
        <f aca="true" t="shared" si="23" ref="AT9:AT42">N9+Z9+AK9+AN9+AP9+AR9</f>
        <v>0</v>
      </c>
      <c r="AU9" s="84" t="e">
        <f t="shared" si="7"/>
        <v>#DIV/0!</v>
      </c>
      <c r="AV9" s="57">
        <f aca="true" t="shared" si="24" ref="AV9:AV44">AS9-AT9</f>
        <v>0</v>
      </c>
      <c r="AW9" s="15">
        <f t="shared" si="12"/>
        <v>0</v>
      </c>
      <c r="AX9" s="19">
        <f t="shared" si="13"/>
        <v>0</v>
      </c>
      <c r="AY9" s="19">
        <f t="shared" si="14"/>
        <v>0</v>
      </c>
      <c r="AZ9" s="38">
        <f t="shared" si="15"/>
        <v>0</v>
      </c>
    </row>
    <row r="10" spans="1:52" ht="34.5" customHeight="1">
      <c r="A10" s="55">
        <v>3</v>
      </c>
      <c r="B10" s="60" t="s">
        <v>81</v>
      </c>
      <c r="C10" s="83"/>
      <c r="D10" s="34"/>
      <c r="E10" s="34"/>
      <c r="F10" s="9"/>
      <c r="G10" s="34"/>
      <c r="H10" s="34"/>
      <c r="I10" s="9"/>
      <c r="J10" s="34"/>
      <c r="K10" s="34"/>
      <c r="L10" s="9"/>
      <c r="M10" s="70"/>
      <c r="N10" s="70"/>
      <c r="O10" s="9"/>
      <c r="P10" s="34"/>
      <c r="Q10" s="34"/>
      <c r="R10" s="9"/>
      <c r="S10" s="34"/>
      <c r="T10" s="34"/>
      <c r="U10" s="84" t="e">
        <f t="shared" si="3"/>
        <v>#DIV/0!</v>
      </c>
      <c r="V10" s="34"/>
      <c r="W10" s="34"/>
      <c r="X10" s="102"/>
      <c r="Y10" s="70"/>
      <c r="Z10" s="70"/>
      <c r="AA10" s="9"/>
      <c r="AB10" s="34"/>
      <c r="AC10" s="34"/>
      <c r="AD10" s="9"/>
      <c r="AE10" s="34"/>
      <c r="AF10" s="34"/>
      <c r="AG10" s="9"/>
      <c r="AH10" s="34"/>
      <c r="AI10" s="34"/>
      <c r="AJ10" s="70"/>
      <c r="AK10" s="70"/>
      <c r="AL10" s="9"/>
      <c r="AM10" s="34"/>
      <c r="AN10" s="34"/>
      <c r="AO10" s="34"/>
      <c r="AP10" s="34"/>
      <c r="AQ10" s="34"/>
      <c r="AR10" s="34"/>
      <c r="AS10" s="57"/>
      <c r="AT10" s="57"/>
      <c r="AU10" s="9"/>
      <c r="AV10" s="57"/>
      <c r="AW10" s="15"/>
      <c r="AX10" s="19">
        <f t="shared" si="13"/>
        <v>0</v>
      </c>
      <c r="AY10" s="19">
        <f t="shared" si="14"/>
        <v>0</v>
      </c>
      <c r="AZ10" s="38">
        <f t="shared" si="15"/>
        <v>0</v>
      </c>
    </row>
    <row r="11" spans="1:52" ht="34.5" customHeight="1">
      <c r="A11" s="55">
        <v>4</v>
      </c>
      <c r="B11" s="56" t="s">
        <v>50</v>
      </c>
      <c r="C11" s="83">
        <v>4.4</v>
      </c>
      <c r="D11" s="34">
        <v>0</v>
      </c>
      <c r="E11" s="34">
        <v>0.3</v>
      </c>
      <c r="F11" s="84" t="e">
        <f>E11/D11*100</f>
        <v>#DIV/0!</v>
      </c>
      <c r="G11" s="34">
        <v>0</v>
      </c>
      <c r="H11" s="34">
        <v>0</v>
      </c>
      <c r="I11" s="84" t="e">
        <f t="shared" si="8"/>
        <v>#DIV/0!</v>
      </c>
      <c r="J11" s="34">
        <v>0</v>
      </c>
      <c r="K11" s="34">
        <v>0</v>
      </c>
      <c r="L11" s="84" t="e">
        <f t="shared" si="9"/>
        <v>#DIV/0!</v>
      </c>
      <c r="M11" s="70">
        <f t="shared" si="16"/>
        <v>0</v>
      </c>
      <c r="N11" s="70">
        <f t="shared" si="17"/>
        <v>0.3</v>
      </c>
      <c r="O11" s="84" t="e">
        <f t="shared" si="1"/>
        <v>#DIV/0!</v>
      </c>
      <c r="P11" s="34">
        <v>0</v>
      </c>
      <c r="Q11" s="34">
        <v>0</v>
      </c>
      <c r="R11" s="84" t="e">
        <f t="shared" si="2"/>
        <v>#DIV/0!</v>
      </c>
      <c r="S11" s="34">
        <v>0.3</v>
      </c>
      <c r="T11" s="34">
        <v>0</v>
      </c>
      <c r="U11" s="9">
        <f t="shared" si="3"/>
        <v>0</v>
      </c>
      <c r="V11" s="34"/>
      <c r="W11" s="34"/>
      <c r="X11" s="102" t="e">
        <f t="shared" si="10"/>
        <v>#DIV/0!</v>
      </c>
      <c r="Y11" s="70">
        <f t="shared" si="18"/>
        <v>0.3</v>
      </c>
      <c r="Z11" s="70">
        <f t="shared" si="19"/>
        <v>0</v>
      </c>
      <c r="AA11" s="9">
        <f t="shared" si="4"/>
        <v>0</v>
      </c>
      <c r="AB11" s="34"/>
      <c r="AC11" s="34"/>
      <c r="AD11" s="9" t="e">
        <f t="shared" si="5"/>
        <v>#DIV/0!</v>
      </c>
      <c r="AE11" s="34"/>
      <c r="AF11" s="34"/>
      <c r="AG11" s="9" t="e">
        <f t="shared" si="6"/>
        <v>#DIV/0!</v>
      </c>
      <c r="AH11" s="34"/>
      <c r="AI11" s="34"/>
      <c r="AJ11" s="70">
        <f t="shared" si="20"/>
        <v>0</v>
      </c>
      <c r="AK11" s="70">
        <f t="shared" si="21"/>
        <v>0</v>
      </c>
      <c r="AL11" s="9" t="e">
        <f t="shared" si="11"/>
        <v>#DIV/0!</v>
      </c>
      <c r="AM11" s="34"/>
      <c r="AN11" s="34"/>
      <c r="AO11" s="34"/>
      <c r="AP11" s="34"/>
      <c r="AQ11" s="34"/>
      <c r="AR11" s="34"/>
      <c r="AS11" s="57">
        <f t="shared" si="22"/>
        <v>0.3</v>
      </c>
      <c r="AT11" s="57">
        <f t="shared" si="23"/>
        <v>0.3</v>
      </c>
      <c r="AU11" s="84">
        <f t="shared" si="7"/>
        <v>100</v>
      </c>
      <c r="AV11" s="57">
        <f t="shared" si="24"/>
        <v>0</v>
      </c>
      <c r="AW11" s="15">
        <f t="shared" si="12"/>
        <v>4.4</v>
      </c>
      <c r="AX11" s="19">
        <f t="shared" si="13"/>
        <v>0.3</v>
      </c>
      <c r="AY11" s="19">
        <f t="shared" si="14"/>
        <v>0.3</v>
      </c>
      <c r="AZ11" s="38">
        <f t="shared" si="15"/>
        <v>4.4</v>
      </c>
    </row>
    <row r="12" spans="1:52" ht="34.5" customHeight="1">
      <c r="A12" s="55">
        <v>5</v>
      </c>
      <c r="B12" s="56" t="s">
        <v>51</v>
      </c>
      <c r="C12" s="83">
        <v>0</v>
      </c>
      <c r="D12" s="34">
        <v>0</v>
      </c>
      <c r="E12" s="34">
        <v>0</v>
      </c>
      <c r="F12" s="84" t="e">
        <f>E12/D12*100</f>
        <v>#DIV/0!</v>
      </c>
      <c r="G12" s="34">
        <v>0</v>
      </c>
      <c r="H12" s="34">
        <v>0</v>
      </c>
      <c r="I12" s="84" t="e">
        <f t="shared" si="8"/>
        <v>#DIV/0!</v>
      </c>
      <c r="J12" s="34">
        <v>0</v>
      </c>
      <c r="K12" s="34">
        <v>0</v>
      </c>
      <c r="L12" s="84" t="e">
        <f t="shared" si="9"/>
        <v>#DIV/0!</v>
      </c>
      <c r="M12" s="70">
        <f t="shared" si="16"/>
        <v>0</v>
      </c>
      <c r="N12" s="70">
        <f t="shared" si="17"/>
        <v>0</v>
      </c>
      <c r="O12" s="84" t="e">
        <f t="shared" si="1"/>
        <v>#DIV/0!</v>
      </c>
      <c r="P12" s="34">
        <v>0</v>
      </c>
      <c r="Q12" s="34">
        <v>0</v>
      </c>
      <c r="R12" s="84" t="e">
        <f t="shared" si="2"/>
        <v>#DIV/0!</v>
      </c>
      <c r="S12" s="34">
        <v>0</v>
      </c>
      <c r="T12" s="34">
        <v>0</v>
      </c>
      <c r="U12" s="84" t="e">
        <f t="shared" si="3"/>
        <v>#DIV/0!</v>
      </c>
      <c r="V12" s="34"/>
      <c r="W12" s="34"/>
      <c r="X12" s="9" t="e">
        <f t="shared" si="10"/>
        <v>#DIV/0!</v>
      </c>
      <c r="Y12" s="70">
        <f t="shared" si="18"/>
        <v>0</v>
      </c>
      <c r="Z12" s="70">
        <f t="shared" si="19"/>
        <v>0</v>
      </c>
      <c r="AA12" s="9" t="e">
        <f t="shared" si="4"/>
        <v>#DIV/0!</v>
      </c>
      <c r="AB12" s="34"/>
      <c r="AC12" s="34"/>
      <c r="AD12" s="9" t="e">
        <f t="shared" si="5"/>
        <v>#DIV/0!</v>
      </c>
      <c r="AE12" s="34"/>
      <c r="AF12" s="34"/>
      <c r="AG12" s="9" t="e">
        <f t="shared" si="6"/>
        <v>#DIV/0!</v>
      </c>
      <c r="AH12" s="34"/>
      <c r="AI12" s="34"/>
      <c r="AJ12" s="70">
        <f t="shared" si="20"/>
        <v>0</v>
      </c>
      <c r="AK12" s="70">
        <f t="shared" si="21"/>
        <v>0</v>
      </c>
      <c r="AL12" s="9" t="e">
        <f t="shared" si="11"/>
        <v>#DIV/0!</v>
      </c>
      <c r="AM12" s="34"/>
      <c r="AN12" s="34"/>
      <c r="AO12" s="34"/>
      <c r="AP12" s="34"/>
      <c r="AQ12" s="34"/>
      <c r="AR12" s="34"/>
      <c r="AS12" s="57">
        <f t="shared" si="22"/>
        <v>0</v>
      </c>
      <c r="AT12" s="57">
        <f t="shared" si="23"/>
        <v>0</v>
      </c>
      <c r="AU12" s="84" t="e">
        <f t="shared" si="7"/>
        <v>#DIV/0!</v>
      </c>
      <c r="AV12" s="57">
        <f t="shared" si="24"/>
        <v>0</v>
      </c>
      <c r="AW12" s="15">
        <f t="shared" si="12"/>
        <v>0</v>
      </c>
      <c r="AX12" s="19">
        <f t="shared" si="13"/>
        <v>0</v>
      </c>
      <c r="AY12" s="19">
        <f t="shared" si="14"/>
        <v>0</v>
      </c>
      <c r="AZ12" s="38">
        <f t="shared" si="15"/>
        <v>0</v>
      </c>
    </row>
    <row r="13" spans="1:52" ht="34.5" customHeight="1">
      <c r="A13" s="55">
        <v>6</v>
      </c>
      <c r="B13" s="56" t="s">
        <v>52</v>
      </c>
      <c r="C13" s="83">
        <v>0</v>
      </c>
      <c r="D13" s="34">
        <v>0</v>
      </c>
      <c r="E13" s="34">
        <v>0</v>
      </c>
      <c r="F13" s="84" t="e">
        <f aca="true" t="shared" si="25" ref="F13:F45">E13/D13*100</f>
        <v>#DIV/0!</v>
      </c>
      <c r="G13" s="34">
        <v>0</v>
      </c>
      <c r="H13" s="34">
        <v>0</v>
      </c>
      <c r="I13" s="84" t="e">
        <f t="shared" si="8"/>
        <v>#DIV/0!</v>
      </c>
      <c r="J13" s="34">
        <v>0</v>
      </c>
      <c r="K13" s="34">
        <v>0</v>
      </c>
      <c r="L13" s="9" t="e">
        <f t="shared" si="9"/>
        <v>#DIV/0!</v>
      </c>
      <c r="M13" s="70">
        <f t="shared" si="16"/>
        <v>0</v>
      </c>
      <c r="N13" s="70">
        <f t="shared" si="17"/>
        <v>0</v>
      </c>
      <c r="O13" s="84" t="e">
        <f t="shared" si="1"/>
        <v>#DIV/0!</v>
      </c>
      <c r="P13" s="34">
        <v>0</v>
      </c>
      <c r="Q13" s="34">
        <v>0</v>
      </c>
      <c r="R13" s="84" t="e">
        <f t="shared" si="2"/>
        <v>#DIV/0!</v>
      </c>
      <c r="S13" s="34">
        <v>0</v>
      </c>
      <c r="T13" s="34">
        <v>0</v>
      </c>
      <c r="U13" s="84" t="e">
        <f t="shared" si="3"/>
        <v>#DIV/0!</v>
      </c>
      <c r="V13" s="34"/>
      <c r="W13" s="34"/>
      <c r="X13" s="102" t="e">
        <f t="shared" si="10"/>
        <v>#DIV/0!</v>
      </c>
      <c r="Y13" s="70">
        <f t="shared" si="18"/>
        <v>0</v>
      </c>
      <c r="Z13" s="70">
        <f t="shared" si="19"/>
        <v>0</v>
      </c>
      <c r="AA13" s="9" t="e">
        <f t="shared" si="4"/>
        <v>#DIV/0!</v>
      </c>
      <c r="AB13" s="34"/>
      <c r="AC13" s="34"/>
      <c r="AD13" s="9" t="e">
        <f t="shared" si="5"/>
        <v>#DIV/0!</v>
      </c>
      <c r="AE13" s="34"/>
      <c r="AF13" s="34"/>
      <c r="AG13" s="9" t="e">
        <f t="shared" si="6"/>
        <v>#DIV/0!</v>
      </c>
      <c r="AH13" s="34"/>
      <c r="AI13" s="34"/>
      <c r="AJ13" s="70">
        <f t="shared" si="20"/>
        <v>0</v>
      </c>
      <c r="AK13" s="70">
        <f t="shared" si="21"/>
        <v>0</v>
      </c>
      <c r="AL13" s="9" t="e">
        <f t="shared" si="11"/>
        <v>#DIV/0!</v>
      </c>
      <c r="AM13" s="34"/>
      <c r="AN13" s="34"/>
      <c r="AO13" s="34"/>
      <c r="AP13" s="34"/>
      <c r="AQ13" s="34"/>
      <c r="AR13" s="34"/>
      <c r="AS13" s="57">
        <f t="shared" si="22"/>
        <v>0</v>
      </c>
      <c r="AT13" s="57">
        <f t="shared" si="23"/>
        <v>0</v>
      </c>
      <c r="AU13" s="84" t="e">
        <f t="shared" si="7"/>
        <v>#DIV/0!</v>
      </c>
      <c r="AV13" s="57">
        <f t="shared" si="24"/>
        <v>0</v>
      </c>
      <c r="AW13" s="15">
        <f t="shared" si="12"/>
        <v>0</v>
      </c>
      <c r="AX13" s="19">
        <f t="shared" si="13"/>
        <v>0</v>
      </c>
      <c r="AY13" s="19">
        <f t="shared" si="14"/>
        <v>0</v>
      </c>
      <c r="AZ13" s="38">
        <f t="shared" si="15"/>
        <v>0</v>
      </c>
    </row>
    <row r="14" spans="1:52" ht="34.5" customHeight="1">
      <c r="A14" s="55">
        <v>7</v>
      </c>
      <c r="B14" s="56" t="s">
        <v>82</v>
      </c>
      <c r="C14" s="83">
        <v>0</v>
      </c>
      <c r="D14" s="34">
        <v>11.4</v>
      </c>
      <c r="E14" s="34">
        <v>11.4</v>
      </c>
      <c r="F14" s="9">
        <f t="shared" si="25"/>
        <v>100</v>
      </c>
      <c r="G14" s="34">
        <v>12.1</v>
      </c>
      <c r="H14" s="34">
        <v>12</v>
      </c>
      <c r="I14" s="9">
        <f t="shared" si="8"/>
        <v>99.17355371900827</v>
      </c>
      <c r="J14" s="34">
        <v>12.2</v>
      </c>
      <c r="K14" s="34">
        <v>12.3</v>
      </c>
      <c r="L14" s="9">
        <f t="shared" si="9"/>
        <v>100.81967213114756</v>
      </c>
      <c r="M14" s="70">
        <f t="shared" si="16"/>
        <v>35.7</v>
      </c>
      <c r="N14" s="70">
        <f t="shared" si="17"/>
        <v>35.7</v>
      </c>
      <c r="O14" s="9">
        <f t="shared" si="1"/>
        <v>100</v>
      </c>
      <c r="P14" s="34">
        <v>11.9</v>
      </c>
      <c r="Q14" s="34">
        <v>11</v>
      </c>
      <c r="R14" s="9">
        <f t="shared" si="2"/>
        <v>92.43697478991596</v>
      </c>
      <c r="S14" s="34">
        <v>10.1</v>
      </c>
      <c r="T14" s="34">
        <v>11</v>
      </c>
      <c r="U14" s="9">
        <f t="shared" si="3"/>
        <v>108.91089108910892</v>
      </c>
      <c r="V14" s="34">
        <v>10.3</v>
      </c>
      <c r="W14" s="34">
        <v>10.5</v>
      </c>
      <c r="X14" s="9">
        <f t="shared" si="10"/>
        <v>101.94174757281553</v>
      </c>
      <c r="Y14" s="70">
        <f t="shared" si="18"/>
        <v>32.3</v>
      </c>
      <c r="Z14" s="70">
        <f t="shared" si="19"/>
        <v>32.5</v>
      </c>
      <c r="AA14" s="9">
        <f t="shared" si="4"/>
        <v>100.61919504643964</v>
      </c>
      <c r="AB14" s="34"/>
      <c r="AC14" s="34"/>
      <c r="AD14" s="9" t="e">
        <f t="shared" si="5"/>
        <v>#DIV/0!</v>
      </c>
      <c r="AE14" s="34"/>
      <c r="AF14" s="34"/>
      <c r="AG14" s="9" t="e">
        <f t="shared" si="6"/>
        <v>#DIV/0!</v>
      </c>
      <c r="AH14" s="34"/>
      <c r="AI14" s="34"/>
      <c r="AJ14" s="70">
        <f t="shared" si="20"/>
        <v>0</v>
      </c>
      <c r="AK14" s="70">
        <f t="shared" si="21"/>
        <v>0</v>
      </c>
      <c r="AL14" s="9" t="e">
        <f t="shared" si="11"/>
        <v>#DIV/0!</v>
      </c>
      <c r="AM14" s="34"/>
      <c r="AN14" s="34"/>
      <c r="AO14" s="34"/>
      <c r="AP14" s="34"/>
      <c r="AQ14" s="34"/>
      <c r="AR14" s="34"/>
      <c r="AS14" s="57">
        <f t="shared" si="22"/>
        <v>68</v>
      </c>
      <c r="AT14" s="57">
        <f t="shared" si="23"/>
        <v>68.2</v>
      </c>
      <c r="AU14" s="9">
        <f t="shared" si="7"/>
        <v>100.29411764705883</v>
      </c>
      <c r="AV14" s="57">
        <f t="shared" si="24"/>
        <v>-0.20000000000000284</v>
      </c>
      <c r="AW14" s="15">
        <f t="shared" si="12"/>
        <v>-0.20000000000000284</v>
      </c>
      <c r="AX14" s="19">
        <f t="shared" si="13"/>
        <v>68</v>
      </c>
      <c r="AY14" s="19">
        <f t="shared" si="14"/>
        <v>68.2</v>
      </c>
      <c r="AZ14" s="38">
        <f t="shared" si="15"/>
        <v>-0.20000000000000284</v>
      </c>
    </row>
    <row r="15" spans="1:52" ht="34.5" customHeight="1">
      <c r="A15" s="55">
        <v>8</v>
      </c>
      <c r="B15" s="56" t="s">
        <v>53</v>
      </c>
      <c r="C15" s="83">
        <v>50.5</v>
      </c>
      <c r="D15" s="34">
        <v>4.3</v>
      </c>
      <c r="E15" s="34">
        <v>2.6</v>
      </c>
      <c r="F15" s="9">
        <f t="shared" si="25"/>
        <v>60.465116279069775</v>
      </c>
      <c r="G15" s="34">
        <v>5.2</v>
      </c>
      <c r="H15" s="34">
        <v>4.3</v>
      </c>
      <c r="I15" s="9">
        <f t="shared" si="8"/>
        <v>82.6923076923077</v>
      </c>
      <c r="J15" s="34">
        <v>7</v>
      </c>
      <c r="K15" s="34">
        <v>6.1</v>
      </c>
      <c r="L15" s="9">
        <f t="shared" si="9"/>
        <v>87.14285714285714</v>
      </c>
      <c r="M15" s="70">
        <f t="shared" si="16"/>
        <v>16.5</v>
      </c>
      <c r="N15" s="70">
        <f t="shared" si="17"/>
        <v>13</v>
      </c>
      <c r="O15" s="9">
        <f t="shared" si="1"/>
        <v>78.78787878787878</v>
      </c>
      <c r="P15" s="34">
        <v>8.4</v>
      </c>
      <c r="Q15" s="34">
        <v>7.6</v>
      </c>
      <c r="R15" s="9">
        <f t="shared" si="2"/>
        <v>90.47619047619047</v>
      </c>
      <c r="S15" s="34">
        <v>9.5</v>
      </c>
      <c r="T15" s="34">
        <v>9.1</v>
      </c>
      <c r="U15" s="9">
        <f t="shared" si="3"/>
        <v>95.78947368421052</v>
      </c>
      <c r="V15" s="34"/>
      <c r="W15" s="34"/>
      <c r="X15" s="102" t="e">
        <f t="shared" si="10"/>
        <v>#DIV/0!</v>
      </c>
      <c r="Y15" s="70">
        <f t="shared" si="18"/>
        <v>17.9</v>
      </c>
      <c r="Z15" s="70">
        <f t="shared" si="19"/>
        <v>16.7</v>
      </c>
      <c r="AA15" s="9">
        <f t="shared" si="4"/>
        <v>93.29608938547487</v>
      </c>
      <c r="AB15" s="34"/>
      <c r="AC15" s="34"/>
      <c r="AD15" s="9" t="e">
        <f t="shared" si="5"/>
        <v>#DIV/0!</v>
      </c>
      <c r="AE15" s="34"/>
      <c r="AF15" s="34"/>
      <c r="AG15" s="9" t="e">
        <f t="shared" si="6"/>
        <v>#DIV/0!</v>
      </c>
      <c r="AH15" s="34"/>
      <c r="AI15" s="34"/>
      <c r="AJ15" s="70">
        <f t="shared" si="20"/>
        <v>0</v>
      </c>
      <c r="AK15" s="70">
        <f t="shared" si="21"/>
        <v>0</v>
      </c>
      <c r="AL15" s="9" t="e">
        <f t="shared" si="11"/>
        <v>#DIV/0!</v>
      </c>
      <c r="AM15" s="34"/>
      <c r="AN15" s="34"/>
      <c r="AO15" s="34"/>
      <c r="AP15" s="34"/>
      <c r="AQ15" s="34"/>
      <c r="AR15" s="34"/>
      <c r="AS15" s="57">
        <f t="shared" si="22"/>
        <v>34.4</v>
      </c>
      <c r="AT15" s="57">
        <f t="shared" si="23"/>
        <v>29.7</v>
      </c>
      <c r="AU15" s="9">
        <f t="shared" si="7"/>
        <v>86.33720930232558</v>
      </c>
      <c r="AV15" s="57">
        <f t="shared" si="24"/>
        <v>4.699999999999999</v>
      </c>
      <c r="AW15" s="15">
        <f t="shared" si="12"/>
        <v>55.2</v>
      </c>
      <c r="AX15" s="19">
        <f t="shared" si="13"/>
        <v>34.4</v>
      </c>
      <c r="AY15" s="19">
        <f t="shared" si="14"/>
        <v>29.7</v>
      </c>
      <c r="AZ15" s="38">
        <f t="shared" si="15"/>
        <v>55.2</v>
      </c>
    </row>
    <row r="16" spans="1:52" ht="34.5" customHeight="1">
      <c r="A16" s="55">
        <v>9</v>
      </c>
      <c r="B16" s="56" t="s">
        <v>54</v>
      </c>
      <c r="C16" s="83">
        <v>0</v>
      </c>
      <c r="D16" s="34">
        <v>0</v>
      </c>
      <c r="E16" s="34">
        <v>0</v>
      </c>
      <c r="F16" s="84" t="e">
        <f t="shared" si="25"/>
        <v>#DIV/0!</v>
      </c>
      <c r="G16" s="34">
        <v>0</v>
      </c>
      <c r="H16" s="34">
        <v>0</v>
      </c>
      <c r="I16" s="84" t="e">
        <f t="shared" si="8"/>
        <v>#DIV/0!</v>
      </c>
      <c r="J16" s="34">
        <v>0</v>
      </c>
      <c r="K16" s="34">
        <v>0</v>
      </c>
      <c r="L16" s="84" t="e">
        <f t="shared" si="9"/>
        <v>#DIV/0!</v>
      </c>
      <c r="M16" s="70">
        <f t="shared" si="16"/>
        <v>0</v>
      </c>
      <c r="N16" s="70">
        <f t="shared" si="17"/>
        <v>0</v>
      </c>
      <c r="O16" s="84" t="e">
        <f t="shared" si="1"/>
        <v>#DIV/0!</v>
      </c>
      <c r="P16" s="34">
        <v>0</v>
      </c>
      <c r="Q16" s="34">
        <v>0</v>
      </c>
      <c r="R16" s="84" t="e">
        <f t="shared" si="2"/>
        <v>#DIV/0!</v>
      </c>
      <c r="S16" s="34">
        <v>0</v>
      </c>
      <c r="T16" s="34">
        <v>0</v>
      </c>
      <c r="U16" s="84" t="e">
        <f t="shared" si="3"/>
        <v>#DIV/0!</v>
      </c>
      <c r="V16" s="34"/>
      <c r="W16" s="34"/>
      <c r="X16" s="9" t="e">
        <f t="shared" si="10"/>
        <v>#DIV/0!</v>
      </c>
      <c r="Y16" s="70">
        <f t="shared" si="18"/>
        <v>0</v>
      </c>
      <c r="Z16" s="70">
        <f t="shared" si="19"/>
        <v>0</v>
      </c>
      <c r="AA16" s="9" t="e">
        <f t="shared" si="4"/>
        <v>#DIV/0!</v>
      </c>
      <c r="AB16" s="34"/>
      <c r="AC16" s="34"/>
      <c r="AD16" s="9" t="e">
        <f t="shared" si="5"/>
        <v>#DIV/0!</v>
      </c>
      <c r="AE16" s="34"/>
      <c r="AF16" s="34"/>
      <c r="AG16" s="9" t="e">
        <f t="shared" si="6"/>
        <v>#DIV/0!</v>
      </c>
      <c r="AH16" s="34"/>
      <c r="AI16" s="34"/>
      <c r="AJ16" s="70">
        <f t="shared" si="20"/>
        <v>0</v>
      </c>
      <c r="AK16" s="70">
        <f t="shared" si="21"/>
        <v>0</v>
      </c>
      <c r="AL16" s="9" t="e">
        <f t="shared" si="11"/>
        <v>#DIV/0!</v>
      </c>
      <c r="AM16" s="34"/>
      <c r="AN16" s="34"/>
      <c r="AO16" s="34"/>
      <c r="AP16" s="34"/>
      <c r="AQ16" s="34"/>
      <c r="AR16" s="34"/>
      <c r="AS16" s="57">
        <f t="shared" si="22"/>
        <v>0</v>
      </c>
      <c r="AT16" s="57">
        <f t="shared" si="23"/>
        <v>0</v>
      </c>
      <c r="AU16" s="84" t="e">
        <f t="shared" si="7"/>
        <v>#DIV/0!</v>
      </c>
      <c r="AV16" s="57">
        <f t="shared" si="24"/>
        <v>0</v>
      </c>
      <c r="AW16" s="15">
        <f t="shared" si="12"/>
        <v>0</v>
      </c>
      <c r="AX16" s="19">
        <f t="shared" si="13"/>
        <v>0</v>
      </c>
      <c r="AY16" s="19">
        <f t="shared" si="14"/>
        <v>0</v>
      </c>
      <c r="AZ16" s="38">
        <f t="shared" si="15"/>
        <v>0</v>
      </c>
    </row>
    <row r="17" spans="1:52" ht="34.5" customHeight="1">
      <c r="A17" s="55">
        <v>10</v>
      </c>
      <c r="B17" s="60" t="s">
        <v>83</v>
      </c>
      <c r="C17" s="83">
        <v>0</v>
      </c>
      <c r="D17" s="34">
        <v>0</v>
      </c>
      <c r="E17" s="34">
        <v>0</v>
      </c>
      <c r="F17" s="84" t="e">
        <f t="shared" si="25"/>
        <v>#DIV/0!</v>
      </c>
      <c r="G17" s="34">
        <v>0</v>
      </c>
      <c r="H17" s="34">
        <v>0</v>
      </c>
      <c r="I17" s="84" t="e">
        <f t="shared" si="8"/>
        <v>#DIV/0!</v>
      </c>
      <c r="J17" s="34">
        <v>0</v>
      </c>
      <c r="K17" s="34">
        <v>0</v>
      </c>
      <c r="L17" s="84" t="e">
        <f aca="true" t="shared" si="26" ref="L17:L28">K17/J17*100</f>
        <v>#DIV/0!</v>
      </c>
      <c r="M17" s="70">
        <f t="shared" si="16"/>
        <v>0</v>
      </c>
      <c r="N17" s="70">
        <f t="shared" si="17"/>
        <v>0</v>
      </c>
      <c r="O17" s="84" t="e">
        <f t="shared" si="1"/>
        <v>#DIV/0!</v>
      </c>
      <c r="P17" s="34">
        <v>0</v>
      </c>
      <c r="Q17" s="34">
        <v>0</v>
      </c>
      <c r="R17" s="84" t="e">
        <f t="shared" si="2"/>
        <v>#DIV/0!</v>
      </c>
      <c r="S17" s="34">
        <v>0</v>
      </c>
      <c r="T17" s="34">
        <v>0</v>
      </c>
      <c r="U17" s="84" t="e">
        <f t="shared" si="3"/>
        <v>#DIV/0!</v>
      </c>
      <c r="V17" s="34">
        <v>0</v>
      </c>
      <c r="W17" s="34">
        <v>0</v>
      </c>
      <c r="X17" s="9" t="e">
        <f t="shared" si="10"/>
        <v>#DIV/0!</v>
      </c>
      <c r="Y17" s="70">
        <f t="shared" si="18"/>
        <v>0</v>
      </c>
      <c r="Z17" s="70">
        <f t="shared" si="19"/>
        <v>0</v>
      </c>
      <c r="AA17" s="9" t="e">
        <f t="shared" si="4"/>
        <v>#DIV/0!</v>
      </c>
      <c r="AB17" s="34"/>
      <c r="AC17" s="34"/>
      <c r="AD17" s="9" t="e">
        <f t="shared" si="5"/>
        <v>#DIV/0!</v>
      </c>
      <c r="AE17" s="34"/>
      <c r="AF17" s="34"/>
      <c r="AG17" s="9" t="e">
        <f t="shared" si="6"/>
        <v>#DIV/0!</v>
      </c>
      <c r="AH17" s="34"/>
      <c r="AI17" s="34"/>
      <c r="AJ17" s="70">
        <f t="shared" si="20"/>
        <v>0</v>
      </c>
      <c r="AK17" s="70">
        <f t="shared" si="21"/>
        <v>0</v>
      </c>
      <c r="AL17" s="9" t="e">
        <f t="shared" si="11"/>
        <v>#DIV/0!</v>
      </c>
      <c r="AM17" s="34"/>
      <c r="AN17" s="34"/>
      <c r="AO17" s="34"/>
      <c r="AP17" s="34"/>
      <c r="AQ17" s="34"/>
      <c r="AR17" s="34"/>
      <c r="AS17" s="57">
        <f t="shared" si="22"/>
        <v>0</v>
      </c>
      <c r="AT17" s="57">
        <f t="shared" si="23"/>
        <v>0</v>
      </c>
      <c r="AU17" s="84" t="e">
        <f t="shared" si="7"/>
        <v>#DIV/0!</v>
      </c>
      <c r="AV17" s="57">
        <f t="shared" si="24"/>
        <v>0</v>
      </c>
      <c r="AW17" s="15">
        <f t="shared" si="12"/>
        <v>0</v>
      </c>
      <c r="AX17" s="19">
        <f t="shared" si="13"/>
        <v>0</v>
      </c>
      <c r="AY17" s="19">
        <f t="shared" si="14"/>
        <v>0</v>
      </c>
      <c r="AZ17" s="38">
        <f t="shared" si="15"/>
        <v>0</v>
      </c>
    </row>
    <row r="18" spans="1:52" ht="34.5" customHeight="1">
      <c r="A18" s="55">
        <v>11</v>
      </c>
      <c r="B18" s="60" t="s">
        <v>55</v>
      </c>
      <c r="C18" s="83">
        <v>0</v>
      </c>
      <c r="D18" s="34">
        <v>0</v>
      </c>
      <c r="E18" s="34">
        <v>0</v>
      </c>
      <c r="F18" s="84" t="e">
        <f t="shared" si="25"/>
        <v>#DIV/0!</v>
      </c>
      <c r="G18" s="34">
        <v>0</v>
      </c>
      <c r="H18" s="34">
        <v>0</v>
      </c>
      <c r="I18" s="84" t="e">
        <f t="shared" si="8"/>
        <v>#DIV/0!</v>
      </c>
      <c r="J18" s="34">
        <v>0</v>
      </c>
      <c r="K18" s="34">
        <v>0</v>
      </c>
      <c r="L18" s="84" t="e">
        <f t="shared" si="26"/>
        <v>#DIV/0!</v>
      </c>
      <c r="M18" s="70">
        <f t="shared" si="16"/>
        <v>0</v>
      </c>
      <c r="N18" s="70">
        <f t="shared" si="17"/>
        <v>0</v>
      </c>
      <c r="O18" s="84" t="e">
        <f t="shared" si="1"/>
        <v>#DIV/0!</v>
      </c>
      <c r="P18" s="34">
        <v>0</v>
      </c>
      <c r="Q18" s="34">
        <v>0</v>
      </c>
      <c r="R18" s="84" t="e">
        <f t="shared" si="2"/>
        <v>#DIV/0!</v>
      </c>
      <c r="S18" s="34">
        <v>0</v>
      </c>
      <c r="T18" s="34">
        <v>0</v>
      </c>
      <c r="U18" s="84" t="e">
        <f t="shared" si="3"/>
        <v>#DIV/0!</v>
      </c>
      <c r="V18" s="34">
        <v>0</v>
      </c>
      <c r="W18" s="34">
        <v>0</v>
      </c>
      <c r="X18" s="9" t="e">
        <f t="shared" si="10"/>
        <v>#DIV/0!</v>
      </c>
      <c r="Y18" s="70">
        <f t="shared" si="18"/>
        <v>0</v>
      </c>
      <c r="Z18" s="70">
        <f t="shared" si="19"/>
        <v>0</v>
      </c>
      <c r="AA18" s="9" t="e">
        <f t="shared" si="4"/>
        <v>#DIV/0!</v>
      </c>
      <c r="AB18" s="34"/>
      <c r="AC18" s="34"/>
      <c r="AD18" s="9" t="e">
        <f t="shared" si="5"/>
        <v>#DIV/0!</v>
      </c>
      <c r="AE18" s="34"/>
      <c r="AF18" s="34"/>
      <c r="AG18" s="9" t="e">
        <f t="shared" si="6"/>
        <v>#DIV/0!</v>
      </c>
      <c r="AH18" s="34"/>
      <c r="AI18" s="34"/>
      <c r="AJ18" s="70">
        <f t="shared" si="20"/>
        <v>0</v>
      </c>
      <c r="AK18" s="70">
        <f t="shared" si="21"/>
        <v>0</v>
      </c>
      <c r="AL18" s="9" t="e">
        <f t="shared" si="11"/>
        <v>#DIV/0!</v>
      </c>
      <c r="AM18" s="34"/>
      <c r="AN18" s="34"/>
      <c r="AO18" s="34"/>
      <c r="AP18" s="34"/>
      <c r="AQ18" s="34"/>
      <c r="AR18" s="34"/>
      <c r="AS18" s="57">
        <f t="shared" si="22"/>
        <v>0</v>
      </c>
      <c r="AT18" s="57">
        <f t="shared" si="23"/>
        <v>0</v>
      </c>
      <c r="AU18" s="84" t="e">
        <f t="shared" si="7"/>
        <v>#DIV/0!</v>
      </c>
      <c r="AV18" s="57">
        <f t="shared" si="24"/>
        <v>0</v>
      </c>
      <c r="AW18" s="15">
        <f t="shared" si="12"/>
        <v>0</v>
      </c>
      <c r="AX18" s="19">
        <f t="shared" si="13"/>
        <v>0</v>
      </c>
      <c r="AY18" s="19">
        <f t="shared" si="14"/>
        <v>0</v>
      </c>
      <c r="AZ18" s="38">
        <f t="shared" si="15"/>
        <v>0</v>
      </c>
    </row>
    <row r="19" spans="1:52" ht="34.5" customHeight="1">
      <c r="A19" s="55">
        <v>12</v>
      </c>
      <c r="B19" s="56" t="s">
        <v>56</v>
      </c>
      <c r="C19" s="83"/>
      <c r="D19" s="34"/>
      <c r="E19" s="34"/>
      <c r="F19" s="84" t="e">
        <f t="shared" si="25"/>
        <v>#DIV/0!</v>
      </c>
      <c r="G19" s="34"/>
      <c r="H19" s="34"/>
      <c r="I19" s="84" t="e">
        <f t="shared" si="8"/>
        <v>#DIV/0!</v>
      </c>
      <c r="J19" s="34"/>
      <c r="K19" s="34"/>
      <c r="L19" s="84" t="e">
        <f t="shared" si="26"/>
        <v>#DIV/0!</v>
      </c>
      <c r="M19" s="122">
        <f t="shared" si="16"/>
        <v>0</v>
      </c>
      <c r="N19" s="122">
        <f t="shared" si="17"/>
        <v>0</v>
      </c>
      <c r="O19" s="84" t="e">
        <f t="shared" si="1"/>
        <v>#DIV/0!</v>
      </c>
      <c r="P19" s="121"/>
      <c r="Q19" s="121"/>
      <c r="R19" s="84" t="e">
        <f t="shared" si="2"/>
        <v>#DIV/0!</v>
      </c>
      <c r="S19" s="134">
        <v>0</v>
      </c>
      <c r="T19" s="134">
        <v>0</v>
      </c>
      <c r="U19" s="84" t="e">
        <f t="shared" si="3"/>
        <v>#DIV/0!</v>
      </c>
      <c r="V19" s="121"/>
      <c r="W19" s="121"/>
      <c r="X19" s="84" t="e">
        <f t="shared" si="10"/>
        <v>#DIV/0!</v>
      </c>
      <c r="Y19" s="122">
        <f t="shared" si="18"/>
        <v>0</v>
      </c>
      <c r="Z19" s="122">
        <f t="shared" si="19"/>
        <v>0</v>
      </c>
      <c r="AA19" s="84" t="e">
        <f t="shared" si="4"/>
        <v>#DIV/0!</v>
      </c>
      <c r="AB19" s="121"/>
      <c r="AC19" s="121"/>
      <c r="AD19" s="84" t="e">
        <f t="shared" si="5"/>
        <v>#DIV/0!</v>
      </c>
      <c r="AE19" s="121"/>
      <c r="AF19" s="121"/>
      <c r="AG19" s="84" t="e">
        <f t="shared" si="6"/>
        <v>#DIV/0!</v>
      </c>
      <c r="AH19" s="121"/>
      <c r="AI19" s="121"/>
      <c r="AJ19" s="122">
        <f t="shared" si="20"/>
        <v>0</v>
      </c>
      <c r="AK19" s="122">
        <f t="shared" si="21"/>
        <v>0</v>
      </c>
      <c r="AL19" s="84" t="e">
        <f t="shared" si="11"/>
        <v>#DIV/0!</v>
      </c>
      <c r="AM19" s="121"/>
      <c r="AN19" s="121"/>
      <c r="AO19" s="121"/>
      <c r="AP19" s="121"/>
      <c r="AQ19" s="121"/>
      <c r="AR19" s="121"/>
      <c r="AS19" s="122">
        <f t="shared" si="22"/>
        <v>0</v>
      </c>
      <c r="AT19" s="122">
        <f t="shared" si="23"/>
        <v>0</v>
      </c>
      <c r="AU19" s="84" t="e">
        <f t="shared" si="7"/>
        <v>#DIV/0!</v>
      </c>
      <c r="AV19" s="122">
        <f t="shared" si="24"/>
        <v>0</v>
      </c>
      <c r="AW19" s="123">
        <f t="shared" si="12"/>
        <v>0</v>
      </c>
      <c r="AX19" s="19">
        <f t="shared" si="13"/>
        <v>0</v>
      </c>
      <c r="AY19" s="19">
        <f t="shared" si="14"/>
        <v>0</v>
      </c>
      <c r="AZ19" s="38">
        <f t="shared" si="15"/>
        <v>0</v>
      </c>
    </row>
    <row r="20" spans="1:52" ht="34.5" customHeight="1">
      <c r="A20" s="55">
        <v>13</v>
      </c>
      <c r="B20" s="60" t="s">
        <v>57</v>
      </c>
      <c r="C20" s="83">
        <v>0</v>
      </c>
      <c r="D20" s="34">
        <v>18.2</v>
      </c>
      <c r="E20" s="34">
        <v>11.2</v>
      </c>
      <c r="F20" s="9">
        <v>0</v>
      </c>
      <c r="G20" s="34">
        <v>35.6</v>
      </c>
      <c r="H20" s="34">
        <v>24</v>
      </c>
      <c r="I20" s="84">
        <f t="shared" si="8"/>
        <v>67.41573033707866</v>
      </c>
      <c r="J20" s="34">
        <v>36.76</v>
      </c>
      <c r="K20" s="34">
        <v>31.43</v>
      </c>
      <c r="L20" s="9">
        <f t="shared" si="26"/>
        <v>85.50054406964091</v>
      </c>
      <c r="M20" s="70">
        <f t="shared" si="16"/>
        <v>90.56</v>
      </c>
      <c r="N20" s="70">
        <f t="shared" si="17"/>
        <v>66.63</v>
      </c>
      <c r="O20" s="9">
        <f t="shared" si="1"/>
        <v>73.57553003533567</v>
      </c>
      <c r="P20" s="34">
        <v>23.96</v>
      </c>
      <c r="Q20" s="34">
        <v>39</v>
      </c>
      <c r="R20" s="9">
        <f t="shared" si="2"/>
        <v>162.77128547579298</v>
      </c>
      <c r="S20" s="34">
        <v>69.1</v>
      </c>
      <c r="T20" s="34">
        <v>70.7</v>
      </c>
      <c r="U20" s="9">
        <f t="shared" si="3"/>
        <v>102.31548480463097</v>
      </c>
      <c r="V20" s="34">
        <v>64.5</v>
      </c>
      <c r="W20" s="34">
        <v>61</v>
      </c>
      <c r="X20" s="102">
        <f t="shared" si="10"/>
        <v>94.57364341085271</v>
      </c>
      <c r="Y20" s="70">
        <f t="shared" si="18"/>
        <v>157.56</v>
      </c>
      <c r="Z20" s="70">
        <f t="shared" si="19"/>
        <v>170.7</v>
      </c>
      <c r="AA20" s="9">
        <f t="shared" si="4"/>
        <v>108.33968012185832</v>
      </c>
      <c r="AB20" s="34"/>
      <c r="AC20" s="34"/>
      <c r="AD20" s="9" t="e">
        <f t="shared" si="5"/>
        <v>#DIV/0!</v>
      </c>
      <c r="AE20" s="34"/>
      <c r="AF20" s="34"/>
      <c r="AG20" s="9" t="e">
        <f t="shared" si="6"/>
        <v>#DIV/0!</v>
      </c>
      <c r="AH20" s="34"/>
      <c r="AI20" s="34"/>
      <c r="AJ20" s="70">
        <f t="shared" si="20"/>
        <v>0</v>
      </c>
      <c r="AK20" s="70">
        <f t="shared" si="21"/>
        <v>0</v>
      </c>
      <c r="AL20" s="9" t="e">
        <f t="shared" si="11"/>
        <v>#DIV/0!</v>
      </c>
      <c r="AM20" s="34"/>
      <c r="AN20" s="34"/>
      <c r="AO20" s="34"/>
      <c r="AP20" s="34"/>
      <c r="AQ20" s="34"/>
      <c r="AR20" s="34"/>
      <c r="AS20" s="57">
        <f t="shared" si="22"/>
        <v>248.12</v>
      </c>
      <c r="AT20" s="57">
        <f t="shared" si="23"/>
        <v>237.32999999999998</v>
      </c>
      <c r="AU20" s="9">
        <f t="shared" si="7"/>
        <v>95.65129775914879</v>
      </c>
      <c r="AV20" s="57">
        <f t="shared" si="24"/>
        <v>10.79000000000002</v>
      </c>
      <c r="AW20" s="15">
        <f t="shared" si="12"/>
        <v>10.79000000000002</v>
      </c>
      <c r="AX20" s="19">
        <f t="shared" si="13"/>
        <v>248.12</v>
      </c>
      <c r="AY20" s="19">
        <f t="shared" si="14"/>
        <v>237.32999999999998</v>
      </c>
      <c r="AZ20" s="38">
        <f t="shared" si="15"/>
        <v>10.79000000000002</v>
      </c>
    </row>
    <row r="21" spans="1:52" ht="34.5" customHeight="1">
      <c r="A21" s="55">
        <v>14</v>
      </c>
      <c r="B21" s="60" t="s">
        <v>58</v>
      </c>
      <c r="C21" s="83">
        <v>0</v>
      </c>
      <c r="D21" s="34">
        <v>0</v>
      </c>
      <c r="E21" s="34">
        <v>0</v>
      </c>
      <c r="F21" s="84" t="e">
        <f t="shared" si="25"/>
        <v>#DIV/0!</v>
      </c>
      <c r="G21" s="34">
        <v>0</v>
      </c>
      <c r="H21" s="34">
        <v>0</v>
      </c>
      <c r="I21" s="84" t="e">
        <f t="shared" si="8"/>
        <v>#DIV/0!</v>
      </c>
      <c r="J21" s="34">
        <v>0</v>
      </c>
      <c r="K21" s="34">
        <v>0</v>
      </c>
      <c r="L21" s="84" t="e">
        <f t="shared" si="26"/>
        <v>#DIV/0!</v>
      </c>
      <c r="M21" s="70">
        <f t="shared" si="16"/>
        <v>0</v>
      </c>
      <c r="N21" s="70">
        <f t="shared" si="17"/>
        <v>0</v>
      </c>
      <c r="O21" s="84" t="e">
        <f t="shared" si="1"/>
        <v>#DIV/0!</v>
      </c>
      <c r="P21" s="34">
        <v>0</v>
      </c>
      <c r="Q21" s="34">
        <v>0</v>
      </c>
      <c r="R21" s="84" t="e">
        <f t="shared" si="2"/>
        <v>#DIV/0!</v>
      </c>
      <c r="S21" s="34">
        <v>0</v>
      </c>
      <c r="T21" s="34">
        <v>0</v>
      </c>
      <c r="U21" s="84" t="e">
        <f t="shared" si="3"/>
        <v>#DIV/0!</v>
      </c>
      <c r="V21" s="34"/>
      <c r="W21" s="34"/>
      <c r="X21" s="102" t="e">
        <f t="shared" si="10"/>
        <v>#DIV/0!</v>
      </c>
      <c r="Y21" s="70">
        <f t="shared" si="18"/>
        <v>0</v>
      </c>
      <c r="Z21" s="70">
        <f t="shared" si="19"/>
        <v>0</v>
      </c>
      <c r="AA21" s="9" t="e">
        <f t="shared" si="4"/>
        <v>#DIV/0!</v>
      </c>
      <c r="AB21" s="34"/>
      <c r="AC21" s="34"/>
      <c r="AD21" s="9" t="e">
        <f t="shared" si="5"/>
        <v>#DIV/0!</v>
      </c>
      <c r="AE21" s="34"/>
      <c r="AF21" s="34"/>
      <c r="AG21" s="9" t="e">
        <f t="shared" si="6"/>
        <v>#DIV/0!</v>
      </c>
      <c r="AH21" s="34"/>
      <c r="AI21" s="34"/>
      <c r="AJ21" s="70">
        <f t="shared" si="20"/>
        <v>0</v>
      </c>
      <c r="AK21" s="70">
        <f t="shared" si="21"/>
        <v>0</v>
      </c>
      <c r="AL21" s="9" t="e">
        <f t="shared" si="11"/>
        <v>#DIV/0!</v>
      </c>
      <c r="AM21" s="34"/>
      <c r="AN21" s="34"/>
      <c r="AO21" s="34"/>
      <c r="AP21" s="34"/>
      <c r="AQ21" s="34"/>
      <c r="AR21" s="34"/>
      <c r="AS21" s="57">
        <f t="shared" si="22"/>
        <v>0</v>
      </c>
      <c r="AT21" s="57">
        <f t="shared" si="23"/>
        <v>0</v>
      </c>
      <c r="AU21" s="84" t="e">
        <f t="shared" si="7"/>
        <v>#DIV/0!</v>
      </c>
      <c r="AV21" s="57">
        <f t="shared" si="24"/>
        <v>0</v>
      </c>
      <c r="AW21" s="15">
        <f t="shared" si="12"/>
        <v>0</v>
      </c>
      <c r="AX21" s="19">
        <f t="shared" si="13"/>
        <v>0</v>
      </c>
      <c r="AY21" s="19">
        <f t="shared" si="14"/>
        <v>0</v>
      </c>
      <c r="AZ21" s="38">
        <f t="shared" si="15"/>
        <v>0</v>
      </c>
    </row>
    <row r="22" spans="1:52" ht="34.5" customHeight="1">
      <c r="A22" s="55">
        <v>15</v>
      </c>
      <c r="B22" s="60" t="s">
        <v>41</v>
      </c>
      <c r="C22" s="83">
        <v>5.3</v>
      </c>
      <c r="D22" s="34">
        <v>1.9</v>
      </c>
      <c r="E22" s="34">
        <v>0</v>
      </c>
      <c r="F22" s="9">
        <f t="shared" si="25"/>
        <v>0</v>
      </c>
      <c r="G22" s="34">
        <v>0</v>
      </c>
      <c r="H22" s="34">
        <v>0</v>
      </c>
      <c r="I22" s="84" t="e">
        <f t="shared" si="8"/>
        <v>#DIV/0!</v>
      </c>
      <c r="J22" s="34">
        <v>2.6999999999999997</v>
      </c>
      <c r="K22" s="34">
        <v>7</v>
      </c>
      <c r="L22" s="9">
        <f t="shared" si="26"/>
        <v>259.2592592592593</v>
      </c>
      <c r="M22" s="70">
        <f t="shared" si="16"/>
        <v>4.6</v>
      </c>
      <c r="N22" s="70">
        <f t="shared" si="17"/>
        <v>7</v>
      </c>
      <c r="O22" s="9">
        <f t="shared" si="1"/>
        <v>152.17391304347828</v>
      </c>
      <c r="P22" s="34">
        <v>1.3</v>
      </c>
      <c r="Q22" s="34">
        <v>0</v>
      </c>
      <c r="R22" s="9">
        <f t="shared" si="2"/>
        <v>0</v>
      </c>
      <c r="S22" s="34">
        <v>4.4</v>
      </c>
      <c r="T22" s="34">
        <v>1.8</v>
      </c>
      <c r="U22" s="9">
        <f t="shared" si="3"/>
        <v>40.90909090909091</v>
      </c>
      <c r="V22" s="34">
        <v>49.3</v>
      </c>
      <c r="W22" s="34">
        <v>49.3</v>
      </c>
      <c r="X22" s="102">
        <f t="shared" si="10"/>
        <v>100</v>
      </c>
      <c r="Y22" s="70">
        <f t="shared" si="18"/>
        <v>55</v>
      </c>
      <c r="Z22" s="70">
        <f t="shared" si="19"/>
        <v>51.099999999999994</v>
      </c>
      <c r="AA22" s="9">
        <f t="shared" si="4"/>
        <v>92.90909090909089</v>
      </c>
      <c r="AB22" s="34"/>
      <c r="AC22" s="34"/>
      <c r="AD22" s="9" t="e">
        <f t="shared" si="5"/>
        <v>#DIV/0!</v>
      </c>
      <c r="AE22" s="34"/>
      <c r="AF22" s="34"/>
      <c r="AG22" s="9" t="e">
        <f t="shared" si="6"/>
        <v>#DIV/0!</v>
      </c>
      <c r="AH22" s="34"/>
      <c r="AI22" s="34"/>
      <c r="AJ22" s="70">
        <f t="shared" si="20"/>
        <v>0</v>
      </c>
      <c r="AK22" s="70">
        <f t="shared" si="21"/>
        <v>0</v>
      </c>
      <c r="AL22" s="9" t="e">
        <f t="shared" si="11"/>
        <v>#DIV/0!</v>
      </c>
      <c r="AM22" s="34"/>
      <c r="AN22" s="34"/>
      <c r="AO22" s="34"/>
      <c r="AP22" s="34"/>
      <c r="AQ22" s="34"/>
      <c r="AR22" s="34"/>
      <c r="AS22" s="57">
        <f t="shared" si="22"/>
        <v>59.6</v>
      </c>
      <c r="AT22" s="57">
        <f t="shared" si="23"/>
        <v>58.099999999999994</v>
      </c>
      <c r="AU22" s="9">
        <f t="shared" si="7"/>
        <v>97.48322147651005</v>
      </c>
      <c r="AV22" s="57">
        <f t="shared" si="24"/>
        <v>1.500000000000007</v>
      </c>
      <c r="AW22" s="15">
        <f t="shared" si="12"/>
        <v>6.800000000000011</v>
      </c>
      <c r="AX22" s="19">
        <f t="shared" si="13"/>
        <v>59.6</v>
      </c>
      <c r="AY22" s="19">
        <f t="shared" si="14"/>
        <v>58.099999999999994</v>
      </c>
      <c r="AZ22" s="38">
        <f t="shared" si="15"/>
        <v>6.800000000000011</v>
      </c>
    </row>
    <row r="23" spans="1:52" ht="34.5" customHeight="1">
      <c r="A23" s="55">
        <v>16</v>
      </c>
      <c r="B23" s="60" t="s">
        <v>84</v>
      </c>
      <c r="C23" s="83">
        <v>0</v>
      </c>
      <c r="D23" s="34">
        <v>1.5</v>
      </c>
      <c r="E23" s="34">
        <v>1.5</v>
      </c>
      <c r="F23" s="9">
        <v>584.2</v>
      </c>
      <c r="G23" s="34">
        <v>0.7</v>
      </c>
      <c r="H23" s="34">
        <v>0.7</v>
      </c>
      <c r="I23" s="9">
        <f t="shared" si="8"/>
        <v>100</v>
      </c>
      <c r="J23" s="34">
        <v>0.6</v>
      </c>
      <c r="K23" s="34">
        <v>0.6</v>
      </c>
      <c r="L23" s="9">
        <f t="shared" si="26"/>
        <v>100</v>
      </c>
      <c r="M23" s="70">
        <f t="shared" si="16"/>
        <v>2.8000000000000003</v>
      </c>
      <c r="N23" s="70">
        <f t="shared" si="17"/>
        <v>2.8000000000000003</v>
      </c>
      <c r="O23" s="9">
        <f t="shared" si="1"/>
        <v>100</v>
      </c>
      <c r="P23" s="34">
        <v>0.5</v>
      </c>
      <c r="Q23" s="34">
        <v>0.5</v>
      </c>
      <c r="R23" s="9">
        <f t="shared" si="2"/>
        <v>100</v>
      </c>
      <c r="S23" s="34">
        <v>0.7</v>
      </c>
      <c r="T23" s="34">
        <v>0.7</v>
      </c>
      <c r="U23" s="9">
        <f t="shared" si="3"/>
        <v>100</v>
      </c>
      <c r="V23" s="34"/>
      <c r="W23" s="34"/>
      <c r="X23" s="9" t="e">
        <f t="shared" si="10"/>
        <v>#DIV/0!</v>
      </c>
      <c r="Y23" s="70">
        <f t="shared" si="18"/>
        <v>1.2</v>
      </c>
      <c r="Z23" s="70">
        <f t="shared" si="19"/>
        <v>1.2</v>
      </c>
      <c r="AA23" s="9">
        <f t="shared" si="4"/>
        <v>100</v>
      </c>
      <c r="AB23" s="34"/>
      <c r="AC23" s="34"/>
      <c r="AD23" s="9" t="e">
        <f t="shared" si="5"/>
        <v>#DIV/0!</v>
      </c>
      <c r="AE23" s="34"/>
      <c r="AF23" s="34"/>
      <c r="AG23" s="9" t="e">
        <f t="shared" si="6"/>
        <v>#DIV/0!</v>
      </c>
      <c r="AH23" s="34"/>
      <c r="AI23" s="34"/>
      <c r="AJ23" s="70">
        <f t="shared" si="20"/>
        <v>0</v>
      </c>
      <c r="AK23" s="70">
        <f t="shared" si="21"/>
        <v>0</v>
      </c>
      <c r="AL23" s="9" t="e">
        <f t="shared" si="11"/>
        <v>#DIV/0!</v>
      </c>
      <c r="AM23" s="34"/>
      <c r="AN23" s="34"/>
      <c r="AO23" s="34"/>
      <c r="AP23" s="34"/>
      <c r="AQ23" s="34"/>
      <c r="AR23" s="34"/>
      <c r="AS23" s="57">
        <f t="shared" si="22"/>
        <v>4</v>
      </c>
      <c r="AT23" s="57">
        <f t="shared" si="23"/>
        <v>4</v>
      </c>
      <c r="AU23" s="9">
        <f t="shared" si="7"/>
        <v>100</v>
      </c>
      <c r="AV23" s="57">
        <f t="shared" si="24"/>
        <v>0</v>
      </c>
      <c r="AW23" s="15">
        <f t="shared" si="12"/>
        <v>0</v>
      </c>
      <c r="AX23" s="19">
        <f t="shared" si="13"/>
        <v>4</v>
      </c>
      <c r="AY23" s="19">
        <f t="shared" si="14"/>
        <v>4</v>
      </c>
      <c r="AZ23" s="38">
        <f t="shared" si="15"/>
        <v>0</v>
      </c>
    </row>
    <row r="24" spans="1:52" ht="34.5" customHeight="1">
      <c r="A24" s="55">
        <v>17</v>
      </c>
      <c r="B24" s="60" t="s">
        <v>40</v>
      </c>
      <c r="C24" s="83">
        <v>0</v>
      </c>
      <c r="D24" s="34">
        <v>0</v>
      </c>
      <c r="E24" s="34">
        <v>0</v>
      </c>
      <c r="F24" s="84" t="e">
        <f t="shared" si="25"/>
        <v>#DIV/0!</v>
      </c>
      <c r="G24" s="34">
        <v>0</v>
      </c>
      <c r="H24" s="34">
        <v>0</v>
      </c>
      <c r="I24" s="84" t="e">
        <f t="shared" si="8"/>
        <v>#DIV/0!</v>
      </c>
      <c r="J24" s="34">
        <v>0</v>
      </c>
      <c r="K24" s="34">
        <v>0</v>
      </c>
      <c r="L24" s="84" t="e">
        <f t="shared" si="26"/>
        <v>#DIV/0!</v>
      </c>
      <c r="M24" s="70">
        <f t="shared" si="16"/>
        <v>0</v>
      </c>
      <c r="N24" s="70">
        <f t="shared" si="17"/>
        <v>0</v>
      </c>
      <c r="O24" s="84" t="e">
        <f t="shared" si="1"/>
        <v>#DIV/0!</v>
      </c>
      <c r="P24" s="34">
        <v>0</v>
      </c>
      <c r="Q24" s="34">
        <v>0</v>
      </c>
      <c r="R24" s="84" t="e">
        <f t="shared" si="2"/>
        <v>#DIV/0!</v>
      </c>
      <c r="S24" s="34">
        <v>0</v>
      </c>
      <c r="T24" s="34">
        <v>0</v>
      </c>
      <c r="U24" s="84" t="e">
        <f t="shared" si="3"/>
        <v>#DIV/0!</v>
      </c>
      <c r="V24" s="34"/>
      <c r="W24" s="34"/>
      <c r="X24" s="9" t="e">
        <f t="shared" si="10"/>
        <v>#DIV/0!</v>
      </c>
      <c r="Y24" s="70">
        <f t="shared" si="18"/>
        <v>0</v>
      </c>
      <c r="Z24" s="70">
        <f t="shared" si="19"/>
        <v>0</v>
      </c>
      <c r="AA24" s="9" t="e">
        <f t="shared" si="4"/>
        <v>#DIV/0!</v>
      </c>
      <c r="AB24" s="34"/>
      <c r="AC24" s="34"/>
      <c r="AD24" s="9" t="e">
        <f t="shared" si="5"/>
        <v>#DIV/0!</v>
      </c>
      <c r="AE24" s="34"/>
      <c r="AF24" s="34"/>
      <c r="AG24" s="9" t="e">
        <f t="shared" si="6"/>
        <v>#DIV/0!</v>
      </c>
      <c r="AH24" s="34"/>
      <c r="AI24" s="34"/>
      <c r="AJ24" s="70">
        <f t="shared" si="20"/>
        <v>0</v>
      </c>
      <c r="AK24" s="70">
        <f t="shared" si="21"/>
        <v>0</v>
      </c>
      <c r="AL24" s="9" t="e">
        <f t="shared" si="11"/>
        <v>#DIV/0!</v>
      </c>
      <c r="AM24" s="34"/>
      <c r="AN24" s="34"/>
      <c r="AO24" s="34"/>
      <c r="AP24" s="34"/>
      <c r="AQ24" s="34"/>
      <c r="AR24" s="34"/>
      <c r="AS24" s="57">
        <f t="shared" si="22"/>
        <v>0</v>
      </c>
      <c r="AT24" s="57">
        <f t="shared" si="23"/>
        <v>0</v>
      </c>
      <c r="AU24" s="84" t="e">
        <f t="shared" si="7"/>
        <v>#DIV/0!</v>
      </c>
      <c r="AV24" s="57">
        <f t="shared" si="24"/>
        <v>0</v>
      </c>
      <c r="AW24" s="15">
        <f t="shared" si="12"/>
        <v>0</v>
      </c>
      <c r="AX24" s="19">
        <f t="shared" si="13"/>
        <v>0</v>
      </c>
      <c r="AY24" s="19">
        <f t="shared" si="14"/>
        <v>0</v>
      </c>
      <c r="AZ24" s="38">
        <f t="shared" si="15"/>
        <v>0</v>
      </c>
    </row>
    <row r="25" spans="1:52" ht="34.5" customHeight="1">
      <c r="A25" s="55">
        <v>18</v>
      </c>
      <c r="B25" s="56" t="s">
        <v>43</v>
      </c>
      <c r="C25" s="83">
        <v>0</v>
      </c>
      <c r="D25" s="34">
        <v>0</v>
      </c>
      <c r="E25" s="34">
        <v>0</v>
      </c>
      <c r="F25" s="84" t="e">
        <f t="shared" si="25"/>
        <v>#DIV/0!</v>
      </c>
      <c r="G25" s="34"/>
      <c r="H25" s="34"/>
      <c r="I25" s="84" t="e">
        <f t="shared" si="8"/>
        <v>#DIV/0!</v>
      </c>
      <c r="J25" s="34">
        <v>0</v>
      </c>
      <c r="K25" s="34">
        <v>0</v>
      </c>
      <c r="L25" s="84" t="e">
        <f t="shared" si="26"/>
        <v>#DIV/0!</v>
      </c>
      <c r="M25" s="70">
        <f t="shared" si="16"/>
        <v>0</v>
      </c>
      <c r="N25" s="70">
        <f t="shared" si="17"/>
        <v>0</v>
      </c>
      <c r="O25" s="84" t="e">
        <f t="shared" si="1"/>
        <v>#DIV/0!</v>
      </c>
      <c r="P25" s="34">
        <v>0</v>
      </c>
      <c r="Q25" s="34">
        <v>0</v>
      </c>
      <c r="R25" s="84" t="e">
        <f t="shared" si="2"/>
        <v>#DIV/0!</v>
      </c>
      <c r="S25" s="34">
        <v>0</v>
      </c>
      <c r="T25" s="34">
        <v>0</v>
      </c>
      <c r="U25" s="84" t="e">
        <f t="shared" si="3"/>
        <v>#DIV/0!</v>
      </c>
      <c r="V25" s="34">
        <v>0</v>
      </c>
      <c r="W25" s="34">
        <v>0</v>
      </c>
      <c r="X25" s="9" t="e">
        <f t="shared" si="10"/>
        <v>#DIV/0!</v>
      </c>
      <c r="Y25" s="70">
        <f t="shared" si="18"/>
        <v>0</v>
      </c>
      <c r="Z25" s="70">
        <f t="shared" si="19"/>
        <v>0</v>
      </c>
      <c r="AA25" s="9" t="e">
        <f t="shared" si="4"/>
        <v>#DIV/0!</v>
      </c>
      <c r="AB25" s="34"/>
      <c r="AC25" s="34"/>
      <c r="AD25" s="9" t="e">
        <f t="shared" si="5"/>
        <v>#DIV/0!</v>
      </c>
      <c r="AE25" s="34"/>
      <c r="AF25" s="34"/>
      <c r="AG25" s="9" t="e">
        <f t="shared" si="6"/>
        <v>#DIV/0!</v>
      </c>
      <c r="AH25" s="34"/>
      <c r="AI25" s="34"/>
      <c r="AJ25" s="70">
        <f t="shared" si="20"/>
        <v>0</v>
      </c>
      <c r="AK25" s="70">
        <f t="shared" si="21"/>
        <v>0</v>
      </c>
      <c r="AL25" s="9" t="e">
        <f t="shared" si="11"/>
        <v>#DIV/0!</v>
      </c>
      <c r="AM25" s="34"/>
      <c r="AN25" s="34"/>
      <c r="AO25" s="34"/>
      <c r="AP25" s="34"/>
      <c r="AQ25" s="34"/>
      <c r="AR25" s="34"/>
      <c r="AS25" s="57">
        <f t="shared" si="22"/>
        <v>0</v>
      </c>
      <c r="AT25" s="57">
        <f t="shared" si="23"/>
        <v>0</v>
      </c>
      <c r="AU25" s="84" t="e">
        <f t="shared" si="7"/>
        <v>#DIV/0!</v>
      </c>
      <c r="AV25" s="57">
        <f t="shared" si="24"/>
        <v>0</v>
      </c>
      <c r="AW25" s="15">
        <f t="shared" si="12"/>
        <v>0</v>
      </c>
      <c r="AX25" s="19">
        <f t="shared" si="13"/>
        <v>0</v>
      </c>
      <c r="AY25" s="19">
        <f t="shared" si="14"/>
        <v>0</v>
      </c>
      <c r="AZ25" s="38">
        <f t="shared" si="15"/>
        <v>0</v>
      </c>
    </row>
    <row r="26" spans="1:52" ht="34.5" customHeight="1">
      <c r="A26" s="55">
        <v>19</v>
      </c>
      <c r="B26" s="60" t="s">
        <v>85</v>
      </c>
      <c r="C26" s="83">
        <v>0</v>
      </c>
      <c r="D26" s="34">
        <v>0</v>
      </c>
      <c r="E26" s="34">
        <v>0</v>
      </c>
      <c r="F26" s="84" t="e">
        <f t="shared" si="25"/>
        <v>#DIV/0!</v>
      </c>
      <c r="G26" s="34">
        <v>0</v>
      </c>
      <c r="H26" s="34">
        <v>0</v>
      </c>
      <c r="I26" s="84" t="e">
        <f t="shared" si="8"/>
        <v>#DIV/0!</v>
      </c>
      <c r="J26" s="34">
        <v>0</v>
      </c>
      <c r="K26" s="34">
        <v>0</v>
      </c>
      <c r="L26" s="84" t="e">
        <f t="shared" si="26"/>
        <v>#DIV/0!</v>
      </c>
      <c r="M26" s="70">
        <f t="shared" si="16"/>
        <v>0</v>
      </c>
      <c r="N26" s="70">
        <f t="shared" si="17"/>
        <v>0</v>
      </c>
      <c r="O26" s="84" t="e">
        <f t="shared" si="1"/>
        <v>#DIV/0!</v>
      </c>
      <c r="P26" s="34">
        <v>0</v>
      </c>
      <c r="Q26" s="34">
        <v>0</v>
      </c>
      <c r="R26" s="84" t="e">
        <f t="shared" si="2"/>
        <v>#DIV/0!</v>
      </c>
      <c r="S26" s="34">
        <v>0</v>
      </c>
      <c r="T26" s="34">
        <v>0</v>
      </c>
      <c r="U26" s="84" t="e">
        <f t="shared" si="3"/>
        <v>#DIV/0!</v>
      </c>
      <c r="V26" s="34"/>
      <c r="W26" s="34"/>
      <c r="X26" s="9" t="e">
        <f t="shared" si="10"/>
        <v>#DIV/0!</v>
      </c>
      <c r="Y26" s="70">
        <f t="shared" si="18"/>
        <v>0</v>
      </c>
      <c r="Z26" s="70">
        <f t="shared" si="19"/>
        <v>0</v>
      </c>
      <c r="AA26" s="9" t="e">
        <f t="shared" si="4"/>
        <v>#DIV/0!</v>
      </c>
      <c r="AB26" s="34"/>
      <c r="AC26" s="34"/>
      <c r="AD26" s="9" t="e">
        <f t="shared" si="5"/>
        <v>#DIV/0!</v>
      </c>
      <c r="AE26" s="34"/>
      <c r="AF26" s="34"/>
      <c r="AG26" s="9" t="e">
        <f t="shared" si="6"/>
        <v>#DIV/0!</v>
      </c>
      <c r="AH26" s="34"/>
      <c r="AI26" s="34"/>
      <c r="AJ26" s="70">
        <f t="shared" si="20"/>
        <v>0</v>
      </c>
      <c r="AK26" s="70">
        <f t="shared" si="21"/>
        <v>0</v>
      </c>
      <c r="AL26" s="9" t="e">
        <f t="shared" si="11"/>
        <v>#DIV/0!</v>
      </c>
      <c r="AM26" s="34"/>
      <c r="AN26" s="34"/>
      <c r="AO26" s="34"/>
      <c r="AP26" s="34"/>
      <c r="AQ26" s="34"/>
      <c r="AR26" s="34"/>
      <c r="AS26" s="57">
        <f t="shared" si="22"/>
        <v>0</v>
      </c>
      <c r="AT26" s="57">
        <f t="shared" si="23"/>
        <v>0</v>
      </c>
      <c r="AU26" s="84" t="e">
        <f t="shared" si="7"/>
        <v>#DIV/0!</v>
      </c>
      <c r="AV26" s="57">
        <f t="shared" si="24"/>
        <v>0</v>
      </c>
      <c r="AW26" s="15">
        <f t="shared" si="12"/>
        <v>0</v>
      </c>
      <c r="AX26" s="19">
        <f t="shared" si="13"/>
        <v>0</v>
      </c>
      <c r="AY26" s="19">
        <f t="shared" si="14"/>
        <v>0</v>
      </c>
      <c r="AZ26" s="38">
        <f t="shared" si="15"/>
        <v>0</v>
      </c>
    </row>
    <row r="27" spans="1:52" ht="34.5" customHeight="1">
      <c r="A27" s="55">
        <v>20</v>
      </c>
      <c r="B27" s="60" t="s">
        <v>59</v>
      </c>
      <c r="C27" s="83">
        <v>0</v>
      </c>
      <c r="D27" s="34">
        <v>0</v>
      </c>
      <c r="E27" s="34">
        <v>0</v>
      </c>
      <c r="F27" s="84" t="e">
        <f t="shared" si="25"/>
        <v>#DIV/0!</v>
      </c>
      <c r="G27" s="34">
        <v>0</v>
      </c>
      <c r="H27" s="34">
        <v>0</v>
      </c>
      <c r="I27" s="84" t="e">
        <f t="shared" si="8"/>
        <v>#DIV/0!</v>
      </c>
      <c r="J27" s="34">
        <v>0</v>
      </c>
      <c r="K27" s="34">
        <v>0</v>
      </c>
      <c r="L27" s="84" t="e">
        <f t="shared" si="26"/>
        <v>#DIV/0!</v>
      </c>
      <c r="M27" s="70">
        <f t="shared" si="16"/>
        <v>0</v>
      </c>
      <c r="N27" s="70">
        <f t="shared" si="17"/>
        <v>0</v>
      </c>
      <c r="O27" s="84" t="e">
        <f t="shared" si="1"/>
        <v>#DIV/0!</v>
      </c>
      <c r="P27" s="34">
        <v>0</v>
      </c>
      <c r="Q27" s="34">
        <v>0</v>
      </c>
      <c r="R27" s="84" t="e">
        <f t="shared" si="2"/>
        <v>#DIV/0!</v>
      </c>
      <c r="S27" s="34">
        <v>0</v>
      </c>
      <c r="T27" s="34">
        <v>0</v>
      </c>
      <c r="U27" s="84" t="e">
        <f t="shared" si="3"/>
        <v>#DIV/0!</v>
      </c>
      <c r="V27" s="34"/>
      <c r="W27" s="34"/>
      <c r="X27" s="9" t="e">
        <f t="shared" si="10"/>
        <v>#DIV/0!</v>
      </c>
      <c r="Y27" s="70">
        <f t="shared" si="18"/>
        <v>0</v>
      </c>
      <c r="Z27" s="70">
        <f t="shared" si="19"/>
        <v>0</v>
      </c>
      <c r="AA27" s="9" t="e">
        <f t="shared" si="4"/>
        <v>#DIV/0!</v>
      </c>
      <c r="AB27" s="34"/>
      <c r="AC27" s="34"/>
      <c r="AD27" s="9" t="e">
        <f t="shared" si="5"/>
        <v>#DIV/0!</v>
      </c>
      <c r="AE27" s="34"/>
      <c r="AF27" s="34"/>
      <c r="AG27" s="9" t="e">
        <f t="shared" si="6"/>
        <v>#DIV/0!</v>
      </c>
      <c r="AH27" s="34"/>
      <c r="AI27" s="34"/>
      <c r="AJ27" s="70">
        <f t="shared" si="20"/>
        <v>0</v>
      </c>
      <c r="AK27" s="70">
        <f t="shared" si="21"/>
        <v>0</v>
      </c>
      <c r="AL27" s="9" t="e">
        <f t="shared" si="11"/>
        <v>#DIV/0!</v>
      </c>
      <c r="AM27" s="34"/>
      <c r="AN27" s="34"/>
      <c r="AO27" s="34"/>
      <c r="AP27" s="34"/>
      <c r="AQ27" s="34"/>
      <c r="AR27" s="34"/>
      <c r="AS27" s="57">
        <f t="shared" si="22"/>
        <v>0</v>
      </c>
      <c r="AT27" s="57">
        <f t="shared" si="23"/>
        <v>0</v>
      </c>
      <c r="AU27" s="84" t="e">
        <f t="shared" si="7"/>
        <v>#DIV/0!</v>
      </c>
      <c r="AV27" s="57">
        <f t="shared" si="24"/>
        <v>0</v>
      </c>
      <c r="AW27" s="15">
        <f t="shared" si="12"/>
        <v>0</v>
      </c>
      <c r="AX27" s="19">
        <f t="shared" si="13"/>
        <v>0</v>
      </c>
      <c r="AY27" s="19">
        <f t="shared" si="14"/>
        <v>0</v>
      </c>
      <c r="AZ27" s="38">
        <f t="shared" si="15"/>
        <v>0</v>
      </c>
    </row>
    <row r="28" spans="1:52" ht="34.5" customHeight="1">
      <c r="A28" s="55">
        <v>21</v>
      </c>
      <c r="B28" s="112" t="s">
        <v>86</v>
      </c>
      <c r="C28" s="83">
        <v>0</v>
      </c>
      <c r="D28" s="34">
        <v>0</v>
      </c>
      <c r="E28" s="34">
        <v>0</v>
      </c>
      <c r="F28" s="84" t="e">
        <f t="shared" si="25"/>
        <v>#DIV/0!</v>
      </c>
      <c r="G28" s="34">
        <v>0</v>
      </c>
      <c r="H28" s="34">
        <v>0</v>
      </c>
      <c r="I28" s="84" t="e">
        <f t="shared" si="8"/>
        <v>#DIV/0!</v>
      </c>
      <c r="J28" s="34">
        <v>0</v>
      </c>
      <c r="K28" s="34">
        <v>0</v>
      </c>
      <c r="L28" s="84" t="e">
        <f t="shared" si="26"/>
        <v>#DIV/0!</v>
      </c>
      <c r="M28" s="70">
        <f t="shared" si="16"/>
        <v>0</v>
      </c>
      <c r="N28" s="70">
        <f t="shared" si="17"/>
        <v>0</v>
      </c>
      <c r="O28" s="84" t="e">
        <f t="shared" si="1"/>
        <v>#DIV/0!</v>
      </c>
      <c r="P28" s="34">
        <v>0</v>
      </c>
      <c r="Q28" s="34">
        <v>0</v>
      </c>
      <c r="R28" s="84" t="e">
        <f t="shared" si="2"/>
        <v>#DIV/0!</v>
      </c>
      <c r="S28" s="34">
        <v>0</v>
      </c>
      <c r="T28" s="34">
        <v>0</v>
      </c>
      <c r="U28" s="84" t="e">
        <f t="shared" si="3"/>
        <v>#DIV/0!</v>
      </c>
      <c r="V28" s="34"/>
      <c r="W28" s="34"/>
      <c r="X28" s="9" t="e">
        <f t="shared" si="10"/>
        <v>#DIV/0!</v>
      </c>
      <c r="Y28" s="70">
        <f t="shared" si="18"/>
        <v>0</v>
      </c>
      <c r="Z28" s="70">
        <f t="shared" si="19"/>
        <v>0</v>
      </c>
      <c r="AA28" s="9" t="e">
        <f t="shared" si="4"/>
        <v>#DIV/0!</v>
      </c>
      <c r="AB28" s="34"/>
      <c r="AC28" s="34"/>
      <c r="AD28" s="9" t="e">
        <f t="shared" si="5"/>
        <v>#DIV/0!</v>
      </c>
      <c r="AE28" s="34"/>
      <c r="AF28" s="78"/>
      <c r="AG28" s="9" t="e">
        <f t="shared" si="6"/>
        <v>#DIV/0!</v>
      </c>
      <c r="AH28" s="34"/>
      <c r="AI28" s="78"/>
      <c r="AJ28" s="70">
        <f t="shared" si="20"/>
        <v>0</v>
      </c>
      <c r="AK28" s="70">
        <f t="shared" si="21"/>
        <v>0</v>
      </c>
      <c r="AL28" s="9" t="e">
        <f t="shared" si="11"/>
        <v>#DIV/0!</v>
      </c>
      <c r="AM28" s="34"/>
      <c r="AN28" s="78"/>
      <c r="AO28" s="34"/>
      <c r="AP28" s="78"/>
      <c r="AQ28" s="34"/>
      <c r="AR28" s="78"/>
      <c r="AS28" s="57">
        <f t="shared" si="22"/>
        <v>0</v>
      </c>
      <c r="AT28" s="57">
        <f t="shared" si="23"/>
        <v>0</v>
      </c>
      <c r="AU28" s="84" t="e">
        <f t="shared" si="7"/>
        <v>#DIV/0!</v>
      </c>
      <c r="AV28" s="57">
        <f t="shared" si="24"/>
        <v>0</v>
      </c>
      <c r="AW28" s="15">
        <f t="shared" si="12"/>
        <v>0</v>
      </c>
      <c r="AX28" s="19">
        <f t="shared" si="13"/>
        <v>0</v>
      </c>
      <c r="AY28" s="19">
        <f t="shared" si="14"/>
        <v>0</v>
      </c>
      <c r="AZ28" s="38">
        <f t="shared" si="15"/>
        <v>0</v>
      </c>
    </row>
    <row r="29" spans="1:52" ht="34.5" customHeight="1">
      <c r="A29" s="55">
        <v>22</v>
      </c>
      <c r="B29" s="56" t="s">
        <v>2</v>
      </c>
      <c r="C29" s="52"/>
      <c r="D29" s="52"/>
      <c r="E29" s="52"/>
      <c r="F29" s="52"/>
      <c r="G29" s="52"/>
      <c r="H29" s="52"/>
      <c r="I29" s="84" t="e">
        <f t="shared" si="8"/>
        <v>#DIV/0!</v>
      </c>
      <c r="J29" s="52"/>
      <c r="K29" s="52"/>
      <c r="L29" s="52"/>
      <c r="M29" s="70"/>
      <c r="N29" s="70"/>
      <c r="O29" s="9"/>
      <c r="P29" s="52"/>
      <c r="Q29" s="52"/>
      <c r="R29" s="84" t="e">
        <f t="shared" si="2"/>
        <v>#DIV/0!</v>
      </c>
      <c r="S29" s="52"/>
      <c r="T29" s="52"/>
      <c r="U29" s="84" t="e">
        <f t="shared" si="3"/>
        <v>#DIV/0!</v>
      </c>
      <c r="V29" s="52"/>
      <c r="W29" s="52"/>
      <c r="X29" s="52"/>
      <c r="Y29" s="70"/>
      <c r="Z29" s="70"/>
      <c r="AA29" s="9"/>
      <c r="AB29" s="52"/>
      <c r="AC29" s="52"/>
      <c r="AD29" s="84" t="e">
        <f t="shared" si="5"/>
        <v>#DIV/0!</v>
      </c>
      <c r="AE29" s="52"/>
      <c r="AF29" s="52"/>
      <c r="AG29" s="84" t="e">
        <f t="shared" si="6"/>
        <v>#DIV/0!</v>
      </c>
      <c r="AH29" s="52"/>
      <c r="AI29" s="52"/>
      <c r="AJ29" s="122">
        <f t="shared" si="20"/>
        <v>0</v>
      </c>
      <c r="AK29" s="122">
        <f t="shared" si="21"/>
        <v>0</v>
      </c>
      <c r="AL29" s="9"/>
      <c r="AM29" s="52"/>
      <c r="AN29" s="52"/>
      <c r="AO29" s="52"/>
      <c r="AP29" s="52"/>
      <c r="AQ29" s="52"/>
      <c r="AR29" s="52"/>
      <c r="AS29" s="57"/>
      <c r="AT29" s="57"/>
      <c r="AU29" s="52"/>
      <c r="AV29" s="57"/>
      <c r="AW29" s="85"/>
      <c r="AX29" s="19">
        <f t="shared" si="13"/>
        <v>0</v>
      </c>
      <c r="AY29" s="19">
        <f t="shared" si="14"/>
        <v>0</v>
      </c>
      <c r="AZ29" s="38">
        <f t="shared" si="15"/>
        <v>0</v>
      </c>
    </row>
    <row r="30" spans="1:52" ht="34.5" customHeight="1">
      <c r="A30" s="55">
        <v>23</v>
      </c>
      <c r="B30" s="60" t="s">
        <v>39</v>
      </c>
      <c r="C30" s="83">
        <v>0</v>
      </c>
      <c r="D30" s="34">
        <v>3.6</v>
      </c>
      <c r="E30" s="34">
        <v>3.6</v>
      </c>
      <c r="F30" s="9">
        <f t="shared" si="25"/>
        <v>100</v>
      </c>
      <c r="G30" s="34">
        <v>2.5</v>
      </c>
      <c r="H30" s="34">
        <v>2.5</v>
      </c>
      <c r="I30" s="9">
        <f t="shared" si="8"/>
        <v>100</v>
      </c>
      <c r="J30" s="34">
        <v>2.5</v>
      </c>
      <c r="K30" s="34">
        <v>2.5</v>
      </c>
      <c r="L30" s="59">
        <f aca="true" t="shared" si="27" ref="L30:L45">K30/J30*100</f>
        <v>100</v>
      </c>
      <c r="M30" s="70">
        <f t="shared" si="16"/>
        <v>8.6</v>
      </c>
      <c r="N30" s="70">
        <f t="shared" si="17"/>
        <v>8.6</v>
      </c>
      <c r="O30" s="9">
        <f t="shared" si="1"/>
        <v>100</v>
      </c>
      <c r="P30" s="34">
        <v>1.8</v>
      </c>
      <c r="Q30" s="34">
        <v>1.8</v>
      </c>
      <c r="R30" s="9">
        <f t="shared" si="2"/>
        <v>100</v>
      </c>
      <c r="S30" s="34">
        <v>2.2</v>
      </c>
      <c r="T30" s="34">
        <v>2.2</v>
      </c>
      <c r="U30" s="9">
        <f t="shared" si="3"/>
        <v>100</v>
      </c>
      <c r="V30" s="34">
        <v>1.2</v>
      </c>
      <c r="W30" s="34">
        <v>1.2</v>
      </c>
      <c r="X30" s="102">
        <f aca="true" t="shared" si="28" ref="X30:X45">W30/V30*100</f>
        <v>100</v>
      </c>
      <c r="Y30" s="70">
        <f aca="true" t="shared" si="29" ref="Y30:Y42">P30+S30+V30</f>
        <v>5.2</v>
      </c>
      <c r="Z30" s="70">
        <f aca="true" t="shared" si="30" ref="Z30:Z42">Q30+T30+W30</f>
        <v>5.2</v>
      </c>
      <c r="AA30" s="9">
        <f aca="true" t="shared" si="31" ref="AA30:AA45">Z30/Y30*100</f>
        <v>100</v>
      </c>
      <c r="AB30" s="34"/>
      <c r="AC30" s="34"/>
      <c r="AD30" s="9" t="e">
        <f t="shared" si="5"/>
        <v>#DIV/0!</v>
      </c>
      <c r="AE30" s="34"/>
      <c r="AF30" s="34"/>
      <c r="AG30" s="9" t="e">
        <f t="shared" si="6"/>
        <v>#DIV/0!</v>
      </c>
      <c r="AH30" s="34"/>
      <c r="AI30" s="34"/>
      <c r="AJ30" s="70">
        <f t="shared" si="20"/>
        <v>0</v>
      </c>
      <c r="AK30" s="70">
        <f t="shared" si="21"/>
        <v>0</v>
      </c>
      <c r="AL30" s="9" t="e">
        <f aca="true" t="shared" si="32" ref="AL30:AL45">AK30/AJ30*100</f>
        <v>#DIV/0!</v>
      </c>
      <c r="AM30" s="34"/>
      <c r="AN30" s="34"/>
      <c r="AO30" s="34"/>
      <c r="AP30" s="34"/>
      <c r="AQ30" s="34"/>
      <c r="AR30" s="34"/>
      <c r="AS30" s="57">
        <f t="shared" si="22"/>
        <v>13.8</v>
      </c>
      <c r="AT30" s="57">
        <f t="shared" si="23"/>
        <v>13.8</v>
      </c>
      <c r="AU30" s="9">
        <f t="shared" si="7"/>
        <v>100</v>
      </c>
      <c r="AV30" s="57">
        <f t="shared" si="24"/>
        <v>0</v>
      </c>
      <c r="AW30" s="15">
        <f aca="true" t="shared" si="33" ref="AW30:AW41">C30+AS30-AT30</f>
        <v>0</v>
      </c>
      <c r="AX30" s="19">
        <f t="shared" si="13"/>
        <v>13.8</v>
      </c>
      <c r="AY30" s="19">
        <f t="shared" si="14"/>
        <v>13.8</v>
      </c>
      <c r="AZ30" s="38">
        <f t="shared" si="15"/>
        <v>0</v>
      </c>
    </row>
    <row r="31" spans="1:52" ht="34.5" customHeight="1">
      <c r="A31" s="55">
        <v>24</v>
      </c>
      <c r="B31" s="60" t="s">
        <v>3</v>
      </c>
      <c r="C31" s="83">
        <v>0</v>
      </c>
      <c r="D31" s="34">
        <v>0</v>
      </c>
      <c r="E31" s="34">
        <v>0</v>
      </c>
      <c r="F31" s="84" t="e">
        <f t="shared" si="25"/>
        <v>#DIV/0!</v>
      </c>
      <c r="G31" s="34"/>
      <c r="H31" s="34"/>
      <c r="I31" s="84" t="e">
        <f t="shared" si="8"/>
        <v>#DIV/0!</v>
      </c>
      <c r="J31" s="34">
        <v>0</v>
      </c>
      <c r="K31" s="34">
        <v>0</v>
      </c>
      <c r="L31" s="84" t="e">
        <f t="shared" si="27"/>
        <v>#DIV/0!</v>
      </c>
      <c r="M31" s="70">
        <f t="shared" si="16"/>
        <v>0</v>
      </c>
      <c r="N31" s="70">
        <f t="shared" si="17"/>
        <v>0</v>
      </c>
      <c r="O31" s="84" t="e">
        <f t="shared" si="1"/>
        <v>#DIV/0!</v>
      </c>
      <c r="P31" s="34">
        <v>0</v>
      </c>
      <c r="Q31" s="34">
        <v>0</v>
      </c>
      <c r="R31" s="84" t="e">
        <f t="shared" si="2"/>
        <v>#DIV/0!</v>
      </c>
      <c r="S31" s="34">
        <v>0</v>
      </c>
      <c r="T31" s="34">
        <v>0</v>
      </c>
      <c r="U31" s="84" t="e">
        <f t="shared" si="3"/>
        <v>#DIV/0!</v>
      </c>
      <c r="V31" s="34">
        <v>0</v>
      </c>
      <c r="W31" s="34">
        <v>0</v>
      </c>
      <c r="X31" s="9" t="e">
        <f t="shared" si="28"/>
        <v>#DIV/0!</v>
      </c>
      <c r="Y31" s="70">
        <f t="shared" si="29"/>
        <v>0</v>
      </c>
      <c r="Z31" s="70">
        <f t="shared" si="30"/>
        <v>0</v>
      </c>
      <c r="AA31" s="9" t="e">
        <f t="shared" si="31"/>
        <v>#DIV/0!</v>
      </c>
      <c r="AB31" s="34"/>
      <c r="AC31" s="34"/>
      <c r="AD31" s="9" t="e">
        <f t="shared" si="5"/>
        <v>#DIV/0!</v>
      </c>
      <c r="AE31" s="34"/>
      <c r="AF31" s="34"/>
      <c r="AG31" s="9" t="e">
        <f t="shared" si="6"/>
        <v>#DIV/0!</v>
      </c>
      <c r="AH31" s="34"/>
      <c r="AI31" s="34"/>
      <c r="AJ31" s="70">
        <f t="shared" si="20"/>
        <v>0</v>
      </c>
      <c r="AK31" s="70">
        <f t="shared" si="21"/>
        <v>0</v>
      </c>
      <c r="AL31" s="9" t="e">
        <f t="shared" si="32"/>
        <v>#DIV/0!</v>
      </c>
      <c r="AM31" s="34"/>
      <c r="AN31" s="34"/>
      <c r="AO31" s="34"/>
      <c r="AP31" s="34"/>
      <c r="AQ31" s="34"/>
      <c r="AR31" s="34"/>
      <c r="AS31" s="57">
        <f t="shared" si="22"/>
        <v>0</v>
      </c>
      <c r="AT31" s="57">
        <f t="shared" si="23"/>
        <v>0</v>
      </c>
      <c r="AU31" s="84" t="e">
        <f t="shared" si="7"/>
        <v>#DIV/0!</v>
      </c>
      <c r="AV31" s="57">
        <f t="shared" si="24"/>
        <v>0</v>
      </c>
      <c r="AW31" s="15">
        <f t="shared" si="33"/>
        <v>0</v>
      </c>
      <c r="AX31" s="19">
        <f t="shared" si="13"/>
        <v>0</v>
      </c>
      <c r="AY31" s="19">
        <f t="shared" si="14"/>
        <v>0</v>
      </c>
      <c r="AZ31" s="38">
        <f t="shared" si="15"/>
        <v>0</v>
      </c>
    </row>
    <row r="32" spans="1:52" ht="34.5" customHeight="1">
      <c r="A32" s="55">
        <v>25</v>
      </c>
      <c r="B32" s="60" t="s">
        <v>87</v>
      </c>
      <c r="C32" s="66">
        <f>SUM(C33:C34)</f>
        <v>2.3</v>
      </c>
      <c r="D32" s="66">
        <f aca="true" t="shared" si="34" ref="D32:Y32">SUM(D33:D34)</f>
        <v>0</v>
      </c>
      <c r="E32" s="66">
        <f t="shared" si="34"/>
        <v>0</v>
      </c>
      <c r="F32" s="123" t="e">
        <f t="shared" si="34"/>
        <v>#DIV/0!</v>
      </c>
      <c r="G32" s="66">
        <f t="shared" si="34"/>
        <v>0</v>
      </c>
      <c r="H32" s="66">
        <f t="shared" si="34"/>
        <v>0</v>
      </c>
      <c r="I32" s="123" t="e">
        <f t="shared" si="34"/>
        <v>#DIV/0!</v>
      </c>
      <c r="J32" s="66">
        <f t="shared" si="34"/>
        <v>0</v>
      </c>
      <c r="K32" s="66">
        <f t="shared" si="34"/>
        <v>0</v>
      </c>
      <c r="L32" s="123" t="e">
        <f t="shared" si="34"/>
        <v>#DIV/0!</v>
      </c>
      <c r="M32" s="66">
        <f t="shared" si="34"/>
        <v>0</v>
      </c>
      <c r="N32" s="66">
        <f t="shared" si="34"/>
        <v>0</v>
      </c>
      <c r="O32" s="84" t="e">
        <f t="shared" si="1"/>
        <v>#DIV/0!</v>
      </c>
      <c r="P32" s="66">
        <f t="shared" si="34"/>
        <v>0.1</v>
      </c>
      <c r="Q32" s="66">
        <f t="shared" si="34"/>
        <v>0</v>
      </c>
      <c r="R32" s="123" t="e">
        <f t="shared" si="34"/>
        <v>#DIV/0!</v>
      </c>
      <c r="S32" s="66">
        <f t="shared" si="34"/>
        <v>0</v>
      </c>
      <c r="T32" s="66">
        <f t="shared" si="34"/>
        <v>0</v>
      </c>
      <c r="U32" s="123" t="e">
        <f t="shared" si="34"/>
        <v>#DIV/0!</v>
      </c>
      <c r="V32" s="66">
        <f t="shared" si="34"/>
        <v>0.1</v>
      </c>
      <c r="W32" s="66">
        <f t="shared" si="34"/>
        <v>0</v>
      </c>
      <c r="X32" s="66" t="e">
        <f t="shared" si="34"/>
        <v>#DIV/0!</v>
      </c>
      <c r="Y32" s="66">
        <f t="shared" si="34"/>
        <v>0.2</v>
      </c>
      <c r="Z32" s="66">
        <f>SUM(Z33:Z34)</f>
        <v>0</v>
      </c>
      <c r="AA32" s="9">
        <f t="shared" si="31"/>
        <v>0</v>
      </c>
      <c r="AB32" s="66">
        <f>SUM(AB33:AB34)</f>
        <v>0</v>
      </c>
      <c r="AC32" s="66">
        <f>SUM(AC33:AC34)</f>
        <v>0</v>
      </c>
      <c r="AD32" s="9" t="e">
        <f t="shared" si="5"/>
        <v>#DIV/0!</v>
      </c>
      <c r="AE32" s="66">
        <f>SUM(AE33:AE34)</f>
        <v>0</v>
      </c>
      <c r="AF32" s="66">
        <f>SUM(AF33:AF34)</f>
        <v>0</v>
      </c>
      <c r="AG32" s="9" t="e">
        <f t="shared" si="6"/>
        <v>#DIV/0!</v>
      </c>
      <c r="AH32" s="66">
        <f aca="true" t="shared" si="35" ref="AH32:AR32">SUM(AH33:AH34)</f>
        <v>0</v>
      </c>
      <c r="AI32" s="66">
        <f t="shared" si="35"/>
        <v>0</v>
      </c>
      <c r="AJ32" s="66">
        <f t="shared" si="35"/>
        <v>0</v>
      </c>
      <c r="AK32" s="66">
        <f t="shared" si="35"/>
        <v>0</v>
      </c>
      <c r="AL32" s="66" t="e">
        <f t="shared" si="35"/>
        <v>#DIV/0!</v>
      </c>
      <c r="AM32" s="66">
        <f t="shared" si="35"/>
        <v>0</v>
      </c>
      <c r="AN32" s="66">
        <f t="shared" si="35"/>
        <v>0</v>
      </c>
      <c r="AO32" s="66">
        <f t="shared" si="35"/>
        <v>0</v>
      </c>
      <c r="AP32" s="66">
        <f t="shared" si="35"/>
        <v>0</v>
      </c>
      <c r="AQ32" s="66">
        <f t="shared" si="35"/>
        <v>0</v>
      </c>
      <c r="AR32" s="66">
        <f t="shared" si="35"/>
        <v>0</v>
      </c>
      <c r="AS32" s="66">
        <f>SUM(AS33:AS34)</f>
        <v>0.2</v>
      </c>
      <c r="AT32" s="66">
        <f>SUM(AT33:AT34)</f>
        <v>0</v>
      </c>
      <c r="AU32" s="84">
        <f t="shared" si="7"/>
        <v>0</v>
      </c>
      <c r="AV32" s="66">
        <f>SUM(AV33:AV34)</f>
        <v>0.2</v>
      </c>
      <c r="AW32" s="66">
        <f>SUM(AW33:AW34)</f>
        <v>2.5</v>
      </c>
      <c r="AX32" s="19">
        <f t="shared" si="13"/>
        <v>0.2</v>
      </c>
      <c r="AY32" s="19">
        <f t="shared" si="14"/>
        <v>0</v>
      </c>
      <c r="AZ32" s="38">
        <f t="shared" si="15"/>
        <v>2.5</v>
      </c>
    </row>
    <row r="33" spans="1:52" ht="34.5" customHeight="1">
      <c r="A33" s="55"/>
      <c r="B33" s="60" t="s">
        <v>100</v>
      </c>
      <c r="C33" s="83">
        <v>0</v>
      </c>
      <c r="D33" s="34">
        <v>0</v>
      </c>
      <c r="E33" s="34">
        <v>0</v>
      </c>
      <c r="F33" s="84" t="e">
        <f t="shared" si="25"/>
        <v>#DIV/0!</v>
      </c>
      <c r="G33" s="34">
        <v>0</v>
      </c>
      <c r="H33" s="34">
        <v>0</v>
      </c>
      <c r="I33" s="84" t="e">
        <f t="shared" si="8"/>
        <v>#DIV/0!</v>
      </c>
      <c r="J33" s="34">
        <v>0</v>
      </c>
      <c r="K33" s="34">
        <v>0</v>
      </c>
      <c r="L33" s="84" t="e">
        <f t="shared" si="27"/>
        <v>#DIV/0!</v>
      </c>
      <c r="M33" s="70">
        <f t="shared" si="16"/>
        <v>0</v>
      </c>
      <c r="N33" s="70">
        <f t="shared" si="17"/>
        <v>0</v>
      </c>
      <c r="O33" s="84" t="e">
        <f t="shared" si="1"/>
        <v>#DIV/0!</v>
      </c>
      <c r="P33" s="34">
        <v>0</v>
      </c>
      <c r="Q33" s="34">
        <v>0</v>
      </c>
      <c r="R33" s="84" t="e">
        <f t="shared" si="2"/>
        <v>#DIV/0!</v>
      </c>
      <c r="S33" s="34">
        <v>0</v>
      </c>
      <c r="T33" s="34">
        <v>0</v>
      </c>
      <c r="U33" s="84" t="e">
        <f t="shared" si="3"/>
        <v>#DIV/0!</v>
      </c>
      <c r="V33" s="34">
        <v>0</v>
      </c>
      <c r="W33" s="34">
        <v>0</v>
      </c>
      <c r="X33" s="9" t="e">
        <f t="shared" si="28"/>
        <v>#DIV/0!</v>
      </c>
      <c r="Y33" s="70">
        <f t="shared" si="29"/>
        <v>0</v>
      </c>
      <c r="Z33" s="70">
        <f t="shared" si="30"/>
        <v>0</v>
      </c>
      <c r="AA33" s="9" t="e">
        <f t="shared" si="31"/>
        <v>#DIV/0!</v>
      </c>
      <c r="AB33" s="34"/>
      <c r="AC33" s="34"/>
      <c r="AD33" s="9" t="e">
        <f t="shared" si="5"/>
        <v>#DIV/0!</v>
      </c>
      <c r="AE33" s="34"/>
      <c r="AF33" s="34"/>
      <c r="AG33" s="9" t="e">
        <f t="shared" si="6"/>
        <v>#DIV/0!</v>
      </c>
      <c r="AH33" s="34"/>
      <c r="AI33" s="34"/>
      <c r="AJ33" s="70">
        <f t="shared" si="20"/>
        <v>0</v>
      </c>
      <c r="AK33" s="70">
        <f t="shared" si="21"/>
        <v>0</v>
      </c>
      <c r="AL33" s="9" t="e">
        <f t="shared" si="32"/>
        <v>#DIV/0!</v>
      </c>
      <c r="AM33" s="34"/>
      <c r="AN33" s="34"/>
      <c r="AO33" s="34"/>
      <c r="AP33" s="34"/>
      <c r="AQ33" s="34"/>
      <c r="AR33" s="34"/>
      <c r="AS33" s="57">
        <f t="shared" si="22"/>
        <v>0</v>
      </c>
      <c r="AT33" s="57">
        <f t="shared" si="23"/>
        <v>0</v>
      </c>
      <c r="AU33" s="84" t="e">
        <f t="shared" si="7"/>
        <v>#DIV/0!</v>
      </c>
      <c r="AV33" s="57">
        <f t="shared" si="24"/>
        <v>0</v>
      </c>
      <c r="AW33" s="15">
        <f t="shared" si="33"/>
        <v>0</v>
      </c>
      <c r="AX33" s="19">
        <f t="shared" si="13"/>
        <v>0</v>
      </c>
      <c r="AY33" s="19">
        <f t="shared" si="14"/>
        <v>0</v>
      </c>
      <c r="AZ33" s="38">
        <f t="shared" si="15"/>
        <v>0</v>
      </c>
    </row>
    <row r="34" spans="1:52" ht="34.5" customHeight="1">
      <c r="A34" s="55"/>
      <c r="B34" s="60" t="s">
        <v>88</v>
      </c>
      <c r="C34" s="87">
        <v>2.3</v>
      </c>
      <c r="D34" s="34">
        <v>0</v>
      </c>
      <c r="E34" s="34">
        <v>0</v>
      </c>
      <c r="F34" s="84" t="e">
        <f t="shared" si="25"/>
        <v>#DIV/0!</v>
      </c>
      <c r="G34" s="34">
        <v>0</v>
      </c>
      <c r="H34" s="34">
        <v>0</v>
      </c>
      <c r="I34" s="84" t="e">
        <f t="shared" si="8"/>
        <v>#DIV/0!</v>
      </c>
      <c r="J34" s="34">
        <v>0</v>
      </c>
      <c r="K34" s="34">
        <v>0</v>
      </c>
      <c r="L34" s="84" t="e">
        <f t="shared" si="27"/>
        <v>#DIV/0!</v>
      </c>
      <c r="M34" s="70">
        <f t="shared" si="16"/>
        <v>0</v>
      </c>
      <c r="N34" s="70">
        <f t="shared" si="17"/>
        <v>0</v>
      </c>
      <c r="O34" s="84" t="e">
        <f t="shared" si="1"/>
        <v>#DIV/0!</v>
      </c>
      <c r="P34" s="34">
        <v>0.1</v>
      </c>
      <c r="Q34" s="34">
        <v>0</v>
      </c>
      <c r="R34" s="9">
        <f t="shared" si="2"/>
        <v>0</v>
      </c>
      <c r="S34" s="34">
        <v>0</v>
      </c>
      <c r="T34" s="34">
        <v>0</v>
      </c>
      <c r="U34" s="84" t="e">
        <f t="shared" si="3"/>
        <v>#DIV/0!</v>
      </c>
      <c r="V34" s="34">
        <v>0.1</v>
      </c>
      <c r="W34" s="34">
        <v>0</v>
      </c>
      <c r="X34" s="9">
        <f t="shared" si="28"/>
        <v>0</v>
      </c>
      <c r="Y34" s="70">
        <f>P34+S34+V34</f>
        <v>0.2</v>
      </c>
      <c r="Z34" s="70">
        <f>Q34+T34+W34</f>
        <v>0</v>
      </c>
      <c r="AA34" s="9">
        <f>Z34/Y34*100</f>
        <v>0</v>
      </c>
      <c r="AB34" s="34"/>
      <c r="AC34" s="34"/>
      <c r="AD34" s="9" t="e">
        <f t="shared" si="5"/>
        <v>#DIV/0!</v>
      </c>
      <c r="AE34" s="34"/>
      <c r="AF34" s="34"/>
      <c r="AG34" s="9" t="e">
        <f t="shared" si="6"/>
        <v>#DIV/0!</v>
      </c>
      <c r="AH34" s="34"/>
      <c r="AI34" s="34"/>
      <c r="AJ34" s="70">
        <f t="shared" si="20"/>
        <v>0</v>
      </c>
      <c r="AK34" s="70">
        <f t="shared" si="21"/>
        <v>0</v>
      </c>
      <c r="AL34" s="9" t="e">
        <f t="shared" si="32"/>
        <v>#DIV/0!</v>
      </c>
      <c r="AM34" s="34"/>
      <c r="AN34" s="34"/>
      <c r="AO34" s="34"/>
      <c r="AP34" s="34"/>
      <c r="AQ34" s="34"/>
      <c r="AR34" s="34"/>
      <c r="AS34" s="57">
        <f t="shared" si="22"/>
        <v>0.2</v>
      </c>
      <c r="AT34" s="57">
        <f t="shared" si="23"/>
        <v>0</v>
      </c>
      <c r="AU34" s="84">
        <f t="shared" si="7"/>
        <v>0</v>
      </c>
      <c r="AV34" s="57">
        <f t="shared" si="24"/>
        <v>0.2</v>
      </c>
      <c r="AW34" s="15">
        <f t="shared" si="33"/>
        <v>2.5</v>
      </c>
      <c r="AX34" s="19">
        <f t="shared" si="13"/>
        <v>0.2</v>
      </c>
      <c r="AY34" s="19">
        <f t="shared" si="14"/>
        <v>0</v>
      </c>
      <c r="AZ34" s="38">
        <f t="shared" si="15"/>
        <v>2.5</v>
      </c>
    </row>
    <row r="35" spans="1:52" ht="34.5" customHeight="1">
      <c r="A35" s="55">
        <v>26</v>
      </c>
      <c r="B35" s="60" t="s">
        <v>60</v>
      </c>
      <c r="C35" s="87">
        <v>0</v>
      </c>
      <c r="D35" s="33">
        <v>8.9</v>
      </c>
      <c r="E35" s="33">
        <v>8.9</v>
      </c>
      <c r="F35" s="9">
        <f>E35/D35*100</f>
        <v>100</v>
      </c>
      <c r="G35" s="34">
        <v>6.1</v>
      </c>
      <c r="H35" s="34">
        <v>6.1</v>
      </c>
      <c r="I35" s="9">
        <f t="shared" si="8"/>
        <v>100</v>
      </c>
      <c r="J35" s="34">
        <v>3.9</v>
      </c>
      <c r="K35" s="34">
        <v>3.9</v>
      </c>
      <c r="L35" s="9">
        <f t="shared" si="27"/>
        <v>100</v>
      </c>
      <c r="M35" s="70">
        <f t="shared" si="16"/>
        <v>18.9</v>
      </c>
      <c r="N35" s="70">
        <f t="shared" si="17"/>
        <v>18.9</v>
      </c>
      <c r="O35" s="9">
        <f t="shared" si="1"/>
        <v>100</v>
      </c>
      <c r="P35" s="34">
        <v>4.9</v>
      </c>
      <c r="Q35" s="34">
        <v>4.9</v>
      </c>
      <c r="R35" s="9">
        <f t="shared" si="2"/>
        <v>100</v>
      </c>
      <c r="S35" s="34">
        <v>4.2</v>
      </c>
      <c r="T35" s="34">
        <v>4.2</v>
      </c>
      <c r="U35" s="9">
        <f t="shared" si="3"/>
        <v>100</v>
      </c>
      <c r="V35" s="34">
        <v>4.8</v>
      </c>
      <c r="W35" s="34">
        <v>4.8</v>
      </c>
      <c r="X35" s="9">
        <f t="shared" si="28"/>
        <v>100</v>
      </c>
      <c r="Y35" s="70">
        <f t="shared" si="29"/>
        <v>13.900000000000002</v>
      </c>
      <c r="Z35" s="70">
        <f t="shared" si="30"/>
        <v>13.900000000000002</v>
      </c>
      <c r="AA35" s="9">
        <f t="shared" si="31"/>
        <v>100</v>
      </c>
      <c r="AB35" s="34"/>
      <c r="AC35" s="34"/>
      <c r="AD35" s="9" t="e">
        <f t="shared" si="5"/>
        <v>#DIV/0!</v>
      </c>
      <c r="AE35" s="34"/>
      <c r="AF35" s="34"/>
      <c r="AG35" s="9" t="e">
        <f t="shared" si="6"/>
        <v>#DIV/0!</v>
      </c>
      <c r="AH35" s="34"/>
      <c r="AI35" s="34"/>
      <c r="AJ35" s="70">
        <f t="shared" si="20"/>
        <v>0</v>
      </c>
      <c r="AK35" s="70">
        <f t="shared" si="21"/>
        <v>0</v>
      </c>
      <c r="AL35" s="9" t="e">
        <f t="shared" si="32"/>
        <v>#DIV/0!</v>
      </c>
      <c r="AM35" s="34"/>
      <c r="AN35" s="34"/>
      <c r="AO35" s="34"/>
      <c r="AP35" s="34"/>
      <c r="AQ35" s="34"/>
      <c r="AR35" s="34"/>
      <c r="AS35" s="57">
        <f t="shared" si="22"/>
        <v>32.8</v>
      </c>
      <c r="AT35" s="57">
        <f t="shared" si="23"/>
        <v>32.8</v>
      </c>
      <c r="AU35" s="9">
        <f t="shared" si="7"/>
        <v>100</v>
      </c>
      <c r="AV35" s="57">
        <f t="shared" si="24"/>
        <v>0</v>
      </c>
      <c r="AW35" s="15">
        <f t="shared" si="33"/>
        <v>0</v>
      </c>
      <c r="AX35" s="19">
        <f t="shared" si="13"/>
        <v>32.8</v>
      </c>
      <c r="AY35" s="19">
        <f t="shared" si="14"/>
        <v>32.8</v>
      </c>
      <c r="AZ35" s="38">
        <f t="shared" si="15"/>
        <v>0</v>
      </c>
    </row>
    <row r="36" spans="1:52" ht="34.5" customHeight="1">
      <c r="A36" s="55">
        <v>27</v>
      </c>
      <c r="B36" s="113" t="s">
        <v>61</v>
      </c>
      <c r="C36" s="83"/>
      <c r="D36" s="63"/>
      <c r="E36" s="63"/>
      <c r="F36" s="84" t="e">
        <f t="shared" si="25"/>
        <v>#DIV/0!</v>
      </c>
      <c r="G36" s="34"/>
      <c r="H36" s="34"/>
      <c r="I36" s="84" t="e">
        <f t="shared" si="8"/>
        <v>#DIV/0!</v>
      </c>
      <c r="J36" s="34"/>
      <c r="K36" s="34"/>
      <c r="L36" s="84" t="e">
        <f t="shared" si="27"/>
        <v>#DIV/0!</v>
      </c>
      <c r="M36" s="122">
        <f t="shared" si="16"/>
        <v>0</v>
      </c>
      <c r="N36" s="122">
        <f t="shared" si="17"/>
        <v>0</v>
      </c>
      <c r="O36" s="84" t="e">
        <f t="shared" si="1"/>
        <v>#DIV/0!</v>
      </c>
      <c r="P36" s="121"/>
      <c r="Q36" s="121"/>
      <c r="R36" s="84" t="e">
        <f t="shared" si="2"/>
        <v>#DIV/0!</v>
      </c>
      <c r="S36" s="121">
        <v>0</v>
      </c>
      <c r="T36" s="121">
        <v>0</v>
      </c>
      <c r="U36" s="84" t="e">
        <f t="shared" si="3"/>
        <v>#DIV/0!</v>
      </c>
      <c r="V36" s="121"/>
      <c r="W36" s="121"/>
      <c r="X36" s="84" t="e">
        <f t="shared" si="28"/>
        <v>#DIV/0!</v>
      </c>
      <c r="Y36" s="122">
        <f t="shared" si="29"/>
        <v>0</v>
      </c>
      <c r="Z36" s="122">
        <f t="shared" si="30"/>
        <v>0</v>
      </c>
      <c r="AA36" s="84" t="e">
        <f t="shared" si="31"/>
        <v>#DIV/0!</v>
      </c>
      <c r="AB36" s="121"/>
      <c r="AC36" s="121"/>
      <c r="AD36" s="84" t="e">
        <f t="shared" si="5"/>
        <v>#DIV/0!</v>
      </c>
      <c r="AE36" s="121"/>
      <c r="AF36" s="121"/>
      <c r="AG36" s="84" t="e">
        <f t="shared" si="6"/>
        <v>#DIV/0!</v>
      </c>
      <c r="AH36" s="121"/>
      <c r="AI36" s="121"/>
      <c r="AJ36" s="122">
        <f t="shared" si="20"/>
        <v>0</v>
      </c>
      <c r="AK36" s="122">
        <f t="shared" si="21"/>
        <v>0</v>
      </c>
      <c r="AL36" s="84" t="e">
        <f t="shared" si="32"/>
        <v>#DIV/0!</v>
      </c>
      <c r="AM36" s="121"/>
      <c r="AN36" s="121"/>
      <c r="AO36" s="121"/>
      <c r="AP36" s="121"/>
      <c r="AQ36" s="121"/>
      <c r="AR36" s="121"/>
      <c r="AS36" s="122">
        <f t="shared" si="22"/>
        <v>0</v>
      </c>
      <c r="AT36" s="122">
        <f t="shared" si="23"/>
        <v>0</v>
      </c>
      <c r="AU36" s="84" t="e">
        <f t="shared" si="7"/>
        <v>#DIV/0!</v>
      </c>
      <c r="AV36" s="122">
        <f t="shared" si="24"/>
        <v>0</v>
      </c>
      <c r="AW36" s="123">
        <f t="shared" si="33"/>
        <v>0</v>
      </c>
      <c r="AX36" s="19">
        <f t="shared" si="13"/>
        <v>0</v>
      </c>
      <c r="AY36" s="19">
        <f t="shared" si="14"/>
        <v>0</v>
      </c>
      <c r="AZ36" s="38">
        <f t="shared" si="15"/>
        <v>0</v>
      </c>
    </row>
    <row r="37" spans="1:52" ht="34.5" customHeight="1">
      <c r="A37" s="55">
        <v>28</v>
      </c>
      <c r="B37" s="114" t="s">
        <v>62</v>
      </c>
      <c r="C37" s="83">
        <v>0</v>
      </c>
      <c r="D37" s="34">
        <v>0</v>
      </c>
      <c r="E37" s="34">
        <v>0</v>
      </c>
      <c r="F37" s="84" t="e">
        <f t="shared" si="25"/>
        <v>#DIV/0!</v>
      </c>
      <c r="G37" s="34"/>
      <c r="H37" s="34"/>
      <c r="I37" s="84" t="e">
        <f t="shared" si="8"/>
        <v>#DIV/0!</v>
      </c>
      <c r="J37" s="34">
        <v>0</v>
      </c>
      <c r="K37" s="34">
        <v>0</v>
      </c>
      <c r="L37" s="84" t="e">
        <f t="shared" si="27"/>
        <v>#DIV/0!</v>
      </c>
      <c r="M37" s="70">
        <f t="shared" si="16"/>
        <v>0</v>
      </c>
      <c r="N37" s="70">
        <f t="shared" si="17"/>
        <v>0</v>
      </c>
      <c r="O37" s="84" t="e">
        <f t="shared" si="1"/>
        <v>#DIV/0!</v>
      </c>
      <c r="P37" s="34">
        <v>0</v>
      </c>
      <c r="Q37" s="34">
        <v>0</v>
      </c>
      <c r="R37" s="84" t="e">
        <f t="shared" si="2"/>
        <v>#DIV/0!</v>
      </c>
      <c r="S37" s="34">
        <v>0</v>
      </c>
      <c r="T37" s="34">
        <v>0</v>
      </c>
      <c r="U37" s="84" t="e">
        <f t="shared" si="3"/>
        <v>#DIV/0!</v>
      </c>
      <c r="V37" s="34"/>
      <c r="W37" s="34"/>
      <c r="X37" s="9" t="e">
        <f t="shared" si="28"/>
        <v>#DIV/0!</v>
      </c>
      <c r="Y37" s="70">
        <f t="shared" si="29"/>
        <v>0</v>
      </c>
      <c r="Z37" s="70">
        <f t="shared" si="30"/>
        <v>0</v>
      </c>
      <c r="AA37" s="9" t="e">
        <f t="shared" si="31"/>
        <v>#DIV/0!</v>
      </c>
      <c r="AB37" s="34"/>
      <c r="AC37" s="34"/>
      <c r="AD37" s="9" t="e">
        <f t="shared" si="5"/>
        <v>#DIV/0!</v>
      </c>
      <c r="AE37" s="34"/>
      <c r="AF37" s="34"/>
      <c r="AG37" s="9" t="e">
        <f t="shared" si="6"/>
        <v>#DIV/0!</v>
      </c>
      <c r="AH37" s="34"/>
      <c r="AI37" s="34"/>
      <c r="AJ37" s="70">
        <f t="shared" si="20"/>
        <v>0</v>
      </c>
      <c r="AK37" s="70">
        <f t="shared" si="21"/>
        <v>0</v>
      </c>
      <c r="AL37" s="9" t="e">
        <f t="shared" si="32"/>
        <v>#DIV/0!</v>
      </c>
      <c r="AM37" s="34"/>
      <c r="AN37" s="34"/>
      <c r="AO37" s="34"/>
      <c r="AP37" s="34"/>
      <c r="AQ37" s="34"/>
      <c r="AR37" s="34"/>
      <c r="AS37" s="57">
        <f t="shared" si="22"/>
        <v>0</v>
      </c>
      <c r="AT37" s="57">
        <f t="shared" si="23"/>
        <v>0</v>
      </c>
      <c r="AU37" s="84" t="e">
        <f t="shared" si="7"/>
        <v>#DIV/0!</v>
      </c>
      <c r="AV37" s="57">
        <f t="shared" si="24"/>
        <v>0</v>
      </c>
      <c r="AW37" s="15">
        <f t="shared" si="33"/>
        <v>0</v>
      </c>
      <c r="AX37" s="19">
        <f t="shared" si="13"/>
        <v>0</v>
      </c>
      <c r="AY37" s="19">
        <f t="shared" si="14"/>
        <v>0</v>
      </c>
      <c r="AZ37" s="38">
        <f t="shared" si="15"/>
        <v>0</v>
      </c>
    </row>
    <row r="38" spans="1:52" ht="34.5" customHeight="1">
      <c r="A38" s="55">
        <v>29</v>
      </c>
      <c r="B38" s="114" t="s">
        <v>89</v>
      </c>
      <c r="C38" s="83">
        <v>0</v>
      </c>
      <c r="D38" s="34">
        <v>0</v>
      </c>
      <c r="E38" s="34">
        <v>0</v>
      </c>
      <c r="F38" s="84" t="e">
        <f t="shared" si="25"/>
        <v>#DIV/0!</v>
      </c>
      <c r="G38" s="34">
        <v>0</v>
      </c>
      <c r="H38" s="34">
        <v>0</v>
      </c>
      <c r="I38" s="84" t="e">
        <f t="shared" si="8"/>
        <v>#DIV/0!</v>
      </c>
      <c r="J38" s="34">
        <v>0</v>
      </c>
      <c r="K38" s="34">
        <v>0</v>
      </c>
      <c r="L38" s="84" t="e">
        <f t="shared" si="27"/>
        <v>#DIV/0!</v>
      </c>
      <c r="M38" s="70">
        <f t="shared" si="16"/>
        <v>0</v>
      </c>
      <c r="N38" s="70">
        <f t="shared" si="17"/>
        <v>0</v>
      </c>
      <c r="O38" s="84" t="e">
        <f t="shared" si="1"/>
        <v>#DIV/0!</v>
      </c>
      <c r="P38" s="34">
        <v>0</v>
      </c>
      <c r="Q38" s="34">
        <v>0</v>
      </c>
      <c r="R38" s="84" t="e">
        <f t="shared" si="2"/>
        <v>#DIV/0!</v>
      </c>
      <c r="S38" s="34">
        <v>0</v>
      </c>
      <c r="T38" s="34">
        <v>0</v>
      </c>
      <c r="U38" s="84" t="e">
        <f t="shared" si="3"/>
        <v>#DIV/0!</v>
      </c>
      <c r="V38" s="34"/>
      <c r="W38" s="34"/>
      <c r="X38" s="9" t="e">
        <f t="shared" si="28"/>
        <v>#DIV/0!</v>
      </c>
      <c r="Y38" s="70">
        <f t="shared" si="29"/>
        <v>0</v>
      </c>
      <c r="Z38" s="70">
        <f t="shared" si="30"/>
        <v>0</v>
      </c>
      <c r="AA38" s="9" t="e">
        <f t="shared" si="31"/>
        <v>#DIV/0!</v>
      </c>
      <c r="AB38" s="34"/>
      <c r="AC38" s="34"/>
      <c r="AD38" s="9" t="e">
        <f t="shared" si="5"/>
        <v>#DIV/0!</v>
      </c>
      <c r="AE38" s="34"/>
      <c r="AF38" s="34"/>
      <c r="AG38" s="9" t="e">
        <f t="shared" si="6"/>
        <v>#DIV/0!</v>
      </c>
      <c r="AH38" s="34"/>
      <c r="AI38" s="34"/>
      <c r="AJ38" s="70">
        <f t="shared" si="20"/>
        <v>0</v>
      </c>
      <c r="AK38" s="70">
        <f t="shared" si="21"/>
        <v>0</v>
      </c>
      <c r="AL38" s="9" t="e">
        <f t="shared" si="32"/>
        <v>#DIV/0!</v>
      </c>
      <c r="AM38" s="34"/>
      <c r="AN38" s="34"/>
      <c r="AO38" s="34"/>
      <c r="AP38" s="34"/>
      <c r="AQ38" s="34"/>
      <c r="AR38" s="34"/>
      <c r="AS38" s="57">
        <f t="shared" si="22"/>
        <v>0</v>
      </c>
      <c r="AT38" s="57">
        <f t="shared" si="23"/>
        <v>0</v>
      </c>
      <c r="AU38" s="84" t="e">
        <f t="shared" si="7"/>
        <v>#DIV/0!</v>
      </c>
      <c r="AV38" s="57">
        <f t="shared" si="24"/>
        <v>0</v>
      </c>
      <c r="AW38" s="15">
        <f t="shared" si="33"/>
        <v>0</v>
      </c>
      <c r="AX38" s="19">
        <f t="shared" si="13"/>
        <v>0</v>
      </c>
      <c r="AY38" s="19">
        <f t="shared" si="14"/>
        <v>0</v>
      </c>
      <c r="AZ38" s="38">
        <f t="shared" si="15"/>
        <v>0</v>
      </c>
    </row>
    <row r="39" spans="1:52" ht="34.5" customHeight="1">
      <c r="A39" s="55">
        <v>30</v>
      </c>
      <c r="B39" s="114" t="s">
        <v>4</v>
      </c>
      <c r="C39" s="83">
        <v>-1</v>
      </c>
      <c r="D39" s="34">
        <v>0</v>
      </c>
      <c r="E39" s="34">
        <v>0</v>
      </c>
      <c r="F39" s="84" t="e">
        <f t="shared" si="25"/>
        <v>#DIV/0!</v>
      </c>
      <c r="G39" s="34">
        <v>0</v>
      </c>
      <c r="H39" s="34">
        <v>0</v>
      </c>
      <c r="I39" s="84" t="e">
        <f t="shared" si="8"/>
        <v>#DIV/0!</v>
      </c>
      <c r="J39" s="34">
        <v>0</v>
      </c>
      <c r="K39" s="34">
        <v>0</v>
      </c>
      <c r="L39" s="84" t="e">
        <f t="shared" si="27"/>
        <v>#DIV/0!</v>
      </c>
      <c r="M39" s="70">
        <f t="shared" si="16"/>
        <v>0</v>
      </c>
      <c r="N39" s="70">
        <f t="shared" si="17"/>
        <v>0</v>
      </c>
      <c r="O39" s="84" t="e">
        <f t="shared" si="1"/>
        <v>#DIV/0!</v>
      </c>
      <c r="P39" s="34">
        <v>0</v>
      </c>
      <c r="Q39" s="34">
        <v>0</v>
      </c>
      <c r="R39" s="84" t="e">
        <f t="shared" si="2"/>
        <v>#DIV/0!</v>
      </c>
      <c r="S39" s="34">
        <v>0</v>
      </c>
      <c r="T39" s="34">
        <v>0</v>
      </c>
      <c r="U39" s="84" t="e">
        <f t="shared" si="3"/>
        <v>#DIV/0!</v>
      </c>
      <c r="V39" s="34"/>
      <c r="W39" s="34"/>
      <c r="X39" s="9" t="e">
        <f t="shared" si="28"/>
        <v>#DIV/0!</v>
      </c>
      <c r="Y39" s="70">
        <f t="shared" si="29"/>
        <v>0</v>
      </c>
      <c r="Z39" s="70">
        <f t="shared" si="30"/>
        <v>0</v>
      </c>
      <c r="AA39" s="9" t="e">
        <f t="shared" si="31"/>
        <v>#DIV/0!</v>
      </c>
      <c r="AB39" s="34"/>
      <c r="AC39" s="34"/>
      <c r="AD39" s="9" t="e">
        <f t="shared" si="5"/>
        <v>#DIV/0!</v>
      </c>
      <c r="AE39" s="34"/>
      <c r="AF39" s="34"/>
      <c r="AG39" s="9" t="e">
        <f t="shared" si="6"/>
        <v>#DIV/0!</v>
      </c>
      <c r="AH39" s="34"/>
      <c r="AI39" s="34"/>
      <c r="AJ39" s="70">
        <f t="shared" si="20"/>
        <v>0</v>
      </c>
      <c r="AK39" s="70">
        <f t="shared" si="21"/>
        <v>0</v>
      </c>
      <c r="AL39" s="9" t="e">
        <f t="shared" si="32"/>
        <v>#DIV/0!</v>
      </c>
      <c r="AM39" s="34"/>
      <c r="AN39" s="34"/>
      <c r="AO39" s="34"/>
      <c r="AP39" s="34"/>
      <c r="AQ39" s="34"/>
      <c r="AR39" s="34"/>
      <c r="AS39" s="57">
        <f t="shared" si="22"/>
        <v>0</v>
      </c>
      <c r="AT39" s="57">
        <f t="shared" si="23"/>
        <v>0</v>
      </c>
      <c r="AU39" s="84" t="e">
        <f t="shared" si="7"/>
        <v>#DIV/0!</v>
      </c>
      <c r="AV39" s="57">
        <f t="shared" si="24"/>
        <v>0</v>
      </c>
      <c r="AW39" s="15">
        <f t="shared" si="33"/>
        <v>-1</v>
      </c>
      <c r="AX39" s="19">
        <f t="shared" si="13"/>
        <v>0</v>
      </c>
      <c r="AY39" s="19">
        <f t="shared" si="14"/>
        <v>0</v>
      </c>
      <c r="AZ39" s="38">
        <f t="shared" si="15"/>
        <v>-1</v>
      </c>
    </row>
    <row r="40" spans="1:52" ht="34.5" customHeight="1">
      <c r="A40" s="55">
        <v>31</v>
      </c>
      <c r="B40" s="114" t="s">
        <v>63</v>
      </c>
      <c r="C40" s="83">
        <v>0</v>
      </c>
      <c r="D40" s="34">
        <v>0</v>
      </c>
      <c r="E40" s="34">
        <v>0</v>
      </c>
      <c r="F40" s="84" t="e">
        <f t="shared" si="25"/>
        <v>#DIV/0!</v>
      </c>
      <c r="G40" s="34">
        <v>0</v>
      </c>
      <c r="H40" s="34">
        <v>0</v>
      </c>
      <c r="I40" s="84" t="e">
        <f t="shared" si="8"/>
        <v>#DIV/0!</v>
      </c>
      <c r="J40" s="34">
        <v>0</v>
      </c>
      <c r="K40" s="34">
        <v>0</v>
      </c>
      <c r="L40" s="84" t="e">
        <f t="shared" si="27"/>
        <v>#DIV/0!</v>
      </c>
      <c r="M40" s="70">
        <f t="shared" si="16"/>
        <v>0</v>
      </c>
      <c r="N40" s="70">
        <f t="shared" si="17"/>
        <v>0</v>
      </c>
      <c r="O40" s="84" t="e">
        <f t="shared" si="1"/>
        <v>#DIV/0!</v>
      </c>
      <c r="P40" s="34">
        <v>0</v>
      </c>
      <c r="Q40" s="34">
        <v>0</v>
      </c>
      <c r="R40" s="84" t="e">
        <f t="shared" si="2"/>
        <v>#DIV/0!</v>
      </c>
      <c r="S40" s="34">
        <v>0</v>
      </c>
      <c r="T40" s="34">
        <v>0</v>
      </c>
      <c r="U40" s="84" t="e">
        <f t="shared" si="3"/>
        <v>#DIV/0!</v>
      </c>
      <c r="V40" s="34">
        <v>0</v>
      </c>
      <c r="W40" s="34">
        <v>0</v>
      </c>
      <c r="X40" s="9" t="e">
        <f t="shared" si="28"/>
        <v>#DIV/0!</v>
      </c>
      <c r="Y40" s="70">
        <f t="shared" si="29"/>
        <v>0</v>
      </c>
      <c r="Z40" s="70">
        <f t="shared" si="30"/>
        <v>0</v>
      </c>
      <c r="AA40" s="9" t="e">
        <f t="shared" si="31"/>
        <v>#DIV/0!</v>
      </c>
      <c r="AB40" s="34"/>
      <c r="AC40" s="34"/>
      <c r="AD40" s="9" t="e">
        <f t="shared" si="5"/>
        <v>#DIV/0!</v>
      </c>
      <c r="AE40" s="34"/>
      <c r="AF40" s="34"/>
      <c r="AG40" s="9" t="e">
        <f t="shared" si="6"/>
        <v>#DIV/0!</v>
      </c>
      <c r="AH40" s="34"/>
      <c r="AI40" s="34"/>
      <c r="AJ40" s="70">
        <f t="shared" si="20"/>
        <v>0</v>
      </c>
      <c r="AK40" s="70">
        <f t="shared" si="21"/>
        <v>0</v>
      </c>
      <c r="AL40" s="9" t="e">
        <f t="shared" si="32"/>
        <v>#DIV/0!</v>
      </c>
      <c r="AM40" s="34"/>
      <c r="AN40" s="34"/>
      <c r="AO40" s="34"/>
      <c r="AP40" s="34"/>
      <c r="AQ40" s="34"/>
      <c r="AR40" s="34"/>
      <c r="AS40" s="57">
        <f t="shared" si="22"/>
        <v>0</v>
      </c>
      <c r="AT40" s="57">
        <f t="shared" si="23"/>
        <v>0</v>
      </c>
      <c r="AU40" s="84" t="e">
        <f t="shared" si="7"/>
        <v>#DIV/0!</v>
      </c>
      <c r="AV40" s="57">
        <f t="shared" si="24"/>
        <v>0</v>
      </c>
      <c r="AW40" s="15">
        <f t="shared" si="33"/>
        <v>0</v>
      </c>
      <c r="AX40" s="19">
        <f t="shared" si="13"/>
        <v>0</v>
      </c>
      <c r="AY40" s="19">
        <f t="shared" si="14"/>
        <v>0</v>
      </c>
      <c r="AZ40" s="38">
        <f t="shared" si="15"/>
        <v>0</v>
      </c>
    </row>
    <row r="41" spans="1:52" ht="34.5" customHeight="1">
      <c r="A41" s="55">
        <v>32</v>
      </c>
      <c r="B41" s="58" t="s">
        <v>64</v>
      </c>
      <c r="C41" s="83">
        <v>0</v>
      </c>
      <c r="D41" s="34">
        <v>0</v>
      </c>
      <c r="E41" s="34">
        <v>0</v>
      </c>
      <c r="F41" s="84" t="e">
        <f t="shared" si="25"/>
        <v>#DIV/0!</v>
      </c>
      <c r="G41" s="34">
        <v>0</v>
      </c>
      <c r="H41" s="34">
        <v>0</v>
      </c>
      <c r="I41" s="84" t="e">
        <f t="shared" si="8"/>
        <v>#DIV/0!</v>
      </c>
      <c r="J41" s="34">
        <v>0</v>
      </c>
      <c r="K41" s="34">
        <v>0</v>
      </c>
      <c r="L41" s="100" t="e">
        <f t="shared" si="27"/>
        <v>#DIV/0!</v>
      </c>
      <c r="M41" s="70">
        <f t="shared" si="16"/>
        <v>0</v>
      </c>
      <c r="N41" s="70">
        <f t="shared" si="17"/>
        <v>0</v>
      </c>
      <c r="O41" s="84" t="e">
        <f t="shared" si="1"/>
        <v>#DIV/0!</v>
      </c>
      <c r="P41" s="34">
        <v>0</v>
      </c>
      <c r="Q41" s="34">
        <v>0</v>
      </c>
      <c r="R41" s="84" t="e">
        <f t="shared" si="2"/>
        <v>#DIV/0!</v>
      </c>
      <c r="S41" s="34">
        <v>0</v>
      </c>
      <c r="T41" s="34">
        <v>0</v>
      </c>
      <c r="U41" s="84" t="e">
        <f t="shared" si="3"/>
        <v>#DIV/0!</v>
      </c>
      <c r="V41" s="34">
        <v>0</v>
      </c>
      <c r="W41" s="34">
        <v>0</v>
      </c>
      <c r="X41" s="102" t="e">
        <f t="shared" si="28"/>
        <v>#DIV/0!</v>
      </c>
      <c r="Y41" s="70">
        <f t="shared" si="29"/>
        <v>0</v>
      </c>
      <c r="Z41" s="70">
        <f t="shared" si="30"/>
        <v>0</v>
      </c>
      <c r="AA41" s="9" t="e">
        <f t="shared" si="31"/>
        <v>#DIV/0!</v>
      </c>
      <c r="AB41" s="34"/>
      <c r="AC41" s="34"/>
      <c r="AD41" s="9" t="e">
        <f t="shared" si="5"/>
        <v>#DIV/0!</v>
      </c>
      <c r="AE41" s="34"/>
      <c r="AF41" s="34"/>
      <c r="AG41" s="9" t="e">
        <f t="shared" si="6"/>
        <v>#DIV/0!</v>
      </c>
      <c r="AH41" s="34"/>
      <c r="AI41" s="34"/>
      <c r="AJ41" s="70">
        <f t="shared" si="20"/>
        <v>0</v>
      </c>
      <c r="AK41" s="70">
        <f t="shared" si="21"/>
        <v>0</v>
      </c>
      <c r="AL41" s="9" t="e">
        <f t="shared" si="32"/>
        <v>#DIV/0!</v>
      </c>
      <c r="AM41" s="34"/>
      <c r="AN41" s="34"/>
      <c r="AO41" s="34"/>
      <c r="AP41" s="34"/>
      <c r="AQ41" s="34"/>
      <c r="AR41" s="34"/>
      <c r="AS41" s="57">
        <f t="shared" si="22"/>
        <v>0</v>
      </c>
      <c r="AT41" s="57">
        <f t="shared" si="23"/>
        <v>0</v>
      </c>
      <c r="AU41" s="84" t="e">
        <f t="shared" si="7"/>
        <v>#DIV/0!</v>
      </c>
      <c r="AV41" s="57">
        <f t="shared" si="24"/>
        <v>0</v>
      </c>
      <c r="AW41" s="15">
        <f t="shared" si="33"/>
        <v>0</v>
      </c>
      <c r="AX41" s="19">
        <f t="shared" si="13"/>
        <v>0</v>
      </c>
      <c r="AY41" s="19">
        <f t="shared" si="14"/>
        <v>0</v>
      </c>
      <c r="AZ41" s="38">
        <f t="shared" si="15"/>
        <v>0</v>
      </c>
    </row>
    <row r="42" spans="1:52" ht="34.5" customHeight="1">
      <c r="A42" s="55">
        <v>33</v>
      </c>
      <c r="B42" s="114" t="s">
        <v>48</v>
      </c>
      <c r="C42" s="83">
        <v>-1.4</v>
      </c>
      <c r="D42" s="34">
        <v>-1.1</v>
      </c>
      <c r="E42" s="34">
        <v>0</v>
      </c>
      <c r="F42" s="9">
        <f>E42/D42*100</f>
        <v>0</v>
      </c>
      <c r="G42" s="34">
        <v>-0.7</v>
      </c>
      <c r="H42" s="34">
        <v>0</v>
      </c>
      <c r="I42" s="9">
        <f t="shared" si="8"/>
        <v>0</v>
      </c>
      <c r="J42" s="34">
        <v>-0.9</v>
      </c>
      <c r="K42" s="34">
        <v>0</v>
      </c>
      <c r="L42" s="100">
        <f t="shared" si="27"/>
        <v>0</v>
      </c>
      <c r="M42" s="70">
        <f t="shared" si="16"/>
        <v>-2.7</v>
      </c>
      <c r="N42" s="70">
        <f t="shared" si="17"/>
        <v>0</v>
      </c>
      <c r="O42" s="9">
        <f t="shared" si="1"/>
        <v>0</v>
      </c>
      <c r="P42" s="34">
        <v>0</v>
      </c>
      <c r="Q42" s="34">
        <v>0</v>
      </c>
      <c r="R42" s="84" t="e">
        <f t="shared" si="2"/>
        <v>#DIV/0!</v>
      </c>
      <c r="S42" s="34">
        <v>0</v>
      </c>
      <c r="T42" s="34">
        <v>0</v>
      </c>
      <c r="U42" s="84" t="e">
        <f t="shared" si="3"/>
        <v>#DIV/0!</v>
      </c>
      <c r="V42" s="34"/>
      <c r="W42" s="34"/>
      <c r="X42" s="102" t="e">
        <f t="shared" si="28"/>
        <v>#DIV/0!</v>
      </c>
      <c r="Y42" s="70">
        <f t="shared" si="29"/>
        <v>0</v>
      </c>
      <c r="Z42" s="70">
        <f t="shared" si="30"/>
        <v>0</v>
      </c>
      <c r="AA42" s="9" t="e">
        <f t="shared" si="31"/>
        <v>#DIV/0!</v>
      </c>
      <c r="AB42" s="34"/>
      <c r="AC42" s="34"/>
      <c r="AD42" s="9" t="e">
        <f t="shared" si="5"/>
        <v>#DIV/0!</v>
      </c>
      <c r="AE42" s="34"/>
      <c r="AF42" s="34"/>
      <c r="AG42" s="9" t="e">
        <f t="shared" si="6"/>
        <v>#DIV/0!</v>
      </c>
      <c r="AH42" s="34"/>
      <c r="AI42" s="34"/>
      <c r="AJ42" s="70">
        <f t="shared" si="20"/>
        <v>0</v>
      </c>
      <c r="AK42" s="70">
        <f t="shared" si="21"/>
        <v>0</v>
      </c>
      <c r="AL42" s="9" t="e">
        <f t="shared" si="32"/>
        <v>#DIV/0!</v>
      </c>
      <c r="AM42" s="34"/>
      <c r="AN42" s="34"/>
      <c r="AO42" s="34"/>
      <c r="AP42" s="34"/>
      <c r="AQ42" s="34"/>
      <c r="AR42" s="34"/>
      <c r="AS42" s="57">
        <f>M42+Y42+AJ42+AM42+AO42+AQ42</f>
        <v>-2.7</v>
      </c>
      <c r="AT42" s="57">
        <f t="shared" si="23"/>
        <v>0</v>
      </c>
      <c r="AU42" s="9">
        <f t="shared" si="7"/>
        <v>0</v>
      </c>
      <c r="AV42" s="57">
        <f t="shared" si="24"/>
        <v>-2.7</v>
      </c>
      <c r="AW42" s="15">
        <f>C42+AS42-AT42</f>
        <v>-4.1</v>
      </c>
      <c r="AX42" s="19">
        <f t="shared" si="13"/>
        <v>-2.7</v>
      </c>
      <c r="AY42" s="19">
        <f t="shared" si="14"/>
        <v>0</v>
      </c>
      <c r="AZ42" s="38">
        <f t="shared" si="15"/>
        <v>-4.1</v>
      </c>
    </row>
    <row r="43" spans="1:52" s="10" customFormat="1" ht="34.5" customHeight="1">
      <c r="A43" s="55">
        <v>34</v>
      </c>
      <c r="B43" s="13" t="s">
        <v>66</v>
      </c>
      <c r="C43" s="66">
        <f>SUM(C44:C44)</f>
        <v>557.9</v>
      </c>
      <c r="D43" s="15">
        <f>SUM(D44:D44)</f>
        <v>0</v>
      </c>
      <c r="E43" s="15">
        <f>SUM(E44:E44)</f>
        <v>0</v>
      </c>
      <c r="F43" s="84" t="e">
        <f t="shared" si="25"/>
        <v>#DIV/0!</v>
      </c>
      <c r="G43" s="15">
        <f>SUM(G44:G44)</f>
        <v>0</v>
      </c>
      <c r="H43" s="15">
        <f>SUM(H44:H44)</f>
        <v>0</v>
      </c>
      <c r="I43" s="84" t="e">
        <f t="shared" si="8"/>
        <v>#DIV/0!</v>
      </c>
      <c r="J43" s="15">
        <f>SUM(J44:J44)</f>
        <v>0</v>
      </c>
      <c r="K43" s="15">
        <f>SUM(K44:K44)</f>
        <v>0</v>
      </c>
      <c r="L43" s="100" t="e">
        <f t="shared" si="27"/>
        <v>#DIV/0!</v>
      </c>
      <c r="M43" s="15">
        <f>SUM(M44:M44)</f>
        <v>0</v>
      </c>
      <c r="N43" s="15">
        <f>SUM(N44:N44)</f>
        <v>0</v>
      </c>
      <c r="O43" s="84" t="e">
        <f t="shared" si="1"/>
        <v>#DIV/0!</v>
      </c>
      <c r="P43" s="15">
        <f>SUM(P44:P44)</f>
        <v>0</v>
      </c>
      <c r="Q43" s="15">
        <f>SUM(Q44:Q44)</f>
        <v>0</v>
      </c>
      <c r="R43" s="84" t="e">
        <f t="shared" si="2"/>
        <v>#DIV/0!</v>
      </c>
      <c r="S43" s="15">
        <f>SUM(S44:S44)</f>
        <v>0</v>
      </c>
      <c r="T43" s="15">
        <f>SUM(T44:T44)</f>
        <v>0</v>
      </c>
      <c r="U43" s="84" t="e">
        <f t="shared" si="3"/>
        <v>#DIV/0!</v>
      </c>
      <c r="V43" s="15">
        <f>SUM(V44:V44)</f>
        <v>0</v>
      </c>
      <c r="W43" s="15">
        <f>SUM(W44:W44)</f>
        <v>0</v>
      </c>
      <c r="X43" s="9" t="e">
        <f t="shared" si="28"/>
        <v>#DIV/0!</v>
      </c>
      <c r="Y43" s="15">
        <f>SUM(Y44:Y44)</f>
        <v>0</v>
      </c>
      <c r="Z43" s="15">
        <f>SUM(Z44:Z44)</f>
        <v>0</v>
      </c>
      <c r="AA43" s="9" t="e">
        <f t="shared" si="31"/>
        <v>#DIV/0!</v>
      </c>
      <c r="AB43" s="15">
        <f>SUM(AB44:AB44)</f>
        <v>0</v>
      </c>
      <c r="AC43" s="15">
        <f>SUM(AC44:AC44)</f>
        <v>0</v>
      </c>
      <c r="AD43" s="9" t="e">
        <f t="shared" si="5"/>
        <v>#DIV/0!</v>
      </c>
      <c r="AE43" s="15">
        <f>SUM(AE44:AE44)</f>
        <v>0</v>
      </c>
      <c r="AF43" s="15">
        <f>SUM(AF44:AF44)</f>
        <v>0</v>
      </c>
      <c r="AG43" s="9" t="e">
        <f t="shared" si="6"/>
        <v>#DIV/0!</v>
      </c>
      <c r="AH43" s="15">
        <f>SUM(AH44:AH44)</f>
        <v>0</v>
      </c>
      <c r="AI43" s="15">
        <f>SUM(AI44:AI44)</f>
        <v>0</v>
      </c>
      <c r="AJ43" s="15">
        <f>SUM(AJ44:AJ44)</f>
        <v>0</v>
      </c>
      <c r="AK43" s="15">
        <f>SUM(AK44:AK44)</f>
        <v>0</v>
      </c>
      <c r="AL43" s="9" t="e">
        <f t="shared" si="32"/>
        <v>#DIV/0!</v>
      </c>
      <c r="AM43" s="15">
        <f aca="true" t="shared" si="36" ref="AM43:AT43">SUM(AM44:AM44)</f>
        <v>0</v>
      </c>
      <c r="AN43" s="15">
        <f t="shared" si="36"/>
        <v>0</v>
      </c>
      <c r="AO43" s="15">
        <f t="shared" si="36"/>
        <v>0</v>
      </c>
      <c r="AP43" s="15">
        <f t="shared" si="36"/>
        <v>0</v>
      </c>
      <c r="AQ43" s="15">
        <f t="shared" si="36"/>
        <v>0</v>
      </c>
      <c r="AR43" s="15">
        <f t="shared" si="36"/>
        <v>0</v>
      </c>
      <c r="AS43" s="15">
        <f t="shared" si="36"/>
        <v>0</v>
      </c>
      <c r="AT43" s="15">
        <f t="shared" si="36"/>
        <v>0</v>
      </c>
      <c r="AU43" s="84" t="e">
        <f t="shared" si="7"/>
        <v>#DIV/0!</v>
      </c>
      <c r="AV43" s="15">
        <f>SUM(AV44:AV44)</f>
        <v>0</v>
      </c>
      <c r="AW43" s="15">
        <f>SUM(AW44:AW44)</f>
        <v>557.9</v>
      </c>
      <c r="AX43" s="19">
        <f t="shared" si="13"/>
        <v>0</v>
      </c>
      <c r="AY43" s="19">
        <f t="shared" si="14"/>
        <v>0</v>
      </c>
      <c r="AZ43" s="38">
        <f t="shared" si="15"/>
        <v>557.9</v>
      </c>
    </row>
    <row r="44" spans="1:52" s="10" customFormat="1" ht="34.5" customHeight="1">
      <c r="A44" s="64"/>
      <c r="B44" s="37" t="s">
        <v>67</v>
      </c>
      <c r="C44" s="83">
        <v>557.9</v>
      </c>
      <c r="D44" s="65">
        <v>0</v>
      </c>
      <c r="E44" s="65">
        <v>0</v>
      </c>
      <c r="F44" s="84" t="e">
        <f t="shared" si="25"/>
        <v>#DIV/0!</v>
      </c>
      <c r="G44" s="34">
        <v>0</v>
      </c>
      <c r="H44" s="34">
        <v>0</v>
      </c>
      <c r="I44" s="84" t="e">
        <f t="shared" si="8"/>
        <v>#DIV/0!</v>
      </c>
      <c r="J44" s="34">
        <v>0</v>
      </c>
      <c r="K44" s="34">
        <v>0</v>
      </c>
      <c r="L44" s="84" t="e">
        <f t="shared" si="27"/>
        <v>#DIV/0!</v>
      </c>
      <c r="M44" s="70">
        <f t="shared" si="16"/>
        <v>0</v>
      </c>
      <c r="N44" s="70">
        <f t="shared" si="17"/>
        <v>0</v>
      </c>
      <c r="O44" s="84" t="e">
        <f t="shared" si="1"/>
        <v>#DIV/0!</v>
      </c>
      <c r="P44" s="34">
        <v>0</v>
      </c>
      <c r="Q44" s="34">
        <v>0</v>
      </c>
      <c r="R44" s="84" t="e">
        <f t="shared" si="2"/>
        <v>#DIV/0!</v>
      </c>
      <c r="S44" s="34">
        <v>0</v>
      </c>
      <c r="T44" s="34">
        <v>0</v>
      </c>
      <c r="U44" s="84" t="e">
        <f t="shared" si="3"/>
        <v>#DIV/0!</v>
      </c>
      <c r="V44" s="34"/>
      <c r="W44" s="34"/>
      <c r="X44" s="9" t="e">
        <f t="shared" si="28"/>
        <v>#DIV/0!</v>
      </c>
      <c r="Y44" s="70">
        <f>P44+S44+V44</f>
        <v>0</v>
      </c>
      <c r="Z44" s="70">
        <f>Q44+T44+W44</f>
        <v>0</v>
      </c>
      <c r="AA44" s="9" t="e">
        <f t="shared" si="31"/>
        <v>#DIV/0!</v>
      </c>
      <c r="AB44" s="34"/>
      <c r="AC44" s="34"/>
      <c r="AD44" s="9" t="e">
        <f t="shared" si="5"/>
        <v>#DIV/0!</v>
      </c>
      <c r="AE44" s="34"/>
      <c r="AF44" s="34"/>
      <c r="AG44" s="9" t="e">
        <f t="shared" si="6"/>
        <v>#DIV/0!</v>
      </c>
      <c r="AH44" s="34"/>
      <c r="AI44" s="34"/>
      <c r="AJ44" s="70">
        <f>AB44+AE44+AH44</f>
        <v>0</v>
      </c>
      <c r="AK44" s="70">
        <f>AC44+AF44+AI44</f>
        <v>0</v>
      </c>
      <c r="AL44" s="9" t="e">
        <f t="shared" si="32"/>
        <v>#DIV/0!</v>
      </c>
      <c r="AM44" s="34"/>
      <c r="AN44" s="34"/>
      <c r="AO44" s="34"/>
      <c r="AP44" s="34"/>
      <c r="AQ44" s="34"/>
      <c r="AR44" s="34"/>
      <c r="AS44" s="57">
        <f>M44+Y44+AJ44+AM44+AO44+AQ44</f>
        <v>0</v>
      </c>
      <c r="AT44" s="57">
        <f>N44+Z44+AK44+AN44+AP44+AR44</f>
        <v>0</v>
      </c>
      <c r="AU44" s="84" t="e">
        <f t="shared" si="7"/>
        <v>#DIV/0!</v>
      </c>
      <c r="AV44" s="57">
        <f t="shared" si="24"/>
        <v>0</v>
      </c>
      <c r="AW44" s="15">
        <f>C44+AS44-AT44</f>
        <v>557.9</v>
      </c>
      <c r="AX44" s="19">
        <f t="shared" si="13"/>
        <v>0</v>
      </c>
      <c r="AY44" s="19">
        <f t="shared" si="14"/>
        <v>0</v>
      </c>
      <c r="AZ44" s="38">
        <f>C44+AX44-AY44</f>
        <v>557.9</v>
      </c>
    </row>
    <row r="45" spans="1:52" s="10" customFormat="1" ht="34.5" customHeight="1">
      <c r="A45" s="64"/>
      <c r="B45" s="13" t="s">
        <v>90</v>
      </c>
      <c r="C45" s="66">
        <f>C7+C43</f>
        <v>618</v>
      </c>
      <c r="D45" s="15">
        <f>D7+D43</f>
        <v>48.699999999999996</v>
      </c>
      <c r="E45" s="15">
        <f>E7+E43</f>
        <v>39.5</v>
      </c>
      <c r="F45" s="9">
        <f t="shared" si="25"/>
        <v>81.10882956878851</v>
      </c>
      <c r="G45" s="15">
        <f>G7+G43</f>
        <v>61.50000000000001</v>
      </c>
      <c r="H45" s="15">
        <f>H7+H43</f>
        <v>49.6</v>
      </c>
      <c r="I45" s="9">
        <f t="shared" si="8"/>
        <v>80.65040650406503</v>
      </c>
      <c r="J45" s="15">
        <f>J7+J43</f>
        <v>64.75999999999999</v>
      </c>
      <c r="K45" s="15">
        <f>K7+K43</f>
        <v>63.83</v>
      </c>
      <c r="L45" s="100">
        <f t="shared" si="27"/>
        <v>98.56392835083386</v>
      </c>
      <c r="M45" s="15">
        <f>M7+M43</f>
        <v>174.96</v>
      </c>
      <c r="N45" s="15">
        <f>N7+N43</f>
        <v>152.93</v>
      </c>
      <c r="O45" s="9">
        <f t="shared" si="1"/>
        <v>87.40855052583447</v>
      </c>
      <c r="P45" s="15">
        <f>P7+P43</f>
        <v>52.86</v>
      </c>
      <c r="Q45" s="15">
        <f>Q7+Q43</f>
        <v>64.8</v>
      </c>
      <c r="R45" s="9">
        <f t="shared" si="2"/>
        <v>122.58796821793416</v>
      </c>
      <c r="S45" s="15">
        <f>S7+S43</f>
        <v>100.50000000000001</v>
      </c>
      <c r="T45" s="15">
        <f>T7+T43</f>
        <v>99.70000000000002</v>
      </c>
      <c r="U45" s="9">
        <f t="shared" si="3"/>
        <v>99.20398009950249</v>
      </c>
      <c r="V45" s="15">
        <f>V7+V43</f>
        <v>130.2</v>
      </c>
      <c r="W45" s="15">
        <f>W7+W43</f>
        <v>126.8</v>
      </c>
      <c r="X45" s="9">
        <f t="shared" si="28"/>
        <v>97.38863287250385</v>
      </c>
      <c r="Y45" s="15">
        <f>Y7+Y43</f>
        <v>283.55999999999995</v>
      </c>
      <c r="Z45" s="15">
        <f>Z7+Z43</f>
        <v>291.29999999999995</v>
      </c>
      <c r="AA45" s="9">
        <f t="shared" si="31"/>
        <v>102.72958104104953</v>
      </c>
      <c r="AB45" s="15">
        <f>AB7+AB43</f>
        <v>0</v>
      </c>
      <c r="AC45" s="15">
        <f>AC7+AC43</f>
        <v>0</v>
      </c>
      <c r="AD45" s="9" t="e">
        <f t="shared" si="5"/>
        <v>#DIV/0!</v>
      </c>
      <c r="AE45" s="15">
        <f>AE43+AE7</f>
        <v>0</v>
      </c>
      <c r="AF45" s="15">
        <f>AF43+AF7</f>
        <v>0</v>
      </c>
      <c r="AG45" s="9" t="e">
        <f t="shared" si="6"/>
        <v>#DIV/0!</v>
      </c>
      <c r="AH45" s="15">
        <f>AH43+AH7</f>
        <v>0</v>
      </c>
      <c r="AI45" s="15">
        <f>AI43+AI7</f>
        <v>0</v>
      </c>
      <c r="AJ45" s="15">
        <f>AJ7+AJ43</f>
        <v>0</v>
      </c>
      <c r="AK45" s="15">
        <f>AK7+AK43</f>
        <v>0</v>
      </c>
      <c r="AL45" s="9" t="e">
        <f t="shared" si="32"/>
        <v>#DIV/0!</v>
      </c>
      <c r="AM45" s="15">
        <f aca="true" t="shared" si="37" ref="AM45:AR45">AM43+AM7</f>
        <v>0</v>
      </c>
      <c r="AN45" s="15">
        <f t="shared" si="37"/>
        <v>0</v>
      </c>
      <c r="AO45" s="15">
        <f t="shared" si="37"/>
        <v>0</v>
      </c>
      <c r="AP45" s="15">
        <f t="shared" si="37"/>
        <v>0</v>
      </c>
      <c r="AQ45" s="15">
        <f t="shared" si="37"/>
        <v>0</v>
      </c>
      <c r="AR45" s="15">
        <f t="shared" si="37"/>
        <v>0</v>
      </c>
      <c r="AS45" s="66">
        <f>AS7+AS43</f>
        <v>458.52000000000004</v>
      </c>
      <c r="AT45" s="66">
        <f>AT7+AT43</f>
        <v>444.23</v>
      </c>
      <c r="AU45" s="9">
        <f>AT45/AS45*100</f>
        <v>96.88345110355056</v>
      </c>
      <c r="AV45" s="15">
        <f>AV7+AV43</f>
        <v>14.290000000000024</v>
      </c>
      <c r="AW45" s="15">
        <f>AW7+AW43</f>
        <v>632.29</v>
      </c>
      <c r="AX45" s="19">
        <f t="shared" si="13"/>
        <v>458.52</v>
      </c>
      <c r="AY45" s="19">
        <f t="shared" si="14"/>
        <v>444.22999999999996</v>
      </c>
      <c r="AZ45" s="38">
        <f>C45+AX45-AY45</f>
        <v>632.29</v>
      </c>
    </row>
    <row r="46" spans="1:52" s="130" customFormat="1" ht="54.75" customHeight="1">
      <c r="A46" s="242" t="s">
        <v>95</v>
      </c>
      <c r="B46" s="242"/>
      <c r="C46" s="24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4"/>
      <c r="AT46" s="124"/>
      <c r="AU46" s="125"/>
      <c r="AV46" s="125"/>
      <c r="AW46" s="126" t="s">
        <v>94</v>
      </c>
      <c r="AX46" s="128"/>
      <c r="AY46" s="129"/>
      <c r="AZ46" s="129">
        <f>AZ45-AW45</f>
        <v>0</v>
      </c>
    </row>
    <row r="47" spans="1:50" s="28" customFormat="1" ht="96.75" customHeight="1">
      <c r="A47" s="25"/>
      <c r="B47" s="233" t="s">
        <v>74</v>
      </c>
      <c r="C47" s="233"/>
      <c r="D47" s="233"/>
      <c r="E47" s="233"/>
      <c r="F47" s="233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48"/>
      <c r="AK47" s="48"/>
      <c r="AL47" s="48"/>
      <c r="AM47" s="20"/>
      <c r="AN47" s="20"/>
      <c r="AO47" s="20"/>
      <c r="AP47" s="20"/>
      <c r="AQ47" s="20"/>
      <c r="AR47" s="20"/>
      <c r="AS47" s="26"/>
      <c r="AT47" s="26"/>
      <c r="AU47" s="48"/>
      <c r="AV47" s="250" t="s">
        <v>75</v>
      </c>
      <c r="AW47" s="251"/>
      <c r="AX47" s="88"/>
    </row>
    <row r="48" spans="1:49" ht="73.5" customHeight="1" hidden="1">
      <c r="A48" s="243" t="s">
        <v>72</v>
      </c>
      <c r="B48" s="243"/>
      <c r="C48" s="29"/>
      <c r="D48" s="29"/>
      <c r="E48" s="29"/>
      <c r="F48" s="29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31"/>
      <c r="AK48" s="31"/>
      <c r="AL48" s="31"/>
      <c r="AM48" s="20"/>
      <c r="AN48" s="20"/>
      <c r="AO48" s="20"/>
      <c r="AP48" s="20"/>
      <c r="AQ48" s="20"/>
      <c r="AR48" s="20"/>
      <c r="AS48" s="30"/>
      <c r="AT48" s="30"/>
      <c r="AU48" s="31"/>
      <c r="AW48" s="4" t="s">
        <v>73</v>
      </c>
    </row>
    <row r="49" spans="2:48" ht="32.25" customHeight="1" hidden="1">
      <c r="B49" s="249" t="s">
        <v>44</v>
      </c>
      <c r="C49" s="249"/>
      <c r="D49" s="249"/>
      <c r="E49" s="249"/>
      <c r="F49" s="249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20"/>
      <c r="AF49" s="20"/>
      <c r="AG49" s="20"/>
      <c r="AH49" s="20"/>
      <c r="AI49" s="20"/>
      <c r="AM49" s="20"/>
      <c r="AN49" s="20"/>
      <c r="AO49" s="20"/>
      <c r="AP49" s="20"/>
      <c r="AQ49" s="20"/>
      <c r="AR49" s="20"/>
      <c r="AS49" s="10"/>
      <c r="AT49" s="10"/>
      <c r="AV49" s="10"/>
    </row>
    <row r="50" spans="31:44" ht="18.75">
      <c r="AE50" s="47"/>
      <c r="AF50" s="47"/>
      <c r="AG50" s="47"/>
      <c r="AH50" s="47"/>
      <c r="AI50" s="47"/>
      <c r="AM50" s="47"/>
      <c r="AN50" s="47"/>
      <c r="AO50" s="47"/>
      <c r="AP50" s="47"/>
      <c r="AQ50" s="47"/>
      <c r="AR50" s="47"/>
    </row>
    <row r="51" spans="31:44" ht="18.75">
      <c r="AE51" s="48"/>
      <c r="AF51" s="48"/>
      <c r="AG51" s="48"/>
      <c r="AH51" s="48"/>
      <c r="AI51" s="48"/>
      <c r="AM51" s="48"/>
      <c r="AN51" s="48"/>
      <c r="AO51" s="48"/>
      <c r="AP51" s="48"/>
      <c r="AQ51" s="48"/>
      <c r="AR51" s="48"/>
    </row>
    <row r="52" spans="3:49" ht="18.75">
      <c r="C52" s="23"/>
      <c r="D52" s="16"/>
      <c r="E52" s="16"/>
      <c r="F52" s="47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47"/>
      <c r="AK52" s="47"/>
      <c r="AL52" s="47"/>
      <c r="AM52" s="31"/>
      <c r="AN52" s="31"/>
      <c r="AO52" s="31"/>
      <c r="AP52" s="31"/>
      <c r="AQ52" s="31"/>
      <c r="AR52" s="31"/>
      <c r="AS52" s="16"/>
      <c r="AT52" s="16"/>
      <c r="AU52" s="47"/>
      <c r="AV52" s="16"/>
      <c r="AW52" s="16"/>
    </row>
    <row r="53" spans="3:49" ht="18.75">
      <c r="C53" s="23"/>
      <c r="D53" s="16"/>
      <c r="E53" s="16"/>
      <c r="F53" s="47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J53" s="47"/>
      <c r="AK53" s="47"/>
      <c r="AL53" s="47"/>
      <c r="AS53" s="16"/>
      <c r="AT53" s="16"/>
      <c r="AU53" s="47"/>
      <c r="AV53" s="16"/>
      <c r="AW53" s="16"/>
    </row>
    <row r="54" spans="3:49" ht="18.75">
      <c r="C54" s="23"/>
      <c r="D54" s="16"/>
      <c r="E54" s="16"/>
      <c r="F54" s="47"/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J54" s="47"/>
      <c r="AK54" s="47"/>
      <c r="AL54" s="47"/>
      <c r="AS54" s="16"/>
      <c r="AT54" s="16"/>
      <c r="AU54" s="47"/>
      <c r="AV54" s="16"/>
      <c r="AW54" s="16"/>
    </row>
    <row r="55" spans="3:49" ht="18.75">
      <c r="C55" s="23"/>
      <c r="D55" s="16"/>
      <c r="E55" s="16"/>
      <c r="F55" s="47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J55" s="47"/>
      <c r="AK55" s="47"/>
      <c r="AL55" s="47"/>
      <c r="AS55" s="16"/>
      <c r="AT55" s="16"/>
      <c r="AU55" s="47"/>
      <c r="AV55" s="16"/>
      <c r="AW55" s="16"/>
    </row>
    <row r="56" spans="3:49" ht="18.75">
      <c r="C56" s="23"/>
      <c r="D56" s="16"/>
      <c r="E56" s="16"/>
      <c r="F56" s="47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J56" s="47"/>
      <c r="AK56" s="47"/>
      <c r="AL56" s="47"/>
      <c r="AS56" s="16"/>
      <c r="AT56" s="16"/>
      <c r="AU56" s="47"/>
      <c r="AV56" s="16"/>
      <c r="AW56" s="16"/>
    </row>
    <row r="57" spans="3:49" ht="18.75">
      <c r="C57" s="23"/>
      <c r="D57" s="16"/>
      <c r="E57" s="16"/>
      <c r="F57" s="47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J57" s="47"/>
      <c r="AK57" s="47"/>
      <c r="AL57" s="47"/>
      <c r="AS57" s="16"/>
      <c r="AT57" s="16"/>
      <c r="AU57" s="47"/>
      <c r="AV57" s="16"/>
      <c r="AW57" s="16"/>
    </row>
    <row r="58" spans="3:49" ht="18.75">
      <c r="C58" s="23"/>
      <c r="D58" s="16"/>
      <c r="E58" s="16"/>
      <c r="F58" s="47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J58" s="47"/>
      <c r="AK58" s="47"/>
      <c r="AL58" s="47"/>
      <c r="AS58" s="16"/>
      <c r="AT58" s="16"/>
      <c r="AU58" s="47"/>
      <c r="AV58" s="16"/>
      <c r="AW58" s="16"/>
    </row>
    <row r="59" spans="3:49" ht="18.75">
      <c r="C59" s="23"/>
      <c r="D59" s="16"/>
      <c r="E59" s="16"/>
      <c r="F59" s="47"/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J59" s="47"/>
      <c r="AK59" s="47"/>
      <c r="AL59" s="47"/>
      <c r="AS59" s="16"/>
      <c r="AT59" s="16"/>
      <c r="AU59" s="47"/>
      <c r="AV59" s="16"/>
      <c r="AW59" s="16"/>
    </row>
    <row r="60" spans="3:49" ht="18.75">
      <c r="C60" s="23"/>
      <c r="D60" s="16"/>
      <c r="E60" s="16"/>
      <c r="F60" s="47"/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J60" s="47"/>
      <c r="AK60" s="47"/>
      <c r="AL60" s="47"/>
      <c r="AS60" s="16"/>
      <c r="AT60" s="16"/>
      <c r="AU60" s="47"/>
      <c r="AV60" s="16"/>
      <c r="AW60" s="16"/>
    </row>
    <row r="61" spans="3:49" ht="18.75">
      <c r="C61" s="23"/>
      <c r="D61" s="16"/>
      <c r="E61" s="16"/>
      <c r="F61" s="47"/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J61" s="47"/>
      <c r="AK61" s="47"/>
      <c r="AL61" s="47"/>
      <c r="AS61" s="16"/>
      <c r="AT61" s="16"/>
      <c r="AU61" s="47"/>
      <c r="AV61" s="16"/>
      <c r="AW61" s="16"/>
    </row>
    <row r="62" spans="3:49" ht="18.75">
      <c r="C62" s="23"/>
      <c r="D62" s="16"/>
      <c r="E62" s="16"/>
      <c r="F62" s="47"/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J62" s="47"/>
      <c r="AK62" s="47"/>
      <c r="AL62" s="47"/>
      <c r="AS62" s="16"/>
      <c r="AT62" s="16"/>
      <c r="AU62" s="47"/>
      <c r="AV62" s="16"/>
      <c r="AW62" s="16"/>
    </row>
    <row r="63" spans="3:49" ht="18.75">
      <c r="C63" s="23"/>
      <c r="D63" s="16"/>
      <c r="E63" s="16"/>
      <c r="F63" s="47"/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J63" s="47"/>
      <c r="AK63" s="47"/>
      <c r="AL63" s="47"/>
      <c r="AS63" s="16"/>
      <c r="AT63" s="16"/>
      <c r="AU63" s="47"/>
      <c r="AV63" s="16"/>
      <c r="AW63" s="16"/>
    </row>
    <row r="64" spans="3:49" ht="18.75">
      <c r="C64" s="23"/>
      <c r="D64" s="16"/>
      <c r="E64" s="16"/>
      <c r="F64" s="47"/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J64" s="47"/>
      <c r="AK64" s="47"/>
      <c r="AL64" s="47"/>
      <c r="AS64" s="16"/>
      <c r="AT64" s="16"/>
      <c r="AU64" s="47"/>
      <c r="AV64" s="16"/>
      <c r="AW64" s="16"/>
    </row>
    <row r="65" spans="3:49" ht="18.75">
      <c r="C65" s="23"/>
      <c r="D65" s="16"/>
      <c r="E65" s="16"/>
      <c r="F65" s="47"/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J65" s="47"/>
      <c r="AK65" s="47"/>
      <c r="AL65" s="47"/>
      <c r="AS65" s="16"/>
      <c r="AT65" s="16"/>
      <c r="AU65" s="47"/>
      <c r="AV65" s="16"/>
      <c r="AW65" s="16"/>
    </row>
    <row r="66" spans="3:49" ht="18.75">
      <c r="C66" s="23"/>
      <c r="D66" s="16"/>
      <c r="E66" s="16"/>
      <c r="F66" s="47"/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J66" s="47"/>
      <c r="AK66" s="47"/>
      <c r="AL66" s="47"/>
      <c r="AS66" s="16"/>
      <c r="AT66" s="16"/>
      <c r="AU66" s="47"/>
      <c r="AV66" s="16"/>
      <c r="AW66" s="16"/>
    </row>
    <row r="67" spans="3:49" ht="18.75">
      <c r="C67" s="23"/>
      <c r="D67" s="16"/>
      <c r="E67" s="16"/>
      <c r="F67" s="47"/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J67" s="47"/>
      <c r="AK67" s="47"/>
      <c r="AL67" s="47"/>
      <c r="AS67" s="16"/>
      <c r="AT67" s="16"/>
      <c r="AU67" s="47"/>
      <c r="AV67" s="16"/>
      <c r="AW67" s="16"/>
    </row>
    <row r="68" spans="3:49" ht="18.75">
      <c r="C68" s="23"/>
      <c r="D68" s="16"/>
      <c r="E68" s="16"/>
      <c r="F68" s="47"/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J68" s="47"/>
      <c r="AK68" s="47"/>
      <c r="AL68" s="47"/>
      <c r="AS68" s="16"/>
      <c r="AT68" s="16"/>
      <c r="AU68" s="47"/>
      <c r="AV68" s="16"/>
      <c r="AW68" s="16"/>
    </row>
    <row r="69" spans="3:49" ht="18.75">
      <c r="C69" s="23"/>
      <c r="D69" s="16"/>
      <c r="E69" s="16"/>
      <c r="F69" s="47"/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J69" s="47"/>
      <c r="AK69" s="47"/>
      <c r="AL69" s="47"/>
      <c r="AS69" s="16"/>
      <c r="AT69" s="16"/>
      <c r="AU69" s="47"/>
      <c r="AV69" s="16"/>
      <c r="AW69" s="16"/>
    </row>
    <row r="70" spans="3:49" ht="18.75">
      <c r="C70" s="23"/>
      <c r="D70" s="16"/>
      <c r="E70" s="16"/>
      <c r="F70" s="47"/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J70" s="47"/>
      <c r="AK70" s="47"/>
      <c r="AL70" s="47"/>
      <c r="AS70" s="16"/>
      <c r="AT70" s="16"/>
      <c r="AU70" s="47"/>
      <c r="AV70" s="16"/>
      <c r="AW70" s="16"/>
    </row>
    <row r="71" spans="3:49" ht="18.75">
      <c r="C71" s="23"/>
      <c r="D71" s="16"/>
      <c r="E71" s="16"/>
      <c r="F71" s="47"/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J71" s="47"/>
      <c r="AK71" s="47"/>
      <c r="AL71" s="47"/>
      <c r="AS71" s="16"/>
      <c r="AT71" s="16"/>
      <c r="AU71" s="47"/>
      <c r="AV71" s="16"/>
      <c r="AW71" s="16"/>
    </row>
    <row r="72" spans="3:49" ht="18.75">
      <c r="C72" s="23"/>
      <c r="D72" s="16"/>
      <c r="E72" s="16"/>
      <c r="F72" s="47"/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J72" s="47"/>
      <c r="AK72" s="47"/>
      <c r="AL72" s="47"/>
      <c r="AS72" s="16"/>
      <c r="AT72" s="16"/>
      <c r="AU72" s="47"/>
      <c r="AV72" s="16"/>
      <c r="AW72" s="16"/>
    </row>
    <row r="73" spans="3:49" ht="18.75">
      <c r="C73" s="23"/>
      <c r="D73" s="16"/>
      <c r="E73" s="16"/>
      <c r="F73" s="47"/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J73" s="47"/>
      <c r="AK73" s="47"/>
      <c r="AL73" s="47"/>
      <c r="AS73" s="16"/>
      <c r="AT73" s="16"/>
      <c r="AU73" s="47"/>
      <c r="AV73" s="16"/>
      <c r="AW73" s="16"/>
    </row>
    <row r="74" spans="3:49" ht="18.75">
      <c r="C74" s="23"/>
      <c r="D74" s="16"/>
      <c r="E74" s="16"/>
      <c r="F74" s="47"/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J74" s="47"/>
      <c r="AK74" s="47"/>
      <c r="AL74" s="47"/>
      <c r="AS74" s="16"/>
      <c r="AT74" s="16"/>
      <c r="AU74" s="47"/>
      <c r="AV74" s="16"/>
      <c r="AW74" s="16"/>
    </row>
    <row r="75" spans="3:49" ht="18.75">
      <c r="C75" s="23"/>
      <c r="D75" s="16"/>
      <c r="E75" s="16"/>
      <c r="F75" s="47"/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J75" s="47"/>
      <c r="AK75" s="47"/>
      <c r="AL75" s="47"/>
      <c r="AS75" s="16"/>
      <c r="AT75" s="16"/>
      <c r="AU75" s="47"/>
      <c r="AV75" s="16"/>
      <c r="AW75" s="16"/>
    </row>
    <row r="76" spans="3:49" ht="18.75">
      <c r="C76" s="23"/>
      <c r="D76" s="16"/>
      <c r="E76" s="16"/>
      <c r="F76" s="47"/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J76" s="47"/>
      <c r="AK76" s="47"/>
      <c r="AL76" s="47"/>
      <c r="AS76" s="16"/>
      <c r="AT76" s="16"/>
      <c r="AU76" s="47"/>
      <c r="AV76" s="16"/>
      <c r="AW76" s="16"/>
    </row>
    <row r="77" spans="3:49" ht="18.75">
      <c r="C77" s="23"/>
      <c r="D77" s="16"/>
      <c r="E77" s="16"/>
      <c r="F77" s="47"/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J77" s="47"/>
      <c r="AK77" s="47"/>
      <c r="AL77" s="47"/>
      <c r="AS77" s="16"/>
      <c r="AT77" s="16"/>
      <c r="AU77" s="47"/>
      <c r="AV77" s="16"/>
      <c r="AW77" s="16"/>
    </row>
    <row r="78" spans="3:49" ht="18.75">
      <c r="C78" s="23"/>
      <c r="D78" s="16"/>
      <c r="E78" s="16"/>
      <c r="F78" s="47"/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J78" s="47"/>
      <c r="AK78" s="47"/>
      <c r="AL78" s="47"/>
      <c r="AS78" s="16"/>
      <c r="AT78" s="16"/>
      <c r="AU78" s="47"/>
      <c r="AV78" s="16"/>
      <c r="AW78" s="16"/>
    </row>
    <row r="79" spans="3:49" ht="18.75">
      <c r="C79" s="23"/>
      <c r="D79" s="16"/>
      <c r="E79" s="16"/>
      <c r="F79" s="47"/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J79" s="47"/>
      <c r="AK79" s="47"/>
      <c r="AL79" s="47"/>
      <c r="AS79" s="16"/>
      <c r="AT79" s="16"/>
      <c r="AU79" s="47"/>
      <c r="AV79" s="16"/>
      <c r="AW79" s="16"/>
    </row>
    <row r="80" spans="3:49" ht="18.75">
      <c r="C80" s="23"/>
      <c r="D80" s="16"/>
      <c r="E80" s="16"/>
      <c r="F80" s="47"/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J80" s="47"/>
      <c r="AK80" s="47"/>
      <c r="AL80" s="47"/>
      <c r="AS80" s="16"/>
      <c r="AT80" s="16"/>
      <c r="AU80" s="47"/>
      <c r="AV80" s="16"/>
      <c r="AW80" s="16"/>
    </row>
    <row r="81" spans="3:49" ht="18.75">
      <c r="C81" s="23"/>
      <c r="D81" s="16"/>
      <c r="E81" s="16"/>
      <c r="F81" s="47"/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J81" s="47"/>
      <c r="AK81" s="47"/>
      <c r="AL81" s="47"/>
      <c r="AS81" s="16"/>
      <c r="AT81" s="16"/>
      <c r="AU81" s="47"/>
      <c r="AV81" s="16"/>
      <c r="AW81" s="16"/>
    </row>
    <row r="82" spans="3:49" ht="18.75">
      <c r="C82" s="23"/>
      <c r="D82" s="16"/>
      <c r="E82" s="16"/>
      <c r="F82" s="47"/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J82" s="47"/>
      <c r="AK82" s="47"/>
      <c r="AL82" s="47"/>
      <c r="AS82" s="16"/>
      <c r="AT82" s="16"/>
      <c r="AU82" s="47"/>
      <c r="AV82" s="16"/>
      <c r="AW82" s="16"/>
    </row>
    <row r="83" spans="3:49" ht="18.75">
      <c r="C83" s="23"/>
      <c r="D83" s="16"/>
      <c r="E83" s="16"/>
      <c r="F83" s="47"/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J83" s="47"/>
      <c r="AK83" s="47"/>
      <c r="AL83" s="47"/>
      <c r="AS83" s="16"/>
      <c r="AT83" s="16"/>
      <c r="AU83" s="47"/>
      <c r="AV83" s="16"/>
      <c r="AW83" s="16"/>
    </row>
    <row r="84" spans="3:49" ht="18.75">
      <c r="C84" s="23"/>
      <c r="D84" s="16"/>
      <c r="E84" s="16"/>
      <c r="F84" s="47"/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J84" s="47"/>
      <c r="AK84" s="47"/>
      <c r="AL84" s="47"/>
      <c r="AS84" s="16"/>
      <c r="AT84" s="16"/>
      <c r="AU84" s="47"/>
      <c r="AV84" s="16"/>
      <c r="AW84" s="16"/>
    </row>
    <row r="85" spans="3:49" ht="18.75">
      <c r="C85" s="23"/>
      <c r="D85" s="16"/>
      <c r="E85" s="16"/>
      <c r="F85" s="47"/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J85" s="47"/>
      <c r="AK85" s="47"/>
      <c r="AL85" s="47"/>
      <c r="AS85" s="16"/>
      <c r="AT85" s="16"/>
      <c r="AU85" s="47"/>
      <c r="AV85" s="16"/>
      <c r="AW85" s="16"/>
    </row>
    <row r="86" spans="3:49" ht="18.75">
      <c r="C86" s="23"/>
      <c r="D86" s="16"/>
      <c r="E86" s="16"/>
      <c r="F86" s="47"/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J86" s="47"/>
      <c r="AK86" s="47"/>
      <c r="AL86" s="47"/>
      <c r="AS86" s="16"/>
      <c r="AT86" s="16"/>
      <c r="AU86" s="47"/>
      <c r="AV86" s="16"/>
      <c r="AW86" s="16"/>
    </row>
    <row r="87" spans="3:49" ht="18.75">
      <c r="C87" s="23"/>
      <c r="D87" s="16"/>
      <c r="E87" s="16"/>
      <c r="F87" s="47"/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J87" s="47"/>
      <c r="AK87" s="47"/>
      <c r="AL87" s="47"/>
      <c r="AS87" s="16"/>
      <c r="AT87" s="16"/>
      <c r="AU87" s="47"/>
      <c r="AV87" s="16"/>
      <c r="AW87" s="16"/>
    </row>
    <row r="88" spans="3:49" ht="18.75">
      <c r="C88" s="23"/>
      <c r="D88" s="16"/>
      <c r="E88" s="16"/>
      <c r="F88" s="47"/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J88" s="47"/>
      <c r="AK88" s="47"/>
      <c r="AL88" s="47"/>
      <c r="AS88" s="16"/>
      <c r="AT88" s="16"/>
      <c r="AU88" s="47"/>
      <c r="AV88" s="16"/>
      <c r="AW88" s="16"/>
    </row>
    <row r="89" spans="3:49" ht="18.75">
      <c r="C89" s="23"/>
      <c r="D89" s="16"/>
      <c r="E89" s="16"/>
      <c r="F89" s="47"/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J89" s="47"/>
      <c r="AK89" s="47"/>
      <c r="AL89" s="47"/>
      <c r="AS89" s="16"/>
      <c r="AT89" s="16"/>
      <c r="AU89" s="47"/>
      <c r="AV89" s="16"/>
      <c r="AW89" s="16"/>
    </row>
    <row r="90" spans="3:49" ht="18.75">
      <c r="C90" s="23"/>
      <c r="D90" s="16"/>
      <c r="E90" s="16"/>
      <c r="F90" s="47"/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J90" s="47"/>
      <c r="AK90" s="47"/>
      <c r="AL90" s="47"/>
      <c r="AS90" s="16"/>
      <c r="AT90" s="16"/>
      <c r="AU90" s="47"/>
      <c r="AV90" s="16"/>
      <c r="AW90" s="16"/>
    </row>
    <row r="91" spans="3:49" ht="18.75">
      <c r="C91" s="23"/>
      <c r="D91" s="16"/>
      <c r="E91" s="16"/>
      <c r="F91" s="47"/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J91" s="47"/>
      <c r="AK91" s="47"/>
      <c r="AL91" s="47"/>
      <c r="AS91" s="16"/>
      <c r="AT91" s="16"/>
      <c r="AU91" s="47"/>
      <c r="AV91" s="16"/>
      <c r="AW91" s="16"/>
    </row>
    <row r="92" spans="3:49" ht="18.75">
      <c r="C92" s="23"/>
      <c r="D92" s="16"/>
      <c r="E92" s="16"/>
      <c r="F92" s="47"/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J92" s="47"/>
      <c r="AK92" s="47"/>
      <c r="AL92" s="47"/>
      <c r="AS92" s="16"/>
      <c r="AT92" s="16"/>
      <c r="AU92" s="47"/>
      <c r="AV92" s="16"/>
      <c r="AW92" s="16"/>
    </row>
    <row r="93" spans="3:49" ht="18.75">
      <c r="C93" s="23"/>
      <c r="D93" s="16"/>
      <c r="E93" s="16"/>
      <c r="F93" s="47"/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J93" s="47"/>
      <c r="AK93" s="47"/>
      <c r="AL93" s="47"/>
      <c r="AS93" s="16"/>
      <c r="AT93" s="16"/>
      <c r="AU93" s="47"/>
      <c r="AV93" s="16"/>
      <c r="AW93" s="16"/>
    </row>
    <row r="94" spans="3:49" ht="18.75">
      <c r="C94" s="23"/>
      <c r="D94" s="16"/>
      <c r="E94" s="16"/>
      <c r="F94" s="47"/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J94" s="47"/>
      <c r="AK94" s="47"/>
      <c r="AL94" s="47"/>
      <c r="AS94" s="16"/>
      <c r="AT94" s="16"/>
      <c r="AU94" s="47"/>
      <c r="AV94" s="16"/>
      <c r="AW94" s="16"/>
    </row>
    <row r="95" spans="3:49" ht="18.75">
      <c r="C95" s="23"/>
      <c r="D95" s="16"/>
      <c r="E95" s="16"/>
      <c r="F95" s="47"/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J95" s="47"/>
      <c r="AK95" s="47"/>
      <c r="AL95" s="47"/>
      <c r="AS95" s="16"/>
      <c r="AT95" s="16"/>
      <c r="AU95" s="47"/>
      <c r="AV95" s="16"/>
      <c r="AW95" s="16"/>
    </row>
    <row r="96" spans="3:49" ht="18.75">
      <c r="C96" s="23"/>
      <c r="D96" s="16"/>
      <c r="E96" s="16"/>
      <c r="F96" s="47"/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J96" s="47"/>
      <c r="AK96" s="47"/>
      <c r="AL96" s="47"/>
      <c r="AS96" s="16"/>
      <c r="AT96" s="16"/>
      <c r="AU96" s="47"/>
      <c r="AV96" s="16"/>
      <c r="AW96" s="16"/>
    </row>
    <row r="97" spans="3:49" ht="18.75">
      <c r="C97" s="23"/>
      <c r="D97" s="16"/>
      <c r="E97" s="16"/>
      <c r="F97" s="47"/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J97" s="47"/>
      <c r="AK97" s="47"/>
      <c r="AL97" s="47"/>
      <c r="AS97" s="16"/>
      <c r="AT97" s="16"/>
      <c r="AU97" s="47"/>
      <c r="AV97" s="16"/>
      <c r="AW97" s="16"/>
    </row>
  </sheetData>
  <sheetProtection/>
  <mergeCells count="26">
    <mergeCell ref="B47:F47"/>
    <mergeCell ref="D5:F5"/>
    <mergeCell ref="AE5:AG5"/>
    <mergeCell ref="S5:U5"/>
    <mergeCell ref="Y5:AA5"/>
    <mergeCell ref="AH5:AI5"/>
    <mergeCell ref="A46:C46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4:F4"/>
    <mergeCell ref="G5:I5"/>
    <mergeCell ref="AS5:AU5"/>
    <mergeCell ref="AM5:AN5"/>
    <mergeCell ref="AJ5:AL5"/>
    <mergeCell ref="AO5:AP5"/>
    <mergeCell ref="AQ5:AR5"/>
    <mergeCell ref="B2:AW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view="pageBreakPreview" zoomScale="70" zoomScaleNormal="50" zoomScaleSheetLayoutView="70" zoomScalePageLayoutView="0" workbookViewId="0" topLeftCell="A3">
      <pane xSplit="5" ySplit="4" topLeftCell="S30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U34" sqref="AU34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5" customWidth="1"/>
    <col min="4" max="4" width="17.00390625" style="2" hidden="1" customWidth="1"/>
    <col min="5" max="5" width="15.75390625" style="2" hidden="1" customWidth="1"/>
    <col min="6" max="6" width="11.875" style="10" hidden="1" customWidth="1"/>
    <col min="7" max="7" width="14.75390625" style="2" hidden="1" customWidth="1"/>
    <col min="8" max="8" width="16.00390625" style="2" hidden="1" customWidth="1"/>
    <col min="9" max="9" width="12.875" style="10" hidden="1" customWidth="1"/>
    <col min="10" max="10" width="14.75390625" style="2" hidden="1" customWidth="1"/>
    <col min="11" max="11" width="16.00390625" style="2" hidden="1" customWidth="1"/>
    <col min="12" max="12" width="11.875" style="10" hidden="1" customWidth="1"/>
    <col min="13" max="13" width="13.875" style="10" customWidth="1"/>
    <col min="14" max="14" width="12.3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3.375" style="10" hidden="1" customWidth="1"/>
    <col min="22" max="22" width="15.75390625" style="10" customWidth="1"/>
    <col min="23" max="23" width="13.875" style="10" customWidth="1"/>
    <col min="24" max="24" width="11.125" style="10" hidden="1" customWidth="1"/>
    <col min="25" max="25" width="13.875" style="10" hidden="1" customWidth="1"/>
    <col min="26" max="26" width="12.375" style="10" hidden="1" customWidth="1"/>
    <col min="27" max="27" width="11.125" style="10" hidden="1" customWidth="1"/>
    <col min="28" max="28" width="15.75390625" style="10" hidden="1" customWidth="1"/>
    <col min="29" max="29" width="13.2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875" style="10" hidden="1" customWidth="1"/>
    <col min="35" max="36" width="11.875" style="10" hidden="1" customWidth="1"/>
    <col min="37" max="37" width="13.875" style="10" hidden="1" customWidth="1"/>
    <col min="38" max="38" width="12.375" style="10" hidden="1" customWidth="1"/>
    <col min="39" max="39" width="11.125" style="10" hidden="1" customWidth="1"/>
    <col min="40" max="40" width="12.875" style="10" hidden="1" customWidth="1"/>
    <col min="41" max="41" width="11.875" style="10" hidden="1" customWidth="1"/>
    <col min="42" max="42" width="12.875" style="10" hidden="1" customWidth="1"/>
    <col min="43" max="43" width="12.375" style="10" hidden="1" customWidth="1"/>
    <col min="44" max="44" width="12.875" style="10" hidden="1" customWidth="1"/>
    <col min="45" max="45" width="11.875" style="10" hidden="1" customWidth="1"/>
    <col min="46" max="47" width="14.75390625" style="2" customWidth="1"/>
    <col min="48" max="48" width="11.125" style="10" customWidth="1"/>
    <col min="49" max="49" width="20.625" style="2" customWidth="1"/>
    <col min="50" max="50" width="28.125" style="2" customWidth="1"/>
    <col min="51" max="52" width="11.875" style="2" customWidth="1"/>
    <col min="53" max="53" width="12.125" style="2" customWidth="1"/>
    <col min="54" max="16384" width="7.875" style="2" customWidth="1"/>
  </cols>
  <sheetData>
    <row r="1" spans="9:50" ht="22.5" customHeight="1">
      <c r="I1" s="245" t="s">
        <v>42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</row>
    <row r="2" spans="1:50" s="50" customFormat="1" ht="60" customHeight="1">
      <c r="A2" s="247" t="s">
        <v>118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</row>
    <row r="3" spans="1:50" s="50" customFormat="1" ht="60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</row>
    <row r="4" spans="2:50" ht="49.5" customHeight="1">
      <c r="B4" s="248"/>
      <c r="C4" s="248"/>
      <c r="D4" s="248"/>
      <c r="E4" s="248"/>
      <c r="F4" s="248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5"/>
      <c r="AJ5" s="236"/>
      <c r="AK5" s="234" t="s">
        <v>107</v>
      </c>
      <c r="AL5" s="235"/>
      <c r="AM5" s="236"/>
      <c r="AN5" s="234" t="s">
        <v>108</v>
      </c>
      <c r="AO5" s="236"/>
      <c r="AP5" s="234" t="s">
        <v>109</v>
      </c>
      <c r="AQ5" s="236"/>
      <c r="AR5" s="234" t="s">
        <v>110</v>
      </c>
      <c r="AS5" s="236"/>
      <c r="AT5" s="239" t="s">
        <v>111</v>
      </c>
      <c r="AU5" s="240"/>
      <c r="AV5" s="241"/>
      <c r="AW5" s="237" t="s">
        <v>123</v>
      </c>
      <c r="AX5" s="237" t="s">
        <v>124</v>
      </c>
    </row>
    <row r="6" spans="1:50" ht="49.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238"/>
      <c r="AX6" s="238"/>
    </row>
    <row r="7" spans="1:53" s="10" customFormat="1" ht="34.5" customHeight="1">
      <c r="A7" s="46"/>
      <c r="B7" s="111" t="s">
        <v>92</v>
      </c>
      <c r="C7" s="9">
        <f>SUM(C8:C42)-C33-C34</f>
        <v>845.3000000000001</v>
      </c>
      <c r="D7" s="9">
        <f aca="true" t="shared" si="0" ref="D7:AU7">SUM(D8:D42)-D33-D34</f>
        <v>34.599999999999994</v>
      </c>
      <c r="E7" s="9">
        <f t="shared" si="0"/>
        <v>-5.000000000000002</v>
      </c>
      <c r="F7" s="9" t="e">
        <f t="shared" si="0"/>
        <v>#DIV/0!</v>
      </c>
      <c r="G7" s="9">
        <f t="shared" si="0"/>
        <v>53.4</v>
      </c>
      <c r="H7" s="9">
        <f t="shared" si="0"/>
        <v>2079.2</v>
      </c>
      <c r="I7" s="9" t="e">
        <f t="shared" si="0"/>
        <v>#DIV/0!</v>
      </c>
      <c r="J7" s="9">
        <f t="shared" si="0"/>
        <v>49.92000000000001</v>
      </c>
      <c r="K7" s="9">
        <f t="shared" si="0"/>
        <v>37.89</v>
      </c>
      <c r="L7" s="9" t="e">
        <f t="shared" si="0"/>
        <v>#DIV/0!</v>
      </c>
      <c r="M7" s="9">
        <f t="shared" si="0"/>
        <v>137.92000000000002</v>
      </c>
      <c r="N7" s="9">
        <f t="shared" si="0"/>
        <v>2112.09</v>
      </c>
      <c r="O7" s="9">
        <f aca="true" t="shared" si="1" ref="O7:O45">N7/M7*100</f>
        <v>1531.3877610208817</v>
      </c>
      <c r="P7" s="9">
        <f t="shared" si="0"/>
        <v>43.61</v>
      </c>
      <c r="Q7" s="9">
        <f t="shared" si="0"/>
        <v>36.28</v>
      </c>
      <c r="R7" s="9">
        <f>Q7/P7*100</f>
        <v>83.19192845677598</v>
      </c>
      <c r="S7" s="9">
        <f t="shared" si="0"/>
        <v>68.7</v>
      </c>
      <c r="T7" s="9">
        <f t="shared" si="0"/>
        <v>55.4</v>
      </c>
      <c r="U7" s="9">
        <f t="shared" si="0"/>
        <v>0</v>
      </c>
      <c r="V7" s="9">
        <f t="shared" si="0"/>
        <v>36.6</v>
      </c>
      <c r="W7" s="9">
        <f t="shared" si="0"/>
        <v>30.599999999999998</v>
      </c>
      <c r="X7" s="9" t="e">
        <f t="shared" si="0"/>
        <v>#DIV/0!</v>
      </c>
      <c r="Y7" s="9">
        <f t="shared" si="0"/>
        <v>148.91</v>
      </c>
      <c r="Z7" s="9">
        <f t="shared" si="0"/>
        <v>122.27999999999999</v>
      </c>
      <c r="AA7" s="9">
        <f aca="true" t="shared" si="2" ref="AA7:AA28">Z7/Y7*100</f>
        <v>82.11671479417096</v>
      </c>
      <c r="AB7" s="9">
        <f t="shared" si="0"/>
        <v>0</v>
      </c>
      <c r="AC7" s="9">
        <f t="shared" si="0"/>
        <v>0</v>
      </c>
      <c r="AD7" s="9" t="e">
        <f aca="true" t="shared" si="3" ref="AD7:AD45">AC7/AB7*100</f>
        <v>#DIV/0!</v>
      </c>
      <c r="AE7" s="9">
        <f t="shared" si="0"/>
        <v>0</v>
      </c>
      <c r="AF7" s="9">
        <f t="shared" si="0"/>
        <v>0</v>
      </c>
      <c r="AG7" s="9" t="e">
        <f aca="true" t="shared" si="4" ref="AG7:AG45">AF7/AE7*100</f>
        <v>#DIV/0!</v>
      </c>
      <c r="AH7" s="9">
        <f t="shared" si="0"/>
        <v>0</v>
      </c>
      <c r="AI7" s="9">
        <f t="shared" si="0"/>
        <v>0</v>
      </c>
      <c r="AJ7" s="9" t="e">
        <f aca="true" t="shared" si="5" ref="AJ7:AJ45">AI7/AH7*100</f>
        <v>#DIV/0!</v>
      </c>
      <c r="AK7" s="9">
        <f t="shared" si="0"/>
        <v>0</v>
      </c>
      <c r="AL7" s="9">
        <f t="shared" si="0"/>
        <v>0</v>
      </c>
      <c r="AM7" s="9" t="e">
        <f t="shared" si="0"/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286.83000000000004</v>
      </c>
      <c r="AU7" s="9">
        <f t="shared" si="0"/>
        <v>2234.3700000000003</v>
      </c>
      <c r="AV7" s="9">
        <f aca="true" t="shared" si="6" ref="AV7:AV44">AU7/AT7*100</f>
        <v>778.9875536031797</v>
      </c>
      <c r="AW7" s="9">
        <f>SUM(AW8:AW42)-AW33-AW34</f>
        <v>-1947.54</v>
      </c>
      <c r="AX7" s="9">
        <f>SUM(AX8:AX42)-AX33-AX34</f>
        <v>-1102.24</v>
      </c>
      <c r="AY7" s="19">
        <f>M7+Y7+AK7+AN7+AP7+AR7</f>
        <v>286.83000000000004</v>
      </c>
      <c r="AZ7" s="19">
        <f>N7+Z7+AL7+AO7+AQ7+AS7</f>
        <v>2234.3700000000003</v>
      </c>
      <c r="BA7" s="38">
        <f>C7+AY7-AZ7</f>
        <v>-1102.2400000000002</v>
      </c>
    </row>
    <row r="8" spans="1:53" ht="34.5" customHeight="1">
      <c r="A8" s="55">
        <v>1</v>
      </c>
      <c r="B8" s="56" t="s">
        <v>49</v>
      </c>
      <c r="C8" s="12">
        <v>-0.5</v>
      </c>
      <c r="D8" s="34">
        <v>0</v>
      </c>
      <c r="E8" s="34">
        <v>-0.5</v>
      </c>
      <c r="F8" s="84" t="e">
        <f aca="true" t="shared" si="7" ref="F8:F45">E8/D8*100</f>
        <v>#DIV/0!</v>
      </c>
      <c r="G8" s="34">
        <v>0</v>
      </c>
      <c r="H8" s="34">
        <v>0</v>
      </c>
      <c r="I8" s="84" t="e">
        <f aca="true" t="shared" si="8" ref="I8:I45">H8/G8*100</f>
        <v>#DIV/0!</v>
      </c>
      <c r="J8" s="34">
        <v>0</v>
      </c>
      <c r="K8" s="34">
        <v>0</v>
      </c>
      <c r="L8" s="84" t="e">
        <f aca="true" t="shared" si="9" ref="L8:L28">K8/J8*100</f>
        <v>#DIV/0!</v>
      </c>
      <c r="M8" s="70">
        <f>D8+G8+J8</f>
        <v>0</v>
      </c>
      <c r="N8" s="70">
        <f>E8+H8+K8</f>
        <v>-0.5</v>
      </c>
      <c r="O8" s="84" t="e">
        <f t="shared" si="1"/>
        <v>#DIV/0!</v>
      </c>
      <c r="P8" s="34">
        <v>0</v>
      </c>
      <c r="Q8" s="34">
        <v>0</v>
      </c>
      <c r="R8" s="84" t="e">
        <f aca="true" t="shared" si="10" ref="R8:R45">Q8/P8*100</f>
        <v>#DIV/0!</v>
      </c>
      <c r="S8" s="34">
        <v>0</v>
      </c>
      <c r="T8" s="34">
        <v>0</v>
      </c>
      <c r="U8" s="9"/>
      <c r="V8" s="34"/>
      <c r="W8" s="34"/>
      <c r="X8" s="9" t="e">
        <f aca="true" t="shared" si="11" ref="X8:X28">W8/V8*100</f>
        <v>#DIV/0!</v>
      </c>
      <c r="Y8" s="70">
        <f>P8+S8+V8</f>
        <v>0</v>
      </c>
      <c r="Z8" s="70">
        <f>Q8+T8+W8</f>
        <v>0</v>
      </c>
      <c r="AA8" s="9" t="e">
        <f t="shared" si="2"/>
        <v>#DIV/0!</v>
      </c>
      <c r="AB8" s="34"/>
      <c r="AC8" s="34"/>
      <c r="AD8" s="9" t="e">
        <f t="shared" si="3"/>
        <v>#DIV/0!</v>
      </c>
      <c r="AE8" s="34"/>
      <c r="AF8" s="34"/>
      <c r="AG8" s="9" t="e">
        <f t="shared" si="4"/>
        <v>#DIV/0!</v>
      </c>
      <c r="AH8" s="34"/>
      <c r="AI8" s="34"/>
      <c r="AJ8" s="9" t="e">
        <f t="shared" si="5"/>
        <v>#DIV/0!</v>
      </c>
      <c r="AK8" s="70">
        <f aca="true" t="shared" si="12" ref="AK8:AK31">AB8+AE8+AH8</f>
        <v>0</v>
      </c>
      <c r="AL8" s="70">
        <f aca="true" t="shared" si="13" ref="AL8:AL31">AC8+AF8+AI8</f>
        <v>0</v>
      </c>
      <c r="AM8" s="9" t="e">
        <f aca="true" t="shared" si="14" ref="AM8:AM28"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0</v>
      </c>
      <c r="AU8" s="57">
        <f>N8+Z8+AL8+AO8+AQ8+AS8</f>
        <v>-0.5</v>
      </c>
      <c r="AV8" s="84" t="e">
        <f t="shared" si="6"/>
        <v>#DIV/0!</v>
      </c>
      <c r="AW8" s="57">
        <f>AT8-AU8</f>
        <v>0.5</v>
      </c>
      <c r="AX8" s="15">
        <f>C8+AT8-AU8</f>
        <v>0</v>
      </c>
      <c r="AY8" s="19">
        <f aca="true" t="shared" si="15" ref="AY8:AY45">M8+Y8+AK8+AN8+AP8+AR8</f>
        <v>0</v>
      </c>
      <c r="AZ8" s="19">
        <f aca="true" t="shared" si="16" ref="AZ8:AZ45">N8+Z8+AL8+AO8+AQ8+AS8</f>
        <v>-0.5</v>
      </c>
      <c r="BA8" s="38">
        <f aca="true" t="shared" si="17" ref="BA8:BA45">C8+AY8-AZ8</f>
        <v>0</v>
      </c>
    </row>
    <row r="9" spans="1:53" ht="34.5" customHeight="1">
      <c r="A9" s="55">
        <v>2</v>
      </c>
      <c r="B9" s="58" t="s">
        <v>65</v>
      </c>
      <c r="C9" s="12">
        <v>-34.7</v>
      </c>
      <c r="D9" s="34"/>
      <c r="E9" s="34">
        <v>-34.7</v>
      </c>
      <c r="F9" s="84" t="e">
        <f>E9/D9*100</f>
        <v>#DIV/0!</v>
      </c>
      <c r="G9" s="34">
        <v>0</v>
      </c>
      <c r="H9" s="34">
        <v>0</v>
      </c>
      <c r="I9" s="84" t="e">
        <f t="shared" si="8"/>
        <v>#DIV/0!</v>
      </c>
      <c r="J9" s="34">
        <v>0</v>
      </c>
      <c r="K9" s="34">
        <v>0</v>
      </c>
      <c r="L9" s="84" t="e">
        <f t="shared" si="9"/>
        <v>#DIV/0!</v>
      </c>
      <c r="M9" s="70">
        <f aca="true" t="shared" si="18" ref="M9:M44">D9+G9+J9</f>
        <v>0</v>
      </c>
      <c r="N9" s="70">
        <f aca="true" t="shared" si="19" ref="N9:N44">E9+H9+K9</f>
        <v>-34.7</v>
      </c>
      <c r="O9" s="84" t="e">
        <f t="shared" si="1"/>
        <v>#DIV/0!</v>
      </c>
      <c r="P9" s="34">
        <v>0</v>
      </c>
      <c r="Q9" s="34">
        <v>0</v>
      </c>
      <c r="R9" s="84" t="e">
        <f t="shared" si="10"/>
        <v>#DIV/0!</v>
      </c>
      <c r="S9" s="34">
        <v>0</v>
      </c>
      <c r="T9" s="34">
        <v>0</v>
      </c>
      <c r="U9" s="9"/>
      <c r="V9" s="34"/>
      <c r="W9" s="34"/>
      <c r="X9" s="84" t="e">
        <f t="shared" si="11"/>
        <v>#DIV/0!</v>
      </c>
      <c r="Y9" s="70">
        <f aca="true" t="shared" si="20" ref="Y9:Y28">P9+S9+V9</f>
        <v>0</v>
      </c>
      <c r="Z9" s="70">
        <f aca="true" t="shared" si="21" ref="Z9:Z28">Q9+T9+W9</f>
        <v>0</v>
      </c>
      <c r="AA9" s="9" t="e">
        <f t="shared" si="2"/>
        <v>#DIV/0!</v>
      </c>
      <c r="AB9" s="34"/>
      <c r="AC9" s="34"/>
      <c r="AD9" s="84" t="e">
        <f t="shared" si="3"/>
        <v>#DIV/0!</v>
      </c>
      <c r="AE9" s="34"/>
      <c r="AF9" s="34"/>
      <c r="AG9" s="9" t="e">
        <f t="shared" si="4"/>
        <v>#DIV/0!</v>
      </c>
      <c r="AH9" s="34"/>
      <c r="AI9" s="34"/>
      <c r="AJ9" s="9" t="e">
        <f t="shared" si="5"/>
        <v>#DIV/0!</v>
      </c>
      <c r="AK9" s="70">
        <f t="shared" si="12"/>
        <v>0</v>
      </c>
      <c r="AL9" s="70">
        <f t="shared" si="13"/>
        <v>0</v>
      </c>
      <c r="AM9" s="9" t="e">
        <f t="shared" si="14"/>
        <v>#DIV/0!</v>
      </c>
      <c r="AN9" s="34"/>
      <c r="AO9" s="34"/>
      <c r="AP9" s="34"/>
      <c r="AQ9" s="34"/>
      <c r="AR9" s="34"/>
      <c r="AS9" s="34"/>
      <c r="AT9" s="57">
        <f aca="true" t="shared" si="22" ref="AT9:AT42">M9+Y9+AK9+AN9+AP9+AR9</f>
        <v>0</v>
      </c>
      <c r="AU9" s="57">
        <f aca="true" t="shared" si="23" ref="AU9:AU42">N9+Z9+AL9+AO9+AQ9+AS9</f>
        <v>-34.7</v>
      </c>
      <c r="AV9" s="84" t="e">
        <f t="shared" si="6"/>
        <v>#DIV/0!</v>
      </c>
      <c r="AW9" s="57">
        <f aca="true" t="shared" si="24" ref="AW9:AW44">AT9-AU9</f>
        <v>34.7</v>
      </c>
      <c r="AX9" s="15">
        <f aca="true" t="shared" si="25" ref="AX9:AX44">C9+AT9-AU9</f>
        <v>0</v>
      </c>
      <c r="AY9" s="19">
        <f t="shared" si="15"/>
        <v>0</v>
      </c>
      <c r="AZ9" s="19">
        <f t="shared" si="16"/>
        <v>-34.7</v>
      </c>
      <c r="BA9" s="38">
        <f t="shared" si="17"/>
        <v>0</v>
      </c>
    </row>
    <row r="10" spans="1:53" ht="34.5" customHeight="1">
      <c r="A10" s="55">
        <v>3</v>
      </c>
      <c r="B10" s="60" t="s">
        <v>81</v>
      </c>
      <c r="C10" s="12"/>
      <c r="D10" s="34"/>
      <c r="E10" s="34"/>
      <c r="F10" s="9"/>
      <c r="G10" s="34"/>
      <c r="H10" s="34"/>
      <c r="I10" s="9"/>
      <c r="J10" s="34"/>
      <c r="K10" s="34"/>
      <c r="L10" s="9"/>
      <c r="M10" s="70"/>
      <c r="N10" s="70"/>
      <c r="O10" s="9"/>
      <c r="P10" s="34"/>
      <c r="Q10" s="34"/>
      <c r="R10" s="9"/>
      <c r="S10" s="34"/>
      <c r="T10" s="34"/>
      <c r="U10" s="101"/>
      <c r="V10" s="34"/>
      <c r="W10" s="34"/>
      <c r="X10" s="101"/>
      <c r="Y10" s="70"/>
      <c r="Z10" s="70"/>
      <c r="AA10" s="9"/>
      <c r="AB10" s="34"/>
      <c r="AC10" s="34"/>
      <c r="AD10" s="9"/>
      <c r="AE10" s="34"/>
      <c r="AF10" s="34"/>
      <c r="AG10" s="9"/>
      <c r="AH10" s="34"/>
      <c r="AI10" s="34"/>
      <c r="AJ10" s="9"/>
      <c r="AK10" s="70"/>
      <c r="AL10" s="70"/>
      <c r="AM10" s="9"/>
      <c r="AN10" s="34"/>
      <c r="AO10" s="34"/>
      <c r="AP10" s="34"/>
      <c r="AQ10" s="34"/>
      <c r="AR10" s="34"/>
      <c r="AS10" s="34"/>
      <c r="AT10" s="57"/>
      <c r="AU10" s="57"/>
      <c r="AV10" s="9"/>
      <c r="AW10" s="57"/>
      <c r="AX10" s="15"/>
      <c r="AY10" s="19">
        <f t="shared" si="15"/>
        <v>0</v>
      </c>
      <c r="AZ10" s="19">
        <f t="shared" si="16"/>
        <v>0</v>
      </c>
      <c r="BA10" s="38">
        <f t="shared" si="17"/>
        <v>0</v>
      </c>
    </row>
    <row r="11" spans="1:53" ht="34.5" customHeight="1">
      <c r="A11" s="55">
        <v>4</v>
      </c>
      <c r="B11" s="56" t="s">
        <v>50</v>
      </c>
      <c r="C11" s="12">
        <v>0</v>
      </c>
      <c r="D11" s="34">
        <v>0</v>
      </c>
      <c r="E11" s="34">
        <v>0</v>
      </c>
      <c r="F11" s="84" t="e">
        <f>E11/D11*100</f>
        <v>#DIV/0!</v>
      </c>
      <c r="G11" s="34">
        <v>0</v>
      </c>
      <c r="H11" s="34">
        <v>0</v>
      </c>
      <c r="I11" s="84" t="e">
        <f t="shared" si="8"/>
        <v>#DIV/0!</v>
      </c>
      <c r="J11" s="34">
        <v>0</v>
      </c>
      <c r="K11" s="34">
        <v>0</v>
      </c>
      <c r="L11" s="84" t="e">
        <f t="shared" si="9"/>
        <v>#DIV/0!</v>
      </c>
      <c r="M11" s="70">
        <f t="shared" si="18"/>
        <v>0</v>
      </c>
      <c r="N11" s="70">
        <f t="shared" si="19"/>
        <v>0</v>
      </c>
      <c r="O11" s="84" t="e">
        <f t="shared" si="1"/>
        <v>#DIV/0!</v>
      </c>
      <c r="P11" s="34">
        <v>0</v>
      </c>
      <c r="Q11" s="34">
        <v>0</v>
      </c>
      <c r="R11" s="84" t="e">
        <f t="shared" si="10"/>
        <v>#DIV/0!</v>
      </c>
      <c r="S11" s="34">
        <v>0</v>
      </c>
      <c r="T11" s="34">
        <v>0</v>
      </c>
      <c r="U11" s="9"/>
      <c r="V11" s="34"/>
      <c r="W11" s="34"/>
      <c r="X11" s="84" t="e">
        <f t="shared" si="11"/>
        <v>#DIV/0!</v>
      </c>
      <c r="Y11" s="70">
        <f t="shared" si="20"/>
        <v>0</v>
      </c>
      <c r="Z11" s="70">
        <f t="shared" si="21"/>
        <v>0</v>
      </c>
      <c r="AA11" s="9" t="e">
        <f t="shared" si="2"/>
        <v>#DIV/0!</v>
      </c>
      <c r="AB11" s="34"/>
      <c r="AC11" s="34"/>
      <c r="AD11" s="84" t="e">
        <f t="shared" si="3"/>
        <v>#DIV/0!</v>
      </c>
      <c r="AE11" s="34"/>
      <c r="AF11" s="34"/>
      <c r="AG11" s="84" t="e">
        <f t="shared" si="4"/>
        <v>#DIV/0!</v>
      </c>
      <c r="AH11" s="34"/>
      <c r="AI11" s="34"/>
      <c r="AJ11" s="9" t="e">
        <f t="shared" si="5"/>
        <v>#DIV/0!</v>
      </c>
      <c r="AK11" s="70">
        <f t="shared" si="12"/>
        <v>0</v>
      </c>
      <c r="AL11" s="70">
        <f t="shared" si="13"/>
        <v>0</v>
      </c>
      <c r="AM11" s="9" t="e">
        <f t="shared" si="14"/>
        <v>#DIV/0!</v>
      </c>
      <c r="AN11" s="34"/>
      <c r="AO11" s="34"/>
      <c r="AP11" s="34"/>
      <c r="AQ11" s="34"/>
      <c r="AR11" s="34"/>
      <c r="AS11" s="34"/>
      <c r="AT11" s="122">
        <f t="shared" si="22"/>
        <v>0</v>
      </c>
      <c r="AU11" s="57">
        <f t="shared" si="23"/>
        <v>0</v>
      </c>
      <c r="AV11" s="84" t="e">
        <f t="shared" si="6"/>
        <v>#DIV/0!</v>
      </c>
      <c r="AW11" s="57">
        <f t="shared" si="24"/>
        <v>0</v>
      </c>
      <c r="AX11" s="15">
        <f t="shared" si="25"/>
        <v>0</v>
      </c>
      <c r="AY11" s="19">
        <f t="shared" si="15"/>
        <v>0</v>
      </c>
      <c r="AZ11" s="19">
        <f t="shared" si="16"/>
        <v>0</v>
      </c>
      <c r="BA11" s="38">
        <f t="shared" si="17"/>
        <v>0</v>
      </c>
    </row>
    <row r="12" spans="1:53" ht="34.5" customHeight="1">
      <c r="A12" s="55">
        <v>5</v>
      </c>
      <c r="B12" s="56" t="s">
        <v>51</v>
      </c>
      <c r="C12" s="12">
        <v>0</v>
      </c>
      <c r="D12" s="34">
        <v>0</v>
      </c>
      <c r="E12" s="34">
        <v>0</v>
      </c>
      <c r="F12" s="84" t="e">
        <f>E12/D12*100</f>
        <v>#DIV/0!</v>
      </c>
      <c r="G12" s="34">
        <v>0</v>
      </c>
      <c r="H12" s="34">
        <v>0</v>
      </c>
      <c r="I12" s="84" t="e">
        <f t="shared" si="8"/>
        <v>#DIV/0!</v>
      </c>
      <c r="J12" s="34">
        <v>0</v>
      </c>
      <c r="K12" s="34">
        <v>0</v>
      </c>
      <c r="L12" s="84" t="e">
        <f t="shared" si="9"/>
        <v>#DIV/0!</v>
      </c>
      <c r="M12" s="70">
        <f t="shared" si="18"/>
        <v>0</v>
      </c>
      <c r="N12" s="70">
        <f t="shared" si="19"/>
        <v>0</v>
      </c>
      <c r="O12" s="84" t="e">
        <f t="shared" si="1"/>
        <v>#DIV/0!</v>
      </c>
      <c r="P12" s="34">
        <v>0</v>
      </c>
      <c r="Q12" s="34">
        <v>0</v>
      </c>
      <c r="R12" s="84" t="e">
        <f t="shared" si="10"/>
        <v>#DIV/0!</v>
      </c>
      <c r="S12" s="34">
        <v>0</v>
      </c>
      <c r="T12" s="34">
        <v>0</v>
      </c>
      <c r="U12" s="9"/>
      <c r="V12" s="34"/>
      <c r="W12" s="34"/>
      <c r="X12" s="84" t="e">
        <f t="shared" si="11"/>
        <v>#DIV/0!</v>
      </c>
      <c r="Y12" s="70">
        <f t="shared" si="20"/>
        <v>0</v>
      </c>
      <c r="Z12" s="70">
        <f t="shared" si="21"/>
        <v>0</v>
      </c>
      <c r="AA12" s="9" t="e">
        <f t="shared" si="2"/>
        <v>#DIV/0!</v>
      </c>
      <c r="AB12" s="34"/>
      <c r="AC12" s="34"/>
      <c r="AD12" s="84" t="e">
        <f t="shared" si="3"/>
        <v>#DIV/0!</v>
      </c>
      <c r="AE12" s="34"/>
      <c r="AF12" s="34"/>
      <c r="AG12" s="84" t="e">
        <f t="shared" si="4"/>
        <v>#DIV/0!</v>
      </c>
      <c r="AH12" s="34"/>
      <c r="AI12" s="34"/>
      <c r="AJ12" s="9" t="e">
        <f t="shared" si="5"/>
        <v>#DIV/0!</v>
      </c>
      <c r="AK12" s="70">
        <f t="shared" si="12"/>
        <v>0</v>
      </c>
      <c r="AL12" s="70">
        <f t="shared" si="13"/>
        <v>0</v>
      </c>
      <c r="AM12" s="9" t="e">
        <f t="shared" si="14"/>
        <v>#DIV/0!</v>
      </c>
      <c r="AN12" s="34"/>
      <c r="AO12" s="34"/>
      <c r="AP12" s="34"/>
      <c r="AQ12" s="34"/>
      <c r="AR12" s="34"/>
      <c r="AS12" s="34"/>
      <c r="AT12" s="57">
        <f t="shared" si="22"/>
        <v>0</v>
      </c>
      <c r="AU12" s="57">
        <f t="shared" si="23"/>
        <v>0</v>
      </c>
      <c r="AV12" s="84" t="e">
        <f t="shared" si="6"/>
        <v>#DIV/0!</v>
      </c>
      <c r="AW12" s="57">
        <f t="shared" si="24"/>
        <v>0</v>
      </c>
      <c r="AX12" s="15">
        <f t="shared" si="25"/>
        <v>0</v>
      </c>
      <c r="AY12" s="19">
        <f t="shared" si="15"/>
        <v>0</v>
      </c>
      <c r="AZ12" s="19">
        <f t="shared" si="16"/>
        <v>0</v>
      </c>
      <c r="BA12" s="38">
        <f t="shared" si="17"/>
        <v>0</v>
      </c>
    </row>
    <row r="13" spans="1:53" ht="34.5" customHeight="1">
      <c r="A13" s="55">
        <v>6</v>
      </c>
      <c r="B13" s="56" t="s">
        <v>52</v>
      </c>
      <c r="C13" s="12">
        <v>0</v>
      </c>
      <c r="D13" s="34">
        <v>0</v>
      </c>
      <c r="E13" s="34">
        <v>0</v>
      </c>
      <c r="F13" s="84" t="e">
        <f t="shared" si="7"/>
        <v>#DIV/0!</v>
      </c>
      <c r="G13" s="34">
        <v>0</v>
      </c>
      <c r="H13" s="34">
        <v>0</v>
      </c>
      <c r="I13" s="84" t="e">
        <f t="shared" si="8"/>
        <v>#DIV/0!</v>
      </c>
      <c r="J13" s="34">
        <v>0</v>
      </c>
      <c r="K13" s="34">
        <v>0</v>
      </c>
      <c r="L13" s="84" t="e">
        <f t="shared" si="9"/>
        <v>#DIV/0!</v>
      </c>
      <c r="M13" s="70">
        <f t="shared" si="18"/>
        <v>0</v>
      </c>
      <c r="N13" s="70">
        <f t="shared" si="19"/>
        <v>0</v>
      </c>
      <c r="O13" s="84" t="e">
        <f t="shared" si="1"/>
        <v>#DIV/0!</v>
      </c>
      <c r="P13" s="34">
        <v>0</v>
      </c>
      <c r="Q13" s="34">
        <v>0</v>
      </c>
      <c r="R13" s="84" t="e">
        <f t="shared" si="10"/>
        <v>#DIV/0!</v>
      </c>
      <c r="S13" s="34">
        <v>0</v>
      </c>
      <c r="T13" s="34">
        <v>0</v>
      </c>
      <c r="U13" s="101"/>
      <c r="V13" s="34"/>
      <c r="W13" s="34"/>
      <c r="X13" s="101" t="e">
        <f t="shared" si="11"/>
        <v>#DIV/0!</v>
      </c>
      <c r="Y13" s="70">
        <f t="shared" si="20"/>
        <v>0</v>
      </c>
      <c r="Z13" s="70">
        <f t="shared" si="21"/>
        <v>0</v>
      </c>
      <c r="AA13" s="9" t="e">
        <f t="shared" si="2"/>
        <v>#DIV/0!</v>
      </c>
      <c r="AB13" s="34"/>
      <c r="AC13" s="34"/>
      <c r="AD13" s="84" t="e">
        <f t="shared" si="3"/>
        <v>#DIV/0!</v>
      </c>
      <c r="AE13" s="34"/>
      <c r="AF13" s="34"/>
      <c r="AG13" s="84" t="e">
        <f t="shared" si="4"/>
        <v>#DIV/0!</v>
      </c>
      <c r="AH13" s="34"/>
      <c r="AI13" s="34"/>
      <c r="AJ13" s="9" t="e">
        <f t="shared" si="5"/>
        <v>#DIV/0!</v>
      </c>
      <c r="AK13" s="70">
        <f t="shared" si="12"/>
        <v>0</v>
      </c>
      <c r="AL13" s="70">
        <f t="shared" si="13"/>
        <v>0</v>
      </c>
      <c r="AM13" s="9" t="e">
        <f t="shared" si="14"/>
        <v>#DIV/0!</v>
      </c>
      <c r="AN13" s="34"/>
      <c r="AO13" s="34"/>
      <c r="AP13" s="34"/>
      <c r="AQ13" s="34"/>
      <c r="AR13" s="34"/>
      <c r="AS13" s="34"/>
      <c r="AT13" s="57">
        <f t="shared" si="22"/>
        <v>0</v>
      </c>
      <c r="AU13" s="57">
        <f t="shared" si="23"/>
        <v>0</v>
      </c>
      <c r="AV13" s="84" t="e">
        <f t="shared" si="6"/>
        <v>#DIV/0!</v>
      </c>
      <c r="AW13" s="57">
        <f t="shared" si="24"/>
        <v>0</v>
      </c>
      <c r="AX13" s="15">
        <f t="shared" si="25"/>
        <v>0</v>
      </c>
      <c r="AY13" s="19">
        <f t="shared" si="15"/>
        <v>0</v>
      </c>
      <c r="AZ13" s="19">
        <f t="shared" si="16"/>
        <v>0</v>
      </c>
      <c r="BA13" s="38">
        <f t="shared" si="17"/>
        <v>0</v>
      </c>
    </row>
    <row r="14" spans="1:53" ht="34.5" customHeight="1">
      <c r="A14" s="55">
        <v>7</v>
      </c>
      <c r="B14" s="56" t="s">
        <v>82</v>
      </c>
      <c r="C14" s="12">
        <v>0</v>
      </c>
      <c r="D14" s="34">
        <v>8.7</v>
      </c>
      <c r="E14" s="34">
        <v>8.7</v>
      </c>
      <c r="F14" s="9">
        <f t="shared" si="7"/>
        <v>100</v>
      </c>
      <c r="G14" s="34">
        <v>8.9</v>
      </c>
      <c r="H14" s="34">
        <v>9</v>
      </c>
      <c r="I14" s="9">
        <f t="shared" si="8"/>
        <v>101.12359550561798</v>
      </c>
      <c r="J14" s="34">
        <v>8.8</v>
      </c>
      <c r="K14" s="34">
        <v>8.7</v>
      </c>
      <c r="L14" s="84">
        <f t="shared" si="9"/>
        <v>98.86363636363635</v>
      </c>
      <c r="M14" s="70">
        <f t="shared" si="18"/>
        <v>26.400000000000002</v>
      </c>
      <c r="N14" s="70">
        <f t="shared" si="19"/>
        <v>26.4</v>
      </c>
      <c r="O14" s="9">
        <f t="shared" si="1"/>
        <v>99.99999999999999</v>
      </c>
      <c r="P14" s="34">
        <v>7.4</v>
      </c>
      <c r="Q14" s="34">
        <v>7</v>
      </c>
      <c r="R14" s="9">
        <f t="shared" si="10"/>
        <v>94.5945945945946</v>
      </c>
      <c r="S14" s="34">
        <v>7.2</v>
      </c>
      <c r="T14" s="34">
        <v>7.6</v>
      </c>
      <c r="U14" s="9"/>
      <c r="V14" s="34">
        <v>7.1</v>
      </c>
      <c r="W14" s="34">
        <v>7</v>
      </c>
      <c r="X14" s="9">
        <f t="shared" si="11"/>
        <v>98.59154929577466</v>
      </c>
      <c r="Y14" s="70">
        <f t="shared" si="20"/>
        <v>21.700000000000003</v>
      </c>
      <c r="Z14" s="70">
        <f t="shared" si="21"/>
        <v>21.6</v>
      </c>
      <c r="AA14" s="84">
        <f t="shared" si="2"/>
        <v>99.53917050691243</v>
      </c>
      <c r="AB14" s="34"/>
      <c r="AC14" s="34"/>
      <c r="AD14" s="84" t="e">
        <f t="shared" si="3"/>
        <v>#DIV/0!</v>
      </c>
      <c r="AE14" s="34"/>
      <c r="AF14" s="34"/>
      <c r="AG14" s="84" t="e">
        <f t="shared" si="4"/>
        <v>#DIV/0!</v>
      </c>
      <c r="AH14" s="34"/>
      <c r="AI14" s="34"/>
      <c r="AJ14" s="9" t="e">
        <f t="shared" si="5"/>
        <v>#DIV/0!</v>
      </c>
      <c r="AK14" s="70">
        <f t="shared" si="12"/>
        <v>0</v>
      </c>
      <c r="AL14" s="70">
        <f t="shared" si="13"/>
        <v>0</v>
      </c>
      <c r="AM14" s="9" t="e">
        <f t="shared" si="14"/>
        <v>#DIV/0!</v>
      </c>
      <c r="AN14" s="34"/>
      <c r="AO14" s="34"/>
      <c r="AP14" s="34"/>
      <c r="AQ14" s="34"/>
      <c r="AR14" s="34"/>
      <c r="AS14" s="34"/>
      <c r="AT14" s="57">
        <f t="shared" si="22"/>
        <v>48.10000000000001</v>
      </c>
      <c r="AU14" s="57">
        <f t="shared" si="23"/>
        <v>48</v>
      </c>
      <c r="AV14" s="9">
        <f t="shared" si="6"/>
        <v>99.79209979209978</v>
      </c>
      <c r="AW14" s="57">
        <f t="shared" si="24"/>
        <v>0.10000000000000853</v>
      </c>
      <c r="AX14" s="15">
        <f t="shared" si="25"/>
        <v>0.10000000000000853</v>
      </c>
      <c r="AY14" s="19">
        <f t="shared" si="15"/>
        <v>48.10000000000001</v>
      </c>
      <c r="AZ14" s="19">
        <f t="shared" si="16"/>
        <v>48</v>
      </c>
      <c r="BA14" s="38">
        <f t="shared" si="17"/>
        <v>0.10000000000000853</v>
      </c>
    </row>
    <row r="15" spans="1:53" ht="34.5" customHeight="1">
      <c r="A15" s="55">
        <v>8</v>
      </c>
      <c r="B15" s="56" t="s">
        <v>53</v>
      </c>
      <c r="C15" s="12">
        <v>-24.1</v>
      </c>
      <c r="D15" s="34">
        <v>5.2</v>
      </c>
      <c r="E15" s="34">
        <v>5.3</v>
      </c>
      <c r="F15" s="9">
        <f t="shared" si="7"/>
        <v>101.92307692307692</v>
      </c>
      <c r="G15" s="34">
        <v>8.5</v>
      </c>
      <c r="H15" s="34">
        <v>7.3</v>
      </c>
      <c r="I15" s="9">
        <f t="shared" si="8"/>
        <v>85.88235294117646</v>
      </c>
      <c r="J15" s="34">
        <v>9.4</v>
      </c>
      <c r="K15" s="34">
        <v>7.7</v>
      </c>
      <c r="L15" s="9">
        <f t="shared" si="9"/>
        <v>81.91489361702128</v>
      </c>
      <c r="M15" s="70">
        <f t="shared" si="18"/>
        <v>23.1</v>
      </c>
      <c r="N15" s="70">
        <f t="shared" si="19"/>
        <v>20.3</v>
      </c>
      <c r="O15" s="9">
        <f t="shared" si="1"/>
        <v>87.87878787878788</v>
      </c>
      <c r="P15" s="34">
        <v>9.9</v>
      </c>
      <c r="Q15" s="34">
        <v>8.4</v>
      </c>
      <c r="R15" s="9">
        <f t="shared" si="10"/>
        <v>84.84848484848484</v>
      </c>
      <c r="S15" s="34">
        <v>10.7</v>
      </c>
      <c r="T15" s="34">
        <v>8.3</v>
      </c>
      <c r="U15" s="101"/>
      <c r="V15" s="34"/>
      <c r="W15" s="34"/>
      <c r="X15" s="101" t="e">
        <f t="shared" si="11"/>
        <v>#DIV/0!</v>
      </c>
      <c r="Y15" s="70">
        <f t="shared" si="20"/>
        <v>20.6</v>
      </c>
      <c r="Z15" s="70">
        <f t="shared" si="21"/>
        <v>16.700000000000003</v>
      </c>
      <c r="AA15" s="9">
        <f t="shared" si="2"/>
        <v>81.06796116504856</v>
      </c>
      <c r="AB15" s="34"/>
      <c r="AC15" s="34"/>
      <c r="AD15" s="9" t="e">
        <f t="shared" si="3"/>
        <v>#DIV/0!</v>
      </c>
      <c r="AE15" s="34"/>
      <c r="AF15" s="34"/>
      <c r="AG15" s="9" t="e">
        <f t="shared" si="4"/>
        <v>#DIV/0!</v>
      </c>
      <c r="AH15" s="34"/>
      <c r="AI15" s="34"/>
      <c r="AJ15" s="9" t="e">
        <f t="shared" si="5"/>
        <v>#DIV/0!</v>
      </c>
      <c r="AK15" s="70">
        <f t="shared" si="12"/>
        <v>0</v>
      </c>
      <c r="AL15" s="70">
        <f t="shared" si="13"/>
        <v>0</v>
      </c>
      <c r="AM15" s="9" t="e">
        <f t="shared" si="14"/>
        <v>#DIV/0!</v>
      </c>
      <c r="AN15" s="34"/>
      <c r="AO15" s="34"/>
      <c r="AP15" s="34"/>
      <c r="AQ15" s="34"/>
      <c r="AR15" s="34"/>
      <c r="AS15" s="34"/>
      <c r="AT15" s="57">
        <f t="shared" si="22"/>
        <v>43.7</v>
      </c>
      <c r="AU15" s="57">
        <f t="shared" si="23"/>
        <v>37</v>
      </c>
      <c r="AV15" s="9">
        <f t="shared" si="6"/>
        <v>84.66819221967963</v>
      </c>
      <c r="AW15" s="57">
        <f t="shared" si="24"/>
        <v>6.700000000000003</v>
      </c>
      <c r="AX15" s="15">
        <f t="shared" si="25"/>
        <v>-17.4</v>
      </c>
      <c r="AY15" s="19">
        <f t="shared" si="15"/>
        <v>43.7</v>
      </c>
      <c r="AZ15" s="19">
        <f t="shared" si="16"/>
        <v>37</v>
      </c>
      <c r="BA15" s="38">
        <f t="shared" si="17"/>
        <v>-17.4</v>
      </c>
    </row>
    <row r="16" spans="1:53" ht="34.5" customHeight="1">
      <c r="A16" s="55">
        <v>9</v>
      </c>
      <c r="B16" s="56" t="s">
        <v>54</v>
      </c>
      <c r="C16" s="12">
        <v>0</v>
      </c>
      <c r="D16" s="34">
        <v>0</v>
      </c>
      <c r="E16" s="34">
        <v>0</v>
      </c>
      <c r="F16" s="84" t="e">
        <f t="shared" si="7"/>
        <v>#DIV/0!</v>
      </c>
      <c r="G16" s="34">
        <v>0</v>
      </c>
      <c r="H16" s="34">
        <v>0</v>
      </c>
      <c r="I16" s="84" t="e">
        <f t="shared" si="8"/>
        <v>#DIV/0!</v>
      </c>
      <c r="J16" s="34">
        <v>0</v>
      </c>
      <c r="K16" s="34">
        <v>0</v>
      </c>
      <c r="L16" s="84" t="e">
        <f t="shared" si="9"/>
        <v>#DIV/0!</v>
      </c>
      <c r="M16" s="70">
        <f t="shared" si="18"/>
        <v>0</v>
      </c>
      <c r="N16" s="70">
        <f t="shared" si="19"/>
        <v>0</v>
      </c>
      <c r="O16" s="84" t="e">
        <f t="shared" si="1"/>
        <v>#DIV/0!</v>
      </c>
      <c r="P16" s="34">
        <v>0</v>
      </c>
      <c r="Q16" s="34">
        <v>0</v>
      </c>
      <c r="R16" s="84" t="e">
        <f t="shared" si="10"/>
        <v>#DIV/0!</v>
      </c>
      <c r="S16" s="34">
        <v>0</v>
      </c>
      <c r="T16" s="34">
        <v>0</v>
      </c>
      <c r="U16" s="9"/>
      <c r="V16" s="34"/>
      <c r="W16" s="34"/>
      <c r="X16" s="9" t="e">
        <f t="shared" si="11"/>
        <v>#DIV/0!</v>
      </c>
      <c r="Y16" s="70">
        <f t="shared" si="20"/>
        <v>0</v>
      </c>
      <c r="Z16" s="70">
        <f t="shared" si="21"/>
        <v>0</v>
      </c>
      <c r="AA16" s="9" t="e">
        <f t="shared" si="2"/>
        <v>#DIV/0!</v>
      </c>
      <c r="AB16" s="34"/>
      <c r="AC16" s="34"/>
      <c r="AD16" s="84" t="e">
        <f t="shared" si="3"/>
        <v>#DIV/0!</v>
      </c>
      <c r="AE16" s="34"/>
      <c r="AF16" s="34"/>
      <c r="AG16" s="84" t="e">
        <f t="shared" si="4"/>
        <v>#DIV/0!</v>
      </c>
      <c r="AH16" s="34"/>
      <c r="AI16" s="34"/>
      <c r="AJ16" s="9" t="e">
        <f t="shared" si="5"/>
        <v>#DIV/0!</v>
      </c>
      <c r="AK16" s="70">
        <f t="shared" si="12"/>
        <v>0</v>
      </c>
      <c r="AL16" s="70">
        <f t="shared" si="13"/>
        <v>0</v>
      </c>
      <c r="AM16" s="9" t="e">
        <f t="shared" si="14"/>
        <v>#DIV/0!</v>
      </c>
      <c r="AN16" s="34"/>
      <c r="AO16" s="34"/>
      <c r="AP16" s="34"/>
      <c r="AQ16" s="34"/>
      <c r="AR16" s="34"/>
      <c r="AS16" s="34"/>
      <c r="AT16" s="57">
        <f t="shared" si="22"/>
        <v>0</v>
      </c>
      <c r="AU16" s="57">
        <f t="shared" si="23"/>
        <v>0</v>
      </c>
      <c r="AV16" s="84" t="e">
        <f t="shared" si="6"/>
        <v>#DIV/0!</v>
      </c>
      <c r="AW16" s="57">
        <f t="shared" si="24"/>
        <v>0</v>
      </c>
      <c r="AX16" s="15">
        <f t="shared" si="25"/>
        <v>0</v>
      </c>
      <c r="AY16" s="19">
        <f t="shared" si="15"/>
        <v>0</v>
      </c>
      <c r="AZ16" s="19">
        <f t="shared" si="16"/>
        <v>0</v>
      </c>
      <c r="BA16" s="38">
        <f t="shared" si="17"/>
        <v>0</v>
      </c>
    </row>
    <row r="17" spans="1:53" ht="34.5" customHeight="1">
      <c r="A17" s="55">
        <v>10</v>
      </c>
      <c r="B17" s="60" t="s">
        <v>83</v>
      </c>
      <c r="C17" s="12">
        <v>-2.7</v>
      </c>
      <c r="D17" s="34">
        <v>0</v>
      </c>
      <c r="E17" s="34">
        <v>0</v>
      </c>
      <c r="F17" s="84" t="e">
        <f t="shared" si="7"/>
        <v>#DIV/0!</v>
      </c>
      <c r="G17" s="34">
        <v>0</v>
      </c>
      <c r="H17" s="34">
        <v>0</v>
      </c>
      <c r="I17" s="84" t="e">
        <f t="shared" si="8"/>
        <v>#DIV/0!</v>
      </c>
      <c r="J17" s="34">
        <v>0</v>
      </c>
      <c r="K17" s="34">
        <v>0</v>
      </c>
      <c r="L17" s="84" t="e">
        <f t="shared" si="9"/>
        <v>#DIV/0!</v>
      </c>
      <c r="M17" s="70">
        <f t="shared" si="18"/>
        <v>0</v>
      </c>
      <c r="N17" s="70">
        <f t="shared" si="19"/>
        <v>0</v>
      </c>
      <c r="O17" s="84" t="e">
        <f t="shared" si="1"/>
        <v>#DIV/0!</v>
      </c>
      <c r="P17" s="34">
        <v>0</v>
      </c>
      <c r="Q17" s="34">
        <v>0</v>
      </c>
      <c r="R17" s="84" t="e">
        <f t="shared" si="10"/>
        <v>#DIV/0!</v>
      </c>
      <c r="S17" s="34">
        <v>0</v>
      </c>
      <c r="T17" s="34">
        <v>0</v>
      </c>
      <c r="U17" s="9"/>
      <c r="V17" s="34">
        <v>0</v>
      </c>
      <c r="W17" s="34">
        <v>0</v>
      </c>
      <c r="X17" s="9" t="e">
        <f t="shared" si="11"/>
        <v>#DIV/0!</v>
      </c>
      <c r="Y17" s="70">
        <f t="shared" si="20"/>
        <v>0</v>
      </c>
      <c r="Z17" s="70">
        <f t="shared" si="21"/>
        <v>0</v>
      </c>
      <c r="AA17" s="9" t="e">
        <f t="shared" si="2"/>
        <v>#DIV/0!</v>
      </c>
      <c r="AB17" s="34"/>
      <c r="AC17" s="34"/>
      <c r="AD17" s="84" t="e">
        <f t="shared" si="3"/>
        <v>#DIV/0!</v>
      </c>
      <c r="AE17" s="34"/>
      <c r="AF17" s="34"/>
      <c r="AG17" s="9" t="e">
        <f t="shared" si="4"/>
        <v>#DIV/0!</v>
      </c>
      <c r="AH17" s="34"/>
      <c r="AI17" s="34"/>
      <c r="AJ17" s="9" t="e">
        <f t="shared" si="5"/>
        <v>#DIV/0!</v>
      </c>
      <c r="AK17" s="70">
        <f t="shared" si="12"/>
        <v>0</v>
      </c>
      <c r="AL17" s="70">
        <f t="shared" si="13"/>
        <v>0</v>
      </c>
      <c r="AM17" s="9" t="e">
        <f t="shared" si="14"/>
        <v>#DIV/0!</v>
      </c>
      <c r="AN17" s="34"/>
      <c r="AO17" s="34"/>
      <c r="AP17" s="34"/>
      <c r="AQ17" s="34"/>
      <c r="AR17" s="34"/>
      <c r="AS17" s="34"/>
      <c r="AT17" s="57">
        <f t="shared" si="22"/>
        <v>0</v>
      </c>
      <c r="AU17" s="57">
        <f t="shared" si="23"/>
        <v>0</v>
      </c>
      <c r="AV17" s="84" t="e">
        <f t="shared" si="6"/>
        <v>#DIV/0!</v>
      </c>
      <c r="AW17" s="57">
        <f t="shared" si="24"/>
        <v>0</v>
      </c>
      <c r="AX17" s="15">
        <f t="shared" si="25"/>
        <v>-2.7</v>
      </c>
      <c r="AY17" s="19">
        <f t="shared" si="15"/>
        <v>0</v>
      </c>
      <c r="AZ17" s="19">
        <f t="shared" si="16"/>
        <v>0</v>
      </c>
      <c r="BA17" s="38">
        <f t="shared" si="17"/>
        <v>-2.7</v>
      </c>
    </row>
    <row r="18" spans="1:53" ht="34.5" customHeight="1">
      <c r="A18" s="55">
        <v>11</v>
      </c>
      <c r="B18" s="60" t="s">
        <v>55</v>
      </c>
      <c r="C18" s="12">
        <v>0</v>
      </c>
      <c r="D18" s="34">
        <v>0</v>
      </c>
      <c r="E18" s="34">
        <v>0</v>
      </c>
      <c r="F18" s="84" t="e">
        <f t="shared" si="7"/>
        <v>#DIV/0!</v>
      </c>
      <c r="G18" s="34">
        <v>0</v>
      </c>
      <c r="H18" s="34">
        <v>0</v>
      </c>
      <c r="I18" s="84" t="e">
        <f t="shared" si="8"/>
        <v>#DIV/0!</v>
      </c>
      <c r="J18" s="34">
        <v>0</v>
      </c>
      <c r="K18" s="34">
        <v>0</v>
      </c>
      <c r="L18" s="84" t="e">
        <f t="shared" si="9"/>
        <v>#DIV/0!</v>
      </c>
      <c r="M18" s="70">
        <f t="shared" si="18"/>
        <v>0</v>
      </c>
      <c r="N18" s="70">
        <f t="shared" si="19"/>
        <v>0</v>
      </c>
      <c r="O18" s="84" t="e">
        <f t="shared" si="1"/>
        <v>#DIV/0!</v>
      </c>
      <c r="P18" s="34">
        <v>0</v>
      </c>
      <c r="Q18" s="34">
        <v>0</v>
      </c>
      <c r="R18" s="84" t="e">
        <f t="shared" si="10"/>
        <v>#DIV/0!</v>
      </c>
      <c r="S18" s="34">
        <v>0</v>
      </c>
      <c r="T18" s="34">
        <v>0</v>
      </c>
      <c r="U18" s="9"/>
      <c r="V18" s="34">
        <v>0</v>
      </c>
      <c r="W18" s="34">
        <v>0</v>
      </c>
      <c r="X18" s="9" t="e">
        <f t="shared" si="11"/>
        <v>#DIV/0!</v>
      </c>
      <c r="Y18" s="70">
        <f t="shared" si="20"/>
        <v>0</v>
      </c>
      <c r="Z18" s="70">
        <f t="shared" si="21"/>
        <v>0</v>
      </c>
      <c r="AA18" s="9" t="e">
        <f t="shared" si="2"/>
        <v>#DIV/0!</v>
      </c>
      <c r="AB18" s="34"/>
      <c r="AC18" s="34"/>
      <c r="AD18" s="84" t="e">
        <f t="shared" si="3"/>
        <v>#DIV/0!</v>
      </c>
      <c r="AE18" s="34"/>
      <c r="AF18" s="34"/>
      <c r="AG18" s="84" t="e">
        <f t="shared" si="4"/>
        <v>#DIV/0!</v>
      </c>
      <c r="AH18" s="34"/>
      <c r="AI18" s="34"/>
      <c r="AJ18" s="9" t="e">
        <f t="shared" si="5"/>
        <v>#DIV/0!</v>
      </c>
      <c r="AK18" s="70">
        <f t="shared" si="12"/>
        <v>0</v>
      </c>
      <c r="AL18" s="70">
        <f t="shared" si="13"/>
        <v>0</v>
      </c>
      <c r="AM18" s="9" t="e">
        <f t="shared" si="14"/>
        <v>#DIV/0!</v>
      </c>
      <c r="AN18" s="34"/>
      <c r="AO18" s="34"/>
      <c r="AP18" s="34"/>
      <c r="AQ18" s="34"/>
      <c r="AR18" s="34"/>
      <c r="AS18" s="34"/>
      <c r="AT18" s="57">
        <f t="shared" si="22"/>
        <v>0</v>
      </c>
      <c r="AU18" s="57">
        <f t="shared" si="23"/>
        <v>0</v>
      </c>
      <c r="AV18" s="84" t="e">
        <f t="shared" si="6"/>
        <v>#DIV/0!</v>
      </c>
      <c r="AW18" s="57">
        <f t="shared" si="24"/>
        <v>0</v>
      </c>
      <c r="AX18" s="15">
        <f t="shared" si="25"/>
        <v>0</v>
      </c>
      <c r="AY18" s="19">
        <f t="shared" si="15"/>
        <v>0</v>
      </c>
      <c r="AZ18" s="19">
        <f t="shared" si="16"/>
        <v>0</v>
      </c>
      <c r="BA18" s="38">
        <f t="shared" si="17"/>
        <v>0</v>
      </c>
    </row>
    <row r="19" spans="1:53" ht="34.5" customHeight="1">
      <c r="A19" s="55">
        <v>12</v>
      </c>
      <c r="B19" s="56" t="s">
        <v>56</v>
      </c>
      <c r="C19" s="12">
        <v>-335.8</v>
      </c>
      <c r="D19" s="34">
        <v>0</v>
      </c>
      <c r="E19" s="34">
        <v>0</v>
      </c>
      <c r="F19" s="84" t="e">
        <f t="shared" si="7"/>
        <v>#DIV/0!</v>
      </c>
      <c r="G19" s="34">
        <v>0</v>
      </c>
      <c r="H19" s="34">
        <v>0</v>
      </c>
      <c r="I19" s="84" t="e">
        <f t="shared" si="8"/>
        <v>#DIV/0!</v>
      </c>
      <c r="J19" s="34">
        <v>0</v>
      </c>
      <c r="K19" s="34">
        <v>0</v>
      </c>
      <c r="L19" s="84" t="e">
        <f t="shared" si="9"/>
        <v>#DIV/0!</v>
      </c>
      <c r="M19" s="70">
        <f t="shared" si="18"/>
        <v>0</v>
      </c>
      <c r="N19" s="70">
        <f t="shared" si="19"/>
        <v>0</v>
      </c>
      <c r="O19" s="84" t="e">
        <f t="shared" si="1"/>
        <v>#DIV/0!</v>
      </c>
      <c r="P19" s="34">
        <v>0</v>
      </c>
      <c r="Q19" s="34">
        <v>0</v>
      </c>
      <c r="R19" s="84" t="e">
        <f t="shared" si="10"/>
        <v>#DIV/0!</v>
      </c>
      <c r="S19" s="34">
        <v>0</v>
      </c>
      <c r="T19" s="34">
        <v>0</v>
      </c>
      <c r="U19" s="101"/>
      <c r="V19" s="34"/>
      <c r="W19" s="34"/>
      <c r="X19" s="101" t="e">
        <f t="shared" si="11"/>
        <v>#DIV/0!</v>
      </c>
      <c r="Y19" s="70">
        <f t="shared" si="20"/>
        <v>0</v>
      </c>
      <c r="Z19" s="70">
        <f t="shared" si="21"/>
        <v>0</v>
      </c>
      <c r="AA19" s="9" t="e">
        <f t="shared" si="2"/>
        <v>#DIV/0!</v>
      </c>
      <c r="AB19" s="34"/>
      <c r="AC19" s="34"/>
      <c r="AD19" s="9" t="e">
        <f t="shared" si="3"/>
        <v>#DIV/0!</v>
      </c>
      <c r="AE19" s="34"/>
      <c r="AF19" s="34"/>
      <c r="AG19" s="84" t="e">
        <f t="shared" si="4"/>
        <v>#DIV/0!</v>
      </c>
      <c r="AH19" s="34"/>
      <c r="AI19" s="34"/>
      <c r="AJ19" s="9" t="e">
        <f t="shared" si="5"/>
        <v>#DIV/0!</v>
      </c>
      <c r="AK19" s="70">
        <f t="shared" si="12"/>
        <v>0</v>
      </c>
      <c r="AL19" s="70">
        <f t="shared" si="13"/>
        <v>0</v>
      </c>
      <c r="AM19" s="9" t="e">
        <f t="shared" si="14"/>
        <v>#DIV/0!</v>
      </c>
      <c r="AN19" s="34"/>
      <c r="AO19" s="34"/>
      <c r="AP19" s="34"/>
      <c r="AQ19" s="34"/>
      <c r="AR19" s="34"/>
      <c r="AS19" s="34"/>
      <c r="AT19" s="57">
        <f t="shared" si="22"/>
        <v>0</v>
      </c>
      <c r="AU19" s="57">
        <f t="shared" si="23"/>
        <v>0</v>
      </c>
      <c r="AV19" s="84" t="e">
        <f t="shared" si="6"/>
        <v>#DIV/0!</v>
      </c>
      <c r="AW19" s="57">
        <f t="shared" si="24"/>
        <v>0</v>
      </c>
      <c r="AX19" s="15">
        <f t="shared" si="25"/>
        <v>-335.8</v>
      </c>
      <c r="AY19" s="19">
        <f t="shared" si="15"/>
        <v>0</v>
      </c>
      <c r="AZ19" s="19">
        <f t="shared" si="16"/>
        <v>0</v>
      </c>
      <c r="BA19" s="38">
        <f t="shared" si="17"/>
        <v>-335.8</v>
      </c>
    </row>
    <row r="20" spans="1:53" ht="34.5" customHeight="1">
      <c r="A20" s="55">
        <v>13</v>
      </c>
      <c r="B20" s="60" t="s">
        <v>57</v>
      </c>
      <c r="C20" s="12">
        <v>0</v>
      </c>
      <c r="D20" s="34">
        <v>11.3</v>
      </c>
      <c r="E20" s="34">
        <v>6.8</v>
      </c>
      <c r="F20" s="9">
        <f t="shared" si="7"/>
        <v>60.17699115044247</v>
      </c>
      <c r="G20" s="34">
        <v>23.1</v>
      </c>
      <c r="H20" s="34">
        <v>16.5</v>
      </c>
      <c r="I20" s="84">
        <f t="shared" si="8"/>
        <v>71.42857142857142</v>
      </c>
      <c r="J20" s="34">
        <v>19.62</v>
      </c>
      <c r="K20" s="34">
        <v>13.89</v>
      </c>
      <c r="L20" s="106">
        <f t="shared" si="9"/>
        <v>70.79510703363916</v>
      </c>
      <c r="M20" s="70">
        <f t="shared" si="18"/>
        <v>54.02000000000001</v>
      </c>
      <c r="N20" s="70">
        <f t="shared" si="19"/>
        <v>37.19</v>
      </c>
      <c r="O20" s="9">
        <f t="shared" si="1"/>
        <v>68.84487226952979</v>
      </c>
      <c r="P20" s="34">
        <v>17.11</v>
      </c>
      <c r="Q20" s="34">
        <v>13.68</v>
      </c>
      <c r="R20" s="9">
        <f t="shared" si="10"/>
        <v>79.9532437171245</v>
      </c>
      <c r="S20" s="34">
        <v>30.7</v>
      </c>
      <c r="T20" s="34">
        <v>24.2</v>
      </c>
      <c r="U20" s="101"/>
      <c r="V20" s="34">
        <v>27.8</v>
      </c>
      <c r="W20" s="34">
        <v>21.9</v>
      </c>
      <c r="X20" s="101">
        <f t="shared" si="11"/>
        <v>78.77697841726618</v>
      </c>
      <c r="Y20" s="70">
        <f t="shared" si="20"/>
        <v>75.61</v>
      </c>
      <c r="Z20" s="70">
        <f t="shared" si="21"/>
        <v>59.779999999999994</v>
      </c>
      <c r="AA20" s="9">
        <f t="shared" si="2"/>
        <v>79.0636159238196</v>
      </c>
      <c r="AB20" s="34"/>
      <c r="AC20" s="34"/>
      <c r="AD20" s="84" t="e">
        <f t="shared" si="3"/>
        <v>#DIV/0!</v>
      </c>
      <c r="AE20" s="34"/>
      <c r="AF20" s="34"/>
      <c r="AG20" s="84" t="e">
        <f t="shared" si="4"/>
        <v>#DIV/0!</v>
      </c>
      <c r="AH20" s="34"/>
      <c r="AI20" s="34"/>
      <c r="AJ20" s="9" t="e">
        <f t="shared" si="5"/>
        <v>#DIV/0!</v>
      </c>
      <c r="AK20" s="70">
        <f t="shared" si="12"/>
        <v>0</v>
      </c>
      <c r="AL20" s="70">
        <f t="shared" si="13"/>
        <v>0</v>
      </c>
      <c r="AM20" s="9" t="e">
        <f t="shared" si="14"/>
        <v>#DIV/0!</v>
      </c>
      <c r="AN20" s="34"/>
      <c r="AO20" s="34"/>
      <c r="AP20" s="34"/>
      <c r="AQ20" s="34"/>
      <c r="AR20" s="34"/>
      <c r="AS20" s="34"/>
      <c r="AT20" s="57">
        <f t="shared" si="22"/>
        <v>129.63</v>
      </c>
      <c r="AU20" s="57">
        <f t="shared" si="23"/>
        <v>96.97</v>
      </c>
      <c r="AV20" s="9">
        <f t="shared" si="6"/>
        <v>74.8052148422433</v>
      </c>
      <c r="AW20" s="57">
        <f t="shared" si="24"/>
        <v>32.66</v>
      </c>
      <c r="AX20" s="15">
        <f t="shared" si="25"/>
        <v>32.66</v>
      </c>
      <c r="AY20" s="19">
        <f t="shared" si="15"/>
        <v>129.63</v>
      </c>
      <c r="AZ20" s="19">
        <f t="shared" si="16"/>
        <v>96.97</v>
      </c>
      <c r="BA20" s="38">
        <f t="shared" si="17"/>
        <v>32.66</v>
      </c>
    </row>
    <row r="21" spans="1:53" ht="34.5" customHeight="1">
      <c r="A21" s="55">
        <v>14</v>
      </c>
      <c r="B21" s="60" t="s">
        <v>58</v>
      </c>
      <c r="C21" s="12">
        <v>0</v>
      </c>
      <c r="D21" s="34">
        <v>0</v>
      </c>
      <c r="E21" s="34">
        <v>0</v>
      </c>
      <c r="F21" s="84" t="e">
        <f t="shared" si="7"/>
        <v>#DIV/0!</v>
      </c>
      <c r="G21" s="34">
        <v>0</v>
      </c>
      <c r="H21" s="34">
        <v>0</v>
      </c>
      <c r="I21" s="84" t="e">
        <f t="shared" si="8"/>
        <v>#DIV/0!</v>
      </c>
      <c r="J21" s="34">
        <v>0</v>
      </c>
      <c r="K21" s="34">
        <v>0</v>
      </c>
      <c r="L21" s="84" t="e">
        <f t="shared" si="9"/>
        <v>#DIV/0!</v>
      </c>
      <c r="M21" s="70">
        <f t="shared" si="18"/>
        <v>0</v>
      </c>
      <c r="N21" s="70">
        <f t="shared" si="19"/>
        <v>0</v>
      </c>
      <c r="O21" s="84" t="e">
        <f t="shared" si="1"/>
        <v>#DIV/0!</v>
      </c>
      <c r="P21" s="34">
        <v>0</v>
      </c>
      <c r="Q21" s="34">
        <v>0</v>
      </c>
      <c r="R21" s="84" t="e">
        <f t="shared" si="10"/>
        <v>#DIV/0!</v>
      </c>
      <c r="S21" s="34">
        <v>0</v>
      </c>
      <c r="T21" s="34">
        <v>0</v>
      </c>
      <c r="U21" s="101"/>
      <c r="V21" s="34"/>
      <c r="W21" s="34"/>
      <c r="X21" s="101" t="e">
        <f t="shared" si="11"/>
        <v>#DIV/0!</v>
      </c>
      <c r="Y21" s="70">
        <f t="shared" si="20"/>
        <v>0</v>
      </c>
      <c r="Z21" s="70">
        <f t="shared" si="21"/>
        <v>0</v>
      </c>
      <c r="AA21" s="9" t="e">
        <f t="shared" si="2"/>
        <v>#DIV/0!</v>
      </c>
      <c r="AB21" s="34"/>
      <c r="AC21" s="34"/>
      <c r="AD21" s="9" t="e">
        <f t="shared" si="3"/>
        <v>#DIV/0!</v>
      </c>
      <c r="AE21" s="34"/>
      <c r="AF21" s="34"/>
      <c r="AG21" s="84" t="e">
        <f t="shared" si="4"/>
        <v>#DIV/0!</v>
      </c>
      <c r="AH21" s="34"/>
      <c r="AI21" s="34"/>
      <c r="AJ21" s="9" t="e">
        <f t="shared" si="5"/>
        <v>#DIV/0!</v>
      </c>
      <c r="AK21" s="70">
        <f t="shared" si="12"/>
        <v>0</v>
      </c>
      <c r="AL21" s="70">
        <f t="shared" si="13"/>
        <v>0</v>
      </c>
      <c r="AM21" s="9" t="e">
        <f t="shared" si="14"/>
        <v>#DIV/0!</v>
      </c>
      <c r="AN21" s="34"/>
      <c r="AO21" s="34"/>
      <c r="AP21" s="34"/>
      <c r="AQ21" s="34"/>
      <c r="AR21" s="34"/>
      <c r="AS21" s="34"/>
      <c r="AT21" s="57">
        <f t="shared" si="22"/>
        <v>0</v>
      </c>
      <c r="AU21" s="57">
        <f t="shared" si="23"/>
        <v>0</v>
      </c>
      <c r="AV21" s="84" t="e">
        <f t="shared" si="6"/>
        <v>#DIV/0!</v>
      </c>
      <c r="AW21" s="57">
        <f t="shared" si="24"/>
        <v>0</v>
      </c>
      <c r="AX21" s="15">
        <f t="shared" si="25"/>
        <v>0</v>
      </c>
      <c r="AY21" s="19">
        <f t="shared" si="15"/>
        <v>0</v>
      </c>
      <c r="AZ21" s="19">
        <f t="shared" si="16"/>
        <v>0</v>
      </c>
      <c r="BA21" s="38">
        <f t="shared" si="17"/>
        <v>0</v>
      </c>
    </row>
    <row r="22" spans="1:53" ht="34.5" customHeight="1">
      <c r="A22" s="55">
        <v>15</v>
      </c>
      <c r="B22" s="60" t="s">
        <v>41</v>
      </c>
      <c r="C22" s="12">
        <v>0</v>
      </c>
      <c r="D22" s="34">
        <v>0</v>
      </c>
      <c r="E22" s="34">
        <v>0</v>
      </c>
      <c r="F22" s="84" t="e">
        <f t="shared" si="7"/>
        <v>#DIV/0!</v>
      </c>
      <c r="G22" s="34">
        <v>0</v>
      </c>
      <c r="H22" s="34">
        <v>0</v>
      </c>
      <c r="I22" s="84" t="e">
        <f t="shared" si="8"/>
        <v>#DIV/0!</v>
      </c>
      <c r="J22" s="34">
        <v>0</v>
      </c>
      <c r="K22" s="34">
        <v>0</v>
      </c>
      <c r="L22" s="84" t="e">
        <f t="shared" si="9"/>
        <v>#DIV/0!</v>
      </c>
      <c r="M22" s="70">
        <f t="shared" si="18"/>
        <v>0</v>
      </c>
      <c r="N22" s="70">
        <f t="shared" si="19"/>
        <v>0</v>
      </c>
      <c r="O22" s="84" t="e">
        <f t="shared" si="1"/>
        <v>#DIV/0!</v>
      </c>
      <c r="P22" s="34">
        <v>0</v>
      </c>
      <c r="Q22" s="34">
        <v>0</v>
      </c>
      <c r="R22" s="84" t="e">
        <f t="shared" si="10"/>
        <v>#DIV/0!</v>
      </c>
      <c r="S22" s="34">
        <v>12.1</v>
      </c>
      <c r="T22" s="34">
        <v>12</v>
      </c>
      <c r="U22" s="101"/>
      <c r="V22" s="34"/>
      <c r="W22" s="34"/>
      <c r="X22" s="101" t="e">
        <f t="shared" si="11"/>
        <v>#DIV/0!</v>
      </c>
      <c r="Y22" s="70">
        <f t="shared" si="20"/>
        <v>12.1</v>
      </c>
      <c r="Z22" s="70">
        <f t="shared" si="21"/>
        <v>12</v>
      </c>
      <c r="AA22" s="9">
        <f t="shared" si="2"/>
        <v>99.17355371900827</v>
      </c>
      <c r="AB22" s="34"/>
      <c r="AC22" s="34"/>
      <c r="AD22" s="9" t="e">
        <f t="shared" si="3"/>
        <v>#DIV/0!</v>
      </c>
      <c r="AE22" s="34"/>
      <c r="AF22" s="34"/>
      <c r="AG22" s="9" t="e">
        <f t="shared" si="4"/>
        <v>#DIV/0!</v>
      </c>
      <c r="AH22" s="34"/>
      <c r="AI22" s="34"/>
      <c r="AJ22" s="9" t="e">
        <f t="shared" si="5"/>
        <v>#DIV/0!</v>
      </c>
      <c r="AK22" s="70">
        <f t="shared" si="12"/>
        <v>0</v>
      </c>
      <c r="AL22" s="70">
        <f t="shared" si="13"/>
        <v>0</v>
      </c>
      <c r="AM22" s="9" t="e">
        <f t="shared" si="14"/>
        <v>#DIV/0!</v>
      </c>
      <c r="AN22" s="34"/>
      <c r="AO22" s="34"/>
      <c r="AP22" s="34"/>
      <c r="AQ22" s="34"/>
      <c r="AR22" s="34"/>
      <c r="AS22" s="34"/>
      <c r="AT22" s="57">
        <f t="shared" si="22"/>
        <v>12.1</v>
      </c>
      <c r="AU22" s="57">
        <f t="shared" si="23"/>
        <v>12</v>
      </c>
      <c r="AV22" s="84">
        <f t="shared" si="6"/>
        <v>99.17355371900827</v>
      </c>
      <c r="AW22" s="57">
        <f t="shared" si="24"/>
        <v>0.09999999999999964</v>
      </c>
      <c r="AX22" s="15">
        <f t="shared" si="25"/>
        <v>0.09999999999999964</v>
      </c>
      <c r="AY22" s="19">
        <f t="shared" si="15"/>
        <v>12.1</v>
      </c>
      <c r="AZ22" s="19">
        <f t="shared" si="16"/>
        <v>12</v>
      </c>
      <c r="BA22" s="38">
        <f t="shared" si="17"/>
        <v>0.09999999999999964</v>
      </c>
    </row>
    <row r="23" spans="1:53" ht="34.5" customHeight="1">
      <c r="A23" s="55">
        <v>16</v>
      </c>
      <c r="B23" s="60" t="s">
        <v>84</v>
      </c>
      <c r="C23" s="12">
        <v>0</v>
      </c>
      <c r="D23" s="34">
        <v>0.9</v>
      </c>
      <c r="E23" s="34">
        <v>0.9</v>
      </c>
      <c r="F23" s="9">
        <f t="shared" si="7"/>
        <v>100</v>
      </c>
      <c r="G23" s="34">
        <v>0.5</v>
      </c>
      <c r="H23" s="34">
        <v>0.5</v>
      </c>
      <c r="I23" s="84">
        <f t="shared" si="8"/>
        <v>100</v>
      </c>
      <c r="J23" s="34">
        <v>0.8</v>
      </c>
      <c r="K23" s="34">
        <v>0.8</v>
      </c>
      <c r="L23" s="84">
        <f t="shared" si="9"/>
        <v>100</v>
      </c>
      <c r="M23" s="70">
        <f t="shared" si="18"/>
        <v>2.2</v>
      </c>
      <c r="N23" s="70">
        <f t="shared" si="19"/>
        <v>2.2</v>
      </c>
      <c r="O23" s="9">
        <f t="shared" si="1"/>
        <v>100</v>
      </c>
      <c r="P23" s="34">
        <v>0.5</v>
      </c>
      <c r="Q23" s="34">
        <v>0.5</v>
      </c>
      <c r="R23" s="9">
        <f t="shared" si="10"/>
        <v>100</v>
      </c>
      <c r="S23" s="34">
        <v>0.6</v>
      </c>
      <c r="T23" s="34">
        <v>0.6</v>
      </c>
      <c r="U23" s="9"/>
      <c r="V23" s="34"/>
      <c r="W23" s="34"/>
      <c r="X23" s="84" t="e">
        <f t="shared" si="11"/>
        <v>#DIV/0!</v>
      </c>
      <c r="Y23" s="70">
        <f t="shared" si="20"/>
        <v>1.1</v>
      </c>
      <c r="Z23" s="70">
        <f t="shared" si="21"/>
        <v>1.1</v>
      </c>
      <c r="AA23" s="9">
        <f t="shared" si="2"/>
        <v>100</v>
      </c>
      <c r="AB23" s="34"/>
      <c r="AC23" s="34"/>
      <c r="AD23" s="84" t="e">
        <f t="shared" si="3"/>
        <v>#DIV/0!</v>
      </c>
      <c r="AE23" s="34"/>
      <c r="AF23" s="34"/>
      <c r="AG23" s="84" t="e">
        <f t="shared" si="4"/>
        <v>#DIV/0!</v>
      </c>
      <c r="AH23" s="34"/>
      <c r="AI23" s="34"/>
      <c r="AJ23" s="9" t="e">
        <f t="shared" si="5"/>
        <v>#DIV/0!</v>
      </c>
      <c r="AK23" s="70">
        <f t="shared" si="12"/>
        <v>0</v>
      </c>
      <c r="AL23" s="70">
        <f t="shared" si="13"/>
        <v>0</v>
      </c>
      <c r="AM23" s="9" t="e">
        <f t="shared" si="14"/>
        <v>#DIV/0!</v>
      </c>
      <c r="AN23" s="34"/>
      <c r="AO23" s="34"/>
      <c r="AP23" s="34"/>
      <c r="AQ23" s="34"/>
      <c r="AR23" s="34"/>
      <c r="AS23" s="34"/>
      <c r="AT23" s="57">
        <f t="shared" si="22"/>
        <v>3.3000000000000003</v>
      </c>
      <c r="AU23" s="57">
        <f t="shared" si="23"/>
        <v>3.3000000000000003</v>
      </c>
      <c r="AV23" s="9">
        <f t="shared" si="6"/>
        <v>100</v>
      </c>
      <c r="AW23" s="57">
        <f t="shared" si="24"/>
        <v>0</v>
      </c>
      <c r="AX23" s="15">
        <f t="shared" si="25"/>
        <v>0</v>
      </c>
      <c r="AY23" s="19">
        <f t="shared" si="15"/>
        <v>3.3000000000000003</v>
      </c>
      <c r="AZ23" s="19">
        <f t="shared" si="16"/>
        <v>3.3000000000000003</v>
      </c>
      <c r="BA23" s="38">
        <f t="shared" si="17"/>
        <v>0</v>
      </c>
    </row>
    <row r="24" spans="1:53" ht="34.5" customHeight="1">
      <c r="A24" s="55">
        <v>17</v>
      </c>
      <c r="B24" s="60" t="s">
        <v>40</v>
      </c>
      <c r="C24" s="12">
        <v>0</v>
      </c>
      <c r="D24" s="34">
        <v>0</v>
      </c>
      <c r="E24" s="34">
        <v>0</v>
      </c>
      <c r="F24" s="84" t="e">
        <f t="shared" si="7"/>
        <v>#DIV/0!</v>
      </c>
      <c r="G24" s="34">
        <v>0</v>
      </c>
      <c r="H24" s="34">
        <v>0</v>
      </c>
      <c r="I24" s="84" t="e">
        <f t="shared" si="8"/>
        <v>#DIV/0!</v>
      </c>
      <c r="J24" s="34">
        <v>0</v>
      </c>
      <c r="K24" s="34">
        <v>0</v>
      </c>
      <c r="L24" s="84" t="e">
        <f t="shared" si="9"/>
        <v>#DIV/0!</v>
      </c>
      <c r="M24" s="70">
        <f t="shared" si="18"/>
        <v>0</v>
      </c>
      <c r="N24" s="70">
        <f t="shared" si="19"/>
        <v>0</v>
      </c>
      <c r="O24" s="84" t="e">
        <f t="shared" si="1"/>
        <v>#DIV/0!</v>
      </c>
      <c r="P24" s="34">
        <v>0</v>
      </c>
      <c r="Q24" s="34">
        <v>0</v>
      </c>
      <c r="R24" s="84" t="e">
        <f t="shared" si="10"/>
        <v>#DIV/0!</v>
      </c>
      <c r="S24" s="34">
        <v>0</v>
      </c>
      <c r="T24" s="34">
        <v>0</v>
      </c>
      <c r="U24" s="9"/>
      <c r="V24" s="34"/>
      <c r="W24" s="34"/>
      <c r="X24" s="9" t="e">
        <f t="shared" si="11"/>
        <v>#DIV/0!</v>
      </c>
      <c r="Y24" s="70">
        <f t="shared" si="20"/>
        <v>0</v>
      </c>
      <c r="Z24" s="70">
        <f t="shared" si="21"/>
        <v>0</v>
      </c>
      <c r="AA24" s="9" t="e">
        <f t="shared" si="2"/>
        <v>#DIV/0!</v>
      </c>
      <c r="AB24" s="34"/>
      <c r="AC24" s="34"/>
      <c r="AD24" s="84" t="e">
        <f t="shared" si="3"/>
        <v>#DIV/0!</v>
      </c>
      <c r="AE24" s="34"/>
      <c r="AF24" s="34"/>
      <c r="AG24" s="9" t="e">
        <f t="shared" si="4"/>
        <v>#DIV/0!</v>
      </c>
      <c r="AH24" s="34"/>
      <c r="AI24" s="34"/>
      <c r="AJ24" s="9" t="e">
        <f t="shared" si="5"/>
        <v>#DIV/0!</v>
      </c>
      <c r="AK24" s="70">
        <f t="shared" si="12"/>
        <v>0</v>
      </c>
      <c r="AL24" s="70">
        <f t="shared" si="13"/>
        <v>0</v>
      </c>
      <c r="AM24" s="9" t="e">
        <f t="shared" si="14"/>
        <v>#DIV/0!</v>
      </c>
      <c r="AN24" s="34"/>
      <c r="AO24" s="34"/>
      <c r="AP24" s="34"/>
      <c r="AQ24" s="34"/>
      <c r="AR24" s="34"/>
      <c r="AS24" s="34"/>
      <c r="AT24" s="57">
        <f t="shared" si="22"/>
        <v>0</v>
      </c>
      <c r="AU24" s="57">
        <f t="shared" si="23"/>
        <v>0</v>
      </c>
      <c r="AV24" s="84" t="e">
        <f t="shared" si="6"/>
        <v>#DIV/0!</v>
      </c>
      <c r="AW24" s="57">
        <f t="shared" si="24"/>
        <v>0</v>
      </c>
      <c r="AX24" s="15">
        <f t="shared" si="25"/>
        <v>0</v>
      </c>
      <c r="AY24" s="19">
        <f t="shared" si="15"/>
        <v>0</v>
      </c>
      <c r="AZ24" s="19">
        <f t="shared" si="16"/>
        <v>0</v>
      </c>
      <c r="BA24" s="38">
        <f t="shared" si="17"/>
        <v>0</v>
      </c>
    </row>
    <row r="25" spans="1:53" ht="34.5" customHeight="1">
      <c r="A25" s="55">
        <v>18</v>
      </c>
      <c r="B25" s="56" t="s">
        <v>43</v>
      </c>
      <c r="C25" s="12">
        <v>-71.2</v>
      </c>
      <c r="D25" s="34">
        <v>0</v>
      </c>
      <c r="E25" s="34">
        <v>0</v>
      </c>
      <c r="F25" s="84" t="e">
        <f t="shared" si="7"/>
        <v>#DIV/0!</v>
      </c>
      <c r="G25" s="34"/>
      <c r="H25" s="34"/>
      <c r="I25" s="84" t="e">
        <f t="shared" si="8"/>
        <v>#DIV/0!</v>
      </c>
      <c r="J25" s="34">
        <v>0</v>
      </c>
      <c r="K25" s="34">
        <v>0</v>
      </c>
      <c r="L25" s="84" t="e">
        <f t="shared" si="9"/>
        <v>#DIV/0!</v>
      </c>
      <c r="M25" s="70">
        <f t="shared" si="18"/>
        <v>0</v>
      </c>
      <c r="N25" s="70">
        <f t="shared" si="19"/>
        <v>0</v>
      </c>
      <c r="O25" s="84" t="e">
        <f t="shared" si="1"/>
        <v>#DIV/0!</v>
      </c>
      <c r="P25" s="34">
        <v>0</v>
      </c>
      <c r="Q25" s="34">
        <v>0</v>
      </c>
      <c r="R25" s="84" t="e">
        <f t="shared" si="10"/>
        <v>#DIV/0!</v>
      </c>
      <c r="S25" s="34">
        <v>0</v>
      </c>
      <c r="T25" s="34">
        <v>0</v>
      </c>
      <c r="U25" s="9"/>
      <c r="V25" s="34">
        <v>0</v>
      </c>
      <c r="W25" s="34">
        <v>0</v>
      </c>
      <c r="X25" s="9" t="e">
        <f t="shared" si="11"/>
        <v>#DIV/0!</v>
      </c>
      <c r="Y25" s="70">
        <f t="shared" si="20"/>
        <v>0</v>
      </c>
      <c r="Z25" s="70">
        <f t="shared" si="21"/>
        <v>0</v>
      </c>
      <c r="AA25" s="9" t="e">
        <f t="shared" si="2"/>
        <v>#DIV/0!</v>
      </c>
      <c r="AB25" s="34"/>
      <c r="AC25" s="34"/>
      <c r="AD25" s="84" t="e">
        <f t="shared" si="3"/>
        <v>#DIV/0!</v>
      </c>
      <c r="AE25" s="34"/>
      <c r="AF25" s="34"/>
      <c r="AG25" s="9" t="e">
        <f t="shared" si="4"/>
        <v>#DIV/0!</v>
      </c>
      <c r="AH25" s="34"/>
      <c r="AI25" s="34"/>
      <c r="AJ25" s="9" t="e">
        <f t="shared" si="5"/>
        <v>#DIV/0!</v>
      </c>
      <c r="AK25" s="70">
        <f t="shared" si="12"/>
        <v>0</v>
      </c>
      <c r="AL25" s="70">
        <f t="shared" si="13"/>
        <v>0</v>
      </c>
      <c r="AM25" s="84" t="e">
        <f t="shared" si="14"/>
        <v>#DIV/0!</v>
      </c>
      <c r="AN25" s="34"/>
      <c r="AO25" s="34"/>
      <c r="AP25" s="34"/>
      <c r="AQ25" s="34"/>
      <c r="AR25" s="34"/>
      <c r="AS25" s="34"/>
      <c r="AT25" s="57">
        <f t="shared" si="22"/>
        <v>0</v>
      </c>
      <c r="AU25" s="57">
        <f t="shared" si="23"/>
        <v>0</v>
      </c>
      <c r="AV25" s="84" t="e">
        <f t="shared" si="6"/>
        <v>#DIV/0!</v>
      </c>
      <c r="AW25" s="57">
        <f t="shared" si="24"/>
        <v>0</v>
      </c>
      <c r="AX25" s="15">
        <f t="shared" si="25"/>
        <v>-71.2</v>
      </c>
      <c r="AY25" s="19">
        <f t="shared" si="15"/>
        <v>0</v>
      </c>
      <c r="AZ25" s="19">
        <f t="shared" si="16"/>
        <v>0</v>
      </c>
      <c r="BA25" s="38">
        <f t="shared" si="17"/>
        <v>-71.2</v>
      </c>
    </row>
    <row r="26" spans="1:53" ht="34.5" customHeight="1">
      <c r="A26" s="55">
        <v>19</v>
      </c>
      <c r="B26" s="60" t="s">
        <v>85</v>
      </c>
      <c r="C26" s="12">
        <v>0</v>
      </c>
      <c r="D26" s="34">
        <v>0</v>
      </c>
      <c r="E26" s="34">
        <v>0</v>
      </c>
      <c r="F26" s="84" t="e">
        <f t="shared" si="7"/>
        <v>#DIV/0!</v>
      </c>
      <c r="G26" s="34">
        <v>0</v>
      </c>
      <c r="H26" s="34">
        <v>0</v>
      </c>
      <c r="I26" s="84" t="e">
        <f t="shared" si="8"/>
        <v>#DIV/0!</v>
      </c>
      <c r="J26" s="34">
        <v>0</v>
      </c>
      <c r="K26" s="34">
        <v>0</v>
      </c>
      <c r="L26" s="84" t="e">
        <f t="shared" si="9"/>
        <v>#DIV/0!</v>
      </c>
      <c r="M26" s="70">
        <f t="shared" si="18"/>
        <v>0</v>
      </c>
      <c r="N26" s="70">
        <f t="shared" si="19"/>
        <v>0</v>
      </c>
      <c r="O26" s="84" t="e">
        <f t="shared" si="1"/>
        <v>#DIV/0!</v>
      </c>
      <c r="P26" s="34">
        <v>0</v>
      </c>
      <c r="Q26" s="34">
        <v>0</v>
      </c>
      <c r="R26" s="84" t="e">
        <f t="shared" si="10"/>
        <v>#DIV/0!</v>
      </c>
      <c r="S26" s="34">
        <v>0</v>
      </c>
      <c r="T26" s="34">
        <v>0</v>
      </c>
      <c r="U26" s="9"/>
      <c r="V26" s="34"/>
      <c r="W26" s="34"/>
      <c r="X26" s="9" t="e">
        <f t="shared" si="11"/>
        <v>#DIV/0!</v>
      </c>
      <c r="Y26" s="70">
        <f t="shared" si="20"/>
        <v>0</v>
      </c>
      <c r="Z26" s="70">
        <f t="shared" si="21"/>
        <v>0</v>
      </c>
      <c r="AA26" s="9" t="e">
        <f t="shared" si="2"/>
        <v>#DIV/0!</v>
      </c>
      <c r="AB26" s="34"/>
      <c r="AC26" s="34"/>
      <c r="AD26" s="84" t="e">
        <f t="shared" si="3"/>
        <v>#DIV/0!</v>
      </c>
      <c r="AE26" s="34"/>
      <c r="AF26" s="34"/>
      <c r="AG26" s="84" t="e">
        <f t="shared" si="4"/>
        <v>#DIV/0!</v>
      </c>
      <c r="AH26" s="34"/>
      <c r="AI26" s="34"/>
      <c r="AJ26" s="9" t="e">
        <f t="shared" si="5"/>
        <v>#DIV/0!</v>
      </c>
      <c r="AK26" s="70">
        <f t="shared" si="12"/>
        <v>0</v>
      </c>
      <c r="AL26" s="70">
        <f t="shared" si="13"/>
        <v>0</v>
      </c>
      <c r="AM26" s="9" t="e">
        <f t="shared" si="14"/>
        <v>#DIV/0!</v>
      </c>
      <c r="AN26" s="34"/>
      <c r="AO26" s="34"/>
      <c r="AP26" s="34"/>
      <c r="AQ26" s="34"/>
      <c r="AR26" s="34"/>
      <c r="AS26" s="34"/>
      <c r="AT26" s="57">
        <f t="shared" si="22"/>
        <v>0</v>
      </c>
      <c r="AU26" s="57">
        <f t="shared" si="23"/>
        <v>0</v>
      </c>
      <c r="AV26" s="84" t="e">
        <f t="shared" si="6"/>
        <v>#DIV/0!</v>
      </c>
      <c r="AW26" s="57">
        <f t="shared" si="24"/>
        <v>0</v>
      </c>
      <c r="AX26" s="15">
        <f t="shared" si="25"/>
        <v>0</v>
      </c>
      <c r="AY26" s="19">
        <f t="shared" si="15"/>
        <v>0</v>
      </c>
      <c r="AZ26" s="19">
        <f t="shared" si="16"/>
        <v>0</v>
      </c>
      <c r="BA26" s="38">
        <f t="shared" si="17"/>
        <v>0</v>
      </c>
    </row>
    <row r="27" spans="1:53" ht="34.5" customHeight="1">
      <c r="A27" s="55">
        <v>20</v>
      </c>
      <c r="B27" s="60" t="s">
        <v>59</v>
      </c>
      <c r="C27" s="12">
        <v>-408</v>
      </c>
      <c r="D27" s="34">
        <v>0</v>
      </c>
      <c r="E27" s="34">
        <v>0</v>
      </c>
      <c r="F27" s="84" t="e">
        <f t="shared" si="7"/>
        <v>#DIV/0!</v>
      </c>
      <c r="G27" s="34">
        <v>0</v>
      </c>
      <c r="H27" s="34">
        <v>0</v>
      </c>
      <c r="I27" s="84" t="e">
        <f t="shared" si="8"/>
        <v>#DIV/0!</v>
      </c>
      <c r="J27" s="34">
        <v>0</v>
      </c>
      <c r="K27" s="34">
        <v>0</v>
      </c>
      <c r="L27" s="84" t="e">
        <f t="shared" si="9"/>
        <v>#DIV/0!</v>
      </c>
      <c r="M27" s="70">
        <f t="shared" si="18"/>
        <v>0</v>
      </c>
      <c r="N27" s="70">
        <f t="shared" si="19"/>
        <v>0</v>
      </c>
      <c r="O27" s="84" t="e">
        <f t="shared" si="1"/>
        <v>#DIV/0!</v>
      </c>
      <c r="P27" s="34">
        <v>0</v>
      </c>
      <c r="Q27" s="34">
        <v>0</v>
      </c>
      <c r="R27" s="84" t="e">
        <f t="shared" si="10"/>
        <v>#DIV/0!</v>
      </c>
      <c r="S27" s="34"/>
      <c r="T27" s="34"/>
      <c r="U27" s="9"/>
      <c r="V27" s="34"/>
      <c r="W27" s="34"/>
      <c r="X27" s="9" t="e">
        <f t="shared" si="11"/>
        <v>#DIV/0!</v>
      </c>
      <c r="Y27" s="70">
        <f t="shared" si="20"/>
        <v>0</v>
      </c>
      <c r="Z27" s="70">
        <f t="shared" si="21"/>
        <v>0</v>
      </c>
      <c r="AA27" s="9" t="e">
        <f t="shared" si="2"/>
        <v>#DIV/0!</v>
      </c>
      <c r="AB27" s="34"/>
      <c r="AC27" s="34"/>
      <c r="AD27" s="84" t="e">
        <f t="shared" si="3"/>
        <v>#DIV/0!</v>
      </c>
      <c r="AE27" s="34"/>
      <c r="AF27" s="34"/>
      <c r="AG27" s="84" t="e">
        <f t="shared" si="4"/>
        <v>#DIV/0!</v>
      </c>
      <c r="AH27" s="34"/>
      <c r="AI27" s="34"/>
      <c r="AJ27" s="9" t="e">
        <f t="shared" si="5"/>
        <v>#DIV/0!</v>
      </c>
      <c r="AK27" s="70">
        <f t="shared" si="12"/>
        <v>0</v>
      </c>
      <c r="AL27" s="70">
        <f t="shared" si="13"/>
        <v>0</v>
      </c>
      <c r="AM27" s="9" t="e">
        <f t="shared" si="14"/>
        <v>#DIV/0!</v>
      </c>
      <c r="AN27" s="34"/>
      <c r="AO27" s="34"/>
      <c r="AP27" s="34"/>
      <c r="AQ27" s="34"/>
      <c r="AR27" s="34"/>
      <c r="AS27" s="34"/>
      <c r="AT27" s="57">
        <f t="shared" si="22"/>
        <v>0</v>
      </c>
      <c r="AU27" s="57">
        <f t="shared" si="23"/>
        <v>0</v>
      </c>
      <c r="AV27" s="84" t="e">
        <f t="shared" si="6"/>
        <v>#DIV/0!</v>
      </c>
      <c r="AW27" s="57">
        <f t="shared" si="24"/>
        <v>0</v>
      </c>
      <c r="AX27" s="15">
        <f t="shared" si="25"/>
        <v>-408</v>
      </c>
      <c r="AY27" s="19">
        <f t="shared" si="15"/>
        <v>0</v>
      </c>
      <c r="AZ27" s="19">
        <f t="shared" si="16"/>
        <v>0</v>
      </c>
      <c r="BA27" s="38">
        <f t="shared" si="17"/>
        <v>-408</v>
      </c>
    </row>
    <row r="28" spans="1:53" ht="34.5" customHeight="1">
      <c r="A28" s="55">
        <v>21</v>
      </c>
      <c r="B28" s="112" t="s">
        <v>86</v>
      </c>
      <c r="C28" s="12">
        <v>0</v>
      </c>
      <c r="D28" s="34">
        <v>0</v>
      </c>
      <c r="E28" s="34">
        <v>0</v>
      </c>
      <c r="F28" s="84" t="e">
        <f t="shared" si="7"/>
        <v>#DIV/0!</v>
      </c>
      <c r="G28" s="34">
        <v>0</v>
      </c>
      <c r="H28" s="34">
        <v>0</v>
      </c>
      <c r="I28" s="84" t="e">
        <f t="shared" si="8"/>
        <v>#DIV/0!</v>
      </c>
      <c r="J28" s="34">
        <v>0</v>
      </c>
      <c r="K28" s="34">
        <v>0</v>
      </c>
      <c r="L28" s="84" t="e">
        <f t="shared" si="9"/>
        <v>#DIV/0!</v>
      </c>
      <c r="M28" s="70">
        <f t="shared" si="18"/>
        <v>0</v>
      </c>
      <c r="N28" s="70">
        <f t="shared" si="19"/>
        <v>0</v>
      </c>
      <c r="O28" s="84" t="e">
        <f t="shared" si="1"/>
        <v>#DIV/0!</v>
      </c>
      <c r="P28" s="34">
        <v>0</v>
      </c>
      <c r="Q28" s="34">
        <v>0</v>
      </c>
      <c r="R28" s="84" t="e">
        <f t="shared" si="10"/>
        <v>#DIV/0!</v>
      </c>
      <c r="S28" s="104">
        <v>0</v>
      </c>
      <c r="T28" s="34">
        <v>0</v>
      </c>
      <c r="U28" s="9"/>
      <c r="V28" s="104"/>
      <c r="W28" s="34"/>
      <c r="X28" s="9" t="e">
        <f t="shared" si="11"/>
        <v>#DIV/0!</v>
      </c>
      <c r="Y28" s="70">
        <f t="shared" si="20"/>
        <v>0</v>
      </c>
      <c r="Z28" s="70">
        <f t="shared" si="21"/>
        <v>0</v>
      </c>
      <c r="AA28" s="9" t="e">
        <f t="shared" si="2"/>
        <v>#DIV/0!</v>
      </c>
      <c r="AB28" s="104"/>
      <c r="AC28" s="34"/>
      <c r="AD28" s="9" t="e">
        <f t="shared" si="3"/>
        <v>#DIV/0!</v>
      </c>
      <c r="AE28" s="34"/>
      <c r="AF28" s="78"/>
      <c r="AG28" s="9" t="e">
        <f t="shared" si="4"/>
        <v>#DIV/0!</v>
      </c>
      <c r="AH28" s="34"/>
      <c r="AI28" s="78"/>
      <c r="AJ28" s="9" t="e">
        <f t="shared" si="5"/>
        <v>#DIV/0!</v>
      </c>
      <c r="AK28" s="70">
        <f t="shared" si="12"/>
        <v>0</v>
      </c>
      <c r="AL28" s="70">
        <f t="shared" si="13"/>
        <v>0</v>
      </c>
      <c r="AM28" s="9" t="e">
        <f t="shared" si="14"/>
        <v>#DIV/0!</v>
      </c>
      <c r="AN28" s="34"/>
      <c r="AO28" s="78"/>
      <c r="AP28" s="34"/>
      <c r="AQ28" s="78"/>
      <c r="AR28" s="34"/>
      <c r="AS28" s="78"/>
      <c r="AT28" s="57">
        <f t="shared" si="22"/>
        <v>0</v>
      </c>
      <c r="AU28" s="57">
        <f t="shared" si="23"/>
        <v>0</v>
      </c>
      <c r="AV28" s="84" t="e">
        <f t="shared" si="6"/>
        <v>#DIV/0!</v>
      </c>
      <c r="AW28" s="57">
        <f t="shared" si="24"/>
        <v>0</v>
      </c>
      <c r="AX28" s="15">
        <f t="shared" si="25"/>
        <v>0</v>
      </c>
      <c r="AY28" s="19">
        <f t="shared" si="15"/>
        <v>0</v>
      </c>
      <c r="AZ28" s="19">
        <f t="shared" si="16"/>
        <v>0</v>
      </c>
      <c r="BA28" s="38">
        <f t="shared" si="17"/>
        <v>0</v>
      </c>
    </row>
    <row r="29" spans="1:53" ht="34.5" customHeight="1">
      <c r="A29" s="55">
        <v>22</v>
      </c>
      <c r="B29" s="56" t="s">
        <v>2</v>
      </c>
      <c r="C29" s="52"/>
      <c r="D29" s="61"/>
      <c r="E29" s="61"/>
      <c r="F29" s="61"/>
      <c r="G29" s="61"/>
      <c r="H29" s="61"/>
      <c r="I29" s="84" t="e">
        <f t="shared" si="8"/>
        <v>#DIV/0!</v>
      </c>
      <c r="J29" s="61"/>
      <c r="K29" s="61"/>
      <c r="L29" s="61"/>
      <c r="M29" s="70"/>
      <c r="N29" s="70"/>
      <c r="O29" s="9"/>
      <c r="P29" s="61"/>
      <c r="Q29" s="61"/>
      <c r="R29" s="84" t="e">
        <f t="shared" si="10"/>
        <v>#DIV/0!</v>
      </c>
      <c r="S29" s="61"/>
      <c r="T29" s="61"/>
      <c r="U29" s="61"/>
      <c r="V29" s="61"/>
      <c r="W29" s="61"/>
      <c r="X29" s="61"/>
      <c r="Y29" s="70"/>
      <c r="Z29" s="70"/>
      <c r="AA29" s="9"/>
      <c r="AB29" s="61"/>
      <c r="AC29" s="61"/>
      <c r="AD29" s="84" t="e">
        <f t="shared" si="3"/>
        <v>#DIV/0!</v>
      </c>
      <c r="AE29" s="52"/>
      <c r="AF29" s="52"/>
      <c r="AG29" s="9" t="e">
        <f t="shared" si="4"/>
        <v>#DIV/0!</v>
      </c>
      <c r="AH29" s="52"/>
      <c r="AI29" s="52"/>
      <c r="AJ29" s="9" t="e">
        <f t="shared" si="5"/>
        <v>#DIV/0!</v>
      </c>
      <c r="AK29" s="70">
        <f t="shared" si="12"/>
        <v>0</v>
      </c>
      <c r="AL29" s="70">
        <f t="shared" si="13"/>
        <v>0</v>
      </c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15"/>
        <v>0</v>
      </c>
      <c r="AZ29" s="19">
        <f t="shared" si="16"/>
        <v>0</v>
      </c>
      <c r="BA29" s="38">
        <f t="shared" si="17"/>
        <v>0</v>
      </c>
    </row>
    <row r="30" spans="1:53" ht="34.5" customHeight="1">
      <c r="A30" s="55">
        <v>23</v>
      </c>
      <c r="B30" s="60" t="s">
        <v>39</v>
      </c>
      <c r="C30" s="12">
        <v>0</v>
      </c>
      <c r="D30" s="34">
        <v>5.6</v>
      </c>
      <c r="E30" s="34">
        <v>5.6</v>
      </c>
      <c r="F30" s="9">
        <f t="shared" si="7"/>
        <v>100</v>
      </c>
      <c r="G30" s="34">
        <v>4.4</v>
      </c>
      <c r="H30" s="34">
        <v>4.4</v>
      </c>
      <c r="I30" s="84">
        <f t="shared" si="8"/>
        <v>100</v>
      </c>
      <c r="J30" s="34">
        <v>3.7</v>
      </c>
      <c r="K30" s="34">
        <v>3.7</v>
      </c>
      <c r="L30" s="9">
        <f aca="true" t="shared" si="26" ref="L30:L45">K30/J30*100</f>
        <v>100</v>
      </c>
      <c r="M30" s="70">
        <f t="shared" si="18"/>
        <v>13.7</v>
      </c>
      <c r="N30" s="70">
        <f t="shared" si="19"/>
        <v>13.7</v>
      </c>
      <c r="O30" s="9">
        <f t="shared" si="1"/>
        <v>100</v>
      </c>
      <c r="P30" s="34">
        <v>3.5</v>
      </c>
      <c r="Q30" s="34">
        <v>3.5</v>
      </c>
      <c r="R30" s="9">
        <f t="shared" si="10"/>
        <v>100</v>
      </c>
      <c r="S30" s="34">
        <v>3.5</v>
      </c>
      <c r="T30" s="34">
        <v>3.5</v>
      </c>
      <c r="U30" s="101"/>
      <c r="V30" s="34">
        <v>0</v>
      </c>
      <c r="W30" s="34">
        <v>0</v>
      </c>
      <c r="X30" s="101" t="e">
        <f aca="true" t="shared" si="27" ref="X30:X45">W30/V30*100</f>
        <v>#DIV/0!</v>
      </c>
      <c r="Y30" s="70">
        <f aca="true" t="shared" si="28" ref="Y30:Y42">P30+S30+V30</f>
        <v>7</v>
      </c>
      <c r="Z30" s="70">
        <f aca="true" t="shared" si="29" ref="Z30:Z42">Q30+T30+W30</f>
        <v>7</v>
      </c>
      <c r="AA30" s="9">
        <f aca="true" t="shared" si="30" ref="AA30:AA45">Z30/Y30*100</f>
        <v>100</v>
      </c>
      <c r="AB30" s="34"/>
      <c r="AC30" s="34"/>
      <c r="AD30" s="9" t="e">
        <f t="shared" si="3"/>
        <v>#DIV/0!</v>
      </c>
      <c r="AE30" s="34"/>
      <c r="AF30" s="34"/>
      <c r="AG30" s="9" t="e">
        <f t="shared" si="4"/>
        <v>#DIV/0!</v>
      </c>
      <c r="AH30" s="34"/>
      <c r="AI30" s="34"/>
      <c r="AJ30" s="9" t="e">
        <f t="shared" si="5"/>
        <v>#DIV/0!</v>
      </c>
      <c r="AK30" s="70">
        <f t="shared" si="12"/>
        <v>0</v>
      </c>
      <c r="AL30" s="70">
        <f t="shared" si="13"/>
        <v>0</v>
      </c>
      <c r="AM30" s="9" t="e">
        <f aca="true" t="shared" si="31" ref="AM30:AM45">AL30/AK30*100</f>
        <v>#DIV/0!</v>
      </c>
      <c r="AN30" s="34"/>
      <c r="AO30" s="34"/>
      <c r="AP30" s="34"/>
      <c r="AQ30" s="34"/>
      <c r="AR30" s="34"/>
      <c r="AS30" s="34"/>
      <c r="AT30" s="57">
        <f t="shared" si="22"/>
        <v>20.7</v>
      </c>
      <c r="AU30" s="57">
        <f t="shared" si="23"/>
        <v>20.7</v>
      </c>
      <c r="AV30" s="9">
        <f t="shared" si="6"/>
        <v>100</v>
      </c>
      <c r="AW30" s="57">
        <f t="shared" si="24"/>
        <v>0</v>
      </c>
      <c r="AX30" s="15">
        <f t="shared" si="25"/>
        <v>0</v>
      </c>
      <c r="AY30" s="19">
        <f t="shared" si="15"/>
        <v>20.7</v>
      </c>
      <c r="AZ30" s="19">
        <f t="shared" si="16"/>
        <v>20.7</v>
      </c>
      <c r="BA30" s="38">
        <f t="shared" si="17"/>
        <v>0</v>
      </c>
    </row>
    <row r="31" spans="1:53" ht="34.5" customHeight="1">
      <c r="A31" s="55">
        <v>24</v>
      </c>
      <c r="B31" s="60" t="s">
        <v>3</v>
      </c>
      <c r="C31" s="12">
        <v>0</v>
      </c>
      <c r="D31" s="34">
        <v>0</v>
      </c>
      <c r="E31" s="34">
        <v>0</v>
      </c>
      <c r="F31" s="84" t="e">
        <f t="shared" si="7"/>
        <v>#DIV/0!</v>
      </c>
      <c r="G31" s="34"/>
      <c r="H31" s="34"/>
      <c r="I31" s="84" t="e">
        <f t="shared" si="8"/>
        <v>#DIV/0!</v>
      </c>
      <c r="J31" s="34">
        <v>0</v>
      </c>
      <c r="K31" s="34">
        <v>0</v>
      </c>
      <c r="L31" s="84" t="e">
        <f t="shared" si="26"/>
        <v>#DIV/0!</v>
      </c>
      <c r="M31" s="70">
        <f t="shared" si="18"/>
        <v>0</v>
      </c>
      <c r="N31" s="70">
        <f t="shared" si="19"/>
        <v>0</v>
      </c>
      <c r="O31" s="84" t="e">
        <f t="shared" si="1"/>
        <v>#DIV/0!</v>
      </c>
      <c r="P31" s="34">
        <v>0</v>
      </c>
      <c r="Q31" s="34">
        <v>0</v>
      </c>
      <c r="R31" s="84" t="e">
        <f t="shared" si="10"/>
        <v>#DIV/0!</v>
      </c>
      <c r="S31" s="34">
        <v>0</v>
      </c>
      <c r="T31" s="34">
        <v>0</v>
      </c>
      <c r="U31" s="9"/>
      <c r="V31" s="34">
        <v>0</v>
      </c>
      <c r="W31" s="34">
        <v>0</v>
      </c>
      <c r="X31" s="84" t="e">
        <f t="shared" si="27"/>
        <v>#DIV/0!</v>
      </c>
      <c r="Y31" s="70">
        <f t="shared" si="28"/>
        <v>0</v>
      </c>
      <c r="Z31" s="70">
        <f t="shared" si="29"/>
        <v>0</v>
      </c>
      <c r="AA31" s="84" t="e">
        <f t="shared" si="30"/>
        <v>#DIV/0!</v>
      </c>
      <c r="AB31" s="34"/>
      <c r="AC31" s="34"/>
      <c r="AD31" s="84" t="e">
        <f t="shared" si="3"/>
        <v>#DIV/0!</v>
      </c>
      <c r="AE31" s="34"/>
      <c r="AF31" s="34"/>
      <c r="AG31" s="140" t="e">
        <f t="shared" si="4"/>
        <v>#DIV/0!</v>
      </c>
      <c r="AH31" s="34"/>
      <c r="AI31" s="34"/>
      <c r="AJ31" s="9" t="e">
        <f t="shared" si="5"/>
        <v>#DIV/0!</v>
      </c>
      <c r="AK31" s="70">
        <f t="shared" si="12"/>
        <v>0</v>
      </c>
      <c r="AL31" s="70">
        <f t="shared" si="13"/>
        <v>0</v>
      </c>
      <c r="AM31" s="84" t="e">
        <f t="shared" si="31"/>
        <v>#DIV/0!</v>
      </c>
      <c r="AN31" s="34"/>
      <c r="AO31" s="34"/>
      <c r="AP31" s="34"/>
      <c r="AQ31" s="34"/>
      <c r="AR31" s="34"/>
      <c r="AS31" s="34"/>
      <c r="AT31" s="57">
        <f t="shared" si="22"/>
        <v>0</v>
      </c>
      <c r="AU31" s="57">
        <f t="shared" si="23"/>
        <v>0</v>
      </c>
      <c r="AV31" s="84" t="e">
        <f t="shared" si="6"/>
        <v>#DIV/0!</v>
      </c>
      <c r="AW31" s="57">
        <f t="shared" si="24"/>
        <v>0</v>
      </c>
      <c r="AX31" s="15">
        <f t="shared" si="25"/>
        <v>0</v>
      </c>
      <c r="AY31" s="19">
        <f t="shared" si="15"/>
        <v>0</v>
      </c>
      <c r="AZ31" s="19">
        <f t="shared" si="16"/>
        <v>0</v>
      </c>
      <c r="BA31" s="38">
        <f t="shared" si="17"/>
        <v>0</v>
      </c>
    </row>
    <row r="32" spans="1:53" ht="34.5" customHeight="1">
      <c r="A32" s="55">
        <v>25</v>
      </c>
      <c r="B32" s="60" t="s">
        <v>87</v>
      </c>
      <c r="C32" s="15">
        <f>SUM(C33:C34)</f>
        <v>0</v>
      </c>
      <c r="D32" s="15">
        <f aca="true" t="shared" si="32" ref="D32:AS32">SUM(D33:D34)</f>
        <v>0</v>
      </c>
      <c r="E32" s="15">
        <f t="shared" si="32"/>
        <v>0</v>
      </c>
      <c r="F32" s="123" t="e">
        <f t="shared" si="32"/>
        <v>#DIV/0!</v>
      </c>
      <c r="G32" s="15">
        <f t="shared" si="32"/>
        <v>0</v>
      </c>
      <c r="H32" s="15">
        <f t="shared" si="32"/>
        <v>0</v>
      </c>
      <c r="I32" s="123" t="e">
        <f t="shared" si="32"/>
        <v>#DIV/0!</v>
      </c>
      <c r="J32" s="15">
        <f t="shared" si="32"/>
        <v>0</v>
      </c>
      <c r="K32" s="15">
        <f t="shared" si="32"/>
        <v>0</v>
      </c>
      <c r="L32" s="123" t="e">
        <f t="shared" si="32"/>
        <v>#DIV/0!</v>
      </c>
      <c r="M32" s="15">
        <f t="shared" si="32"/>
        <v>0</v>
      </c>
      <c r="N32" s="15">
        <f t="shared" si="32"/>
        <v>0</v>
      </c>
      <c r="O32" s="84" t="e">
        <f t="shared" si="1"/>
        <v>#DIV/0!</v>
      </c>
      <c r="P32" s="15">
        <f t="shared" si="32"/>
        <v>0</v>
      </c>
      <c r="Q32" s="15">
        <f t="shared" si="32"/>
        <v>0</v>
      </c>
      <c r="R32" s="123" t="e">
        <f t="shared" si="32"/>
        <v>#DIV/0!</v>
      </c>
      <c r="S32" s="15">
        <f t="shared" si="32"/>
        <v>0</v>
      </c>
      <c r="T32" s="15">
        <f t="shared" si="32"/>
        <v>0</v>
      </c>
      <c r="U32" s="15">
        <f t="shared" si="32"/>
        <v>0</v>
      </c>
      <c r="V32" s="15">
        <f t="shared" si="32"/>
        <v>0</v>
      </c>
      <c r="W32" s="15">
        <f t="shared" si="32"/>
        <v>0</v>
      </c>
      <c r="X32" s="15" t="e">
        <f t="shared" si="32"/>
        <v>#DIV/0!</v>
      </c>
      <c r="Y32" s="15">
        <f t="shared" si="32"/>
        <v>0</v>
      </c>
      <c r="Z32" s="15">
        <f t="shared" si="32"/>
        <v>0</v>
      </c>
      <c r="AA32" s="9" t="e">
        <f t="shared" si="30"/>
        <v>#DIV/0!</v>
      </c>
      <c r="AB32" s="15">
        <f t="shared" si="32"/>
        <v>0</v>
      </c>
      <c r="AC32" s="15">
        <f t="shared" si="32"/>
        <v>0</v>
      </c>
      <c r="AD32" s="9" t="e">
        <f t="shared" si="3"/>
        <v>#DIV/0!</v>
      </c>
      <c r="AE32" s="15">
        <f t="shared" si="32"/>
        <v>0</v>
      </c>
      <c r="AF32" s="15">
        <f t="shared" si="32"/>
        <v>0</v>
      </c>
      <c r="AG32" s="15" t="e">
        <f t="shared" si="32"/>
        <v>#DIV/0!</v>
      </c>
      <c r="AH32" s="15">
        <f t="shared" si="32"/>
        <v>0</v>
      </c>
      <c r="AI32" s="15">
        <f t="shared" si="32"/>
        <v>0</v>
      </c>
      <c r="AJ32" s="9" t="e">
        <f t="shared" si="5"/>
        <v>#DIV/0!</v>
      </c>
      <c r="AK32" s="15">
        <f t="shared" si="32"/>
        <v>0</v>
      </c>
      <c r="AL32" s="15">
        <f t="shared" si="32"/>
        <v>0</v>
      </c>
      <c r="AM32" s="15" t="e">
        <f t="shared" si="32"/>
        <v>#DIV/0!</v>
      </c>
      <c r="AN32" s="15">
        <f t="shared" si="32"/>
        <v>0</v>
      </c>
      <c r="AO32" s="15">
        <f t="shared" si="32"/>
        <v>0</v>
      </c>
      <c r="AP32" s="15">
        <f t="shared" si="32"/>
        <v>0</v>
      </c>
      <c r="AQ32" s="15">
        <f t="shared" si="32"/>
        <v>0</v>
      </c>
      <c r="AR32" s="15">
        <f t="shared" si="32"/>
        <v>0</v>
      </c>
      <c r="AS32" s="15">
        <f t="shared" si="32"/>
        <v>0</v>
      </c>
      <c r="AT32" s="15">
        <f>SUM(AT33:AT34)</f>
        <v>0</v>
      </c>
      <c r="AU32" s="15">
        <f>SUM(AU33:AU34)</f>
        <v>0</v>
      </c>
      <c r="AV32" s="84" t="e">
        <f t="shared" si="6"/>
        <v>#DIV/0!</v>
      </c>
      <c r="AW32" s="15">
        <f>SUM(AW33:AW34)</f>
        <v>0</v>
      </c>
      <c r="AX32" s="15">
        <f>SUM(AX33:AX34)</f>
        <v>0</v>
      </c>
      <c r="AY32" s="19">
        <f t="shared" si="15"/>
        <v>0</v>
      </c>
      <c r="AZ32" s="19">
        <f t="shared" si="16"/>
        <v>0</v>
      </c>
      <c r="BA32" s="38">
        <f t="shared" si="17"/>
        <v>0</v>
      </c>
    </row>
    <row r="33" spans="1:53" ht="34.5" customHeight="1">
      <c r="A33" s="55"/>
      <c r="B33" s="60" t="s">
        <v>100</v>
      </c>
      <c r="C33" s="12">
        <v>0</v>
      </c>
      <c r="D33" s="34">
        <v>0</v>
      </c>
      <c r="E33" s="34">
        <v>0</v>
      </c>
      <c r="F33" s="84" t="e">
        <f>E33/D33*100</f>
        <v>#DIV/0!</v>
      </c>
      <c r="G33" s="34">
        <v>0</v>
      </c>
      <c r="H33" s="34">
        <v>0</v>
      </c>
      <c r="I33" s="84" t="e">
        <f t="shared" si="8"/>
        <v>#DIV/0!</v>
      </c>
      <c r="J33" s="34">
        <v>0</v>
      </c>
      <c r="K33" s="34">
        <v>0</v>
      </c>
      <c r="L33" s="84" t="e">
        <f t="shared" si="26"/>
        <v>#DIV/0!</v>
      </c>
      <c r="M33" s="70">
        <f t="shared" si="18"/>
        <v>0</v>
      </c>
      <c r="N33" s="70">
        <f t="shared" si="19"/>
        <v>0</v>
      </c>
      <c r="O33" s="84" t="e">
        <f t="shared" si="1"/>
        <v>#DIV/0!</v>
      </c>
      <c r="P33" s="34">
        <v>0</v>
      </c>
      <c r="Q33" s="34">
        <v>0</v>
      </c>
      <c r="R33" s="84" t="e">
        <f t="shared" si="10"/>
        <v>#DIV/0!</v>
      </c>
      <c r="S33" s="34">
        <v>0</v>
      </c>
      <c r="T33" s="34">
        <v>0</v>
      </c>
      <c r="U33" s="9"/>
      <c r="V33" s="34">
        <v>0</v>
      </c>
      <c r="W33" s="34">
        <v>0</v>
      </c>
      <c r="X33" s="9" t="e">
        <f t="shared" si="27"/>
        <v>#DIV/0!</v>
      </c>
      <c r="Y33" s="70">
        <f t="shared" si="28"/>
        <v>0</v>
      </c>
      <c r="Z33" s="70">
        <f t="shared" si="29"/>
        <v>0</v>
      </c>
      <c r="AA33" s="9" t="e">
        <f t="shared" si="30"/>
        <v>#DIV/0!</v>
      </c>
      <c r="AB33" s="34"/>
      <c r="AC33" s="34"/>
      <c r="AD33" s="84" t="e">
        <f t="shared" si="3"/>
        <v>#DIV/0!</v>
      </c>
      <c r="AE33" s="34"/>
      <c r="AF33" s="34"/>
      <c r="AG33" s="9" t="e">
        <f t="shared" si="4"/>
        <v>#DIV/0!</v>
      </c>
      <c r="AH33" s="34"/>
      <c r="AI33" s="34"/>
      <c r="AJ33" s="9" t="e">
        <f t="shared" si="5"/>
        <v>#DIV/0!</v>
      </c>
      <c r="AK33" s="70">
        <f aca="true" t="shared" si="33" ref="AK33:AK42">AB33+AE33+AH33</f>
        <v>0</v>
      </c>
      <c r="AL33" s="70">
        <f aca="true" t="shared" si="34" ref="AL33:AL42">AC33+AF33+AI33</f>
        <v>0</v>
      </c>
      <c r="AM33" s="9" t="e">
        <f t="shared" si="31"/>
        <v>#DIV/0!</v>
      </c>
      <c r="AN33" s="34"/>
      <c r="AO33" s="34"/>
      <c r="AP33" s="34"/>
      <c r="AQ33" s="34"/>
      <c r="AR33" s="34"/>
      <c r="AS33" s="34"/>
      <c r="AT33" s="57">
        <f t="shared" si="22"/>
        <v>0</v>
      </c>
      <c r="AU33" s="57">
        <f t="shared" si="23"/>
        <v>0</v>
      </c>
      <c r="AV33" s="84" t="e">
        <f t="shared" si="6"/>
        <v>#DIV/0!</v>
      </c>
      <c r="AW33" s="57">
        <f t="shared" si="24"/>
        <v>0</v>
      </c>
      <c r="AX33" s="15">
        <f t="shared" si="25"/>
        <v>0</v>
      </c>
      <c r="AY33" s="19">
        <f t="shared" si="15"/>
        <v>0</v>
      </c>
      <c r="AZ33" s="19">
        <f t="shared" si="16"/>
        <v>0</v>
      </c>
      <c r="BA33" s="38">
        <f t="shared" si="17"/>
        <v>0</v>
      </c>
    </row>
    <row r="34" spans="1:53" ht="34.5" customHeight="1">
      <c r="A34" s="55"/>
      <c r="B34" s="60" t="s">
        <v>88</v>
      </c>
      <c r="C34" s="62">
        <v>0</v>
      </c>
      <c r="D34" s="34">
        <v>0</v>
      </c>
      <c r="E34" s="34">
        <v>0</v>
      </c>
      <c r="F34" s="84" t="e">
        <f>E34/D34*100</f>
        <v>#DIV/0!</v>
      </c>
      <c r="G34" s="34">
        <v>0</v>
      </c>
      <c r="H34" s="34">
        <v>0</v>
      </c>
      <c r="I34" s="84" t="e">
        <f t="shared" si="8"/>
        <v>#DIV/0!</v>
      </c>
      <c r="J34" s="34">
        <v>0</v>
      </c>
      <c r="K34" s="34">
        <v>0</v>
      </c>
      <c r="L34" s="84" t="e">
        <f t="shared" si="26"/>
        <v>#DIV/0!</v>
      </c>
      <c r="M34" s="70">
        <f t="shared" si="18"/>
        <v>0</v>
      </c>
      <c r="N34" s="70">
        <f t="shared" si="19"/>
        <v>0</v>
      </c>
      <c r="O34" s="84" t="e">
        <f t="shared" si="1"/>
        <v>#DIV/0!</v>
      </c>
      <c r="P34" s="34">
        <v>0</v>
      </c>
      <c r="Q34" s="34">
        <v>0</v>
      </c>
      <c r="R34" s="84" t="e">
        <f t="shared" si="10"/>
        <v>#DIV/0!</v>
      </c>
      <c r="S34" s="34">
        <v>0</v>
      </c>
      <c r="T34" s="34">
        <v>0</v>
      </c>
      <c r="U34" s="9"/>
      <c r="V34" s="34">
        <v>0</v>
      </c>
      <c r="W34" s="34">
        <v>0</v>
      </c>
      <c r="X34" s="9" t="e">
        <f t="shared" si="27"/>
        <v>#DIV/0!</v>
      </c>
      <c r="Y34" s="70">
        <f>P34+S34+V34</f>
        <v>0</v>
      </c>
      <c r="Z34" s="70">
        <f>Q34+T34+W34</f>
        <v>0</v>
      </c>
      <c r="AA34" s="9" t="e">
        <f>Z34/Y34*100</f>
        <v>#DIV/0!</v>
      </c>
      <c r="AB34" s="34"/>
      <c r="AC34" s="34"/>
      <c r="AD34" s="9" t="e">
        <f t="shared" si="3"/>
        <v>#DIV/0!</v>
      </c>
      <c r="AE34" s="34"/>
      <c r="AF34" s="34"/>
      <c r="AG34" s="9" t="e">
        <f t="shared" si="4"/>
        <v>#DIV/0!</v>
      </c>
      <c r="AH34" s="34"/>
      <c r="AI34" s="34"/>
      <c r="AJ34" s="9" t="e">
        <f t="shared" si="5"/>
        <v>#DIV/0!</v>
      </c>
      <c r="AK34" s="70">
        <f t="shared" si="33"/>
        <v>0</v>
      </c>
      <c r="AL34" s="70">
        <f t="shared" si="34"/>
        <v>0</v>
      </c>
      <c r="AM34" s="9" t="e">
        <f t="shared" si="31"/>
        <v>#DIV/0!</v>
      </c>
      <c r="AN34" s="34"/>
      <c r="AO34" s="34"/>
      <c r="AP34" s="34"/>
      <c r="AQ34" s="34"/>
      <c r="AR34" s="34"/>
      <c r="AS34" s="34"/>
      <c r="AT34" s="57">
        <f t="shared" si="22"/>
        <v>0</v>
      </c>
      <c r="AU34" s="57">
        <f t="shared" si="23"/>
        <v>0</v>
      </c>
      <c r="AV34" s="84" t="e">
        <f t="shared" si="6"/>
        <v>#DIV/0!</v>
      </c>
      <c r="AW34" s="57">
        <f t="shared" si="24"/>
        <v>0</v>
      </c>
      <c r="AX34" s="15">
        <f t="shared" si="25"/>
        <v>0</v>
      </c>
      <c r="AY34" s="19">
        <f t="shared" si="15"/>
        <v>0</v>
      </c>
      <c r="AZ34" s="19">
        <f t="shared" si="16"/>
        <v>0</v>
      </c>
      <c r="BA34" s="38">
        <f t="shared" si="17"/>
        <v>0</v>
      </c>
    </row>
    <row r="35" spans="1:53" ht="34.5" customHeight="1">
      <c r="A35" s="55">
        <v>26</v>
      </c>
      <c r="B35" s="60" t="s">
        <v>60</v>
      </c>
      <c r="C35" s="62">
        <v>-80.1</v>
      </c>
      <c r="D35" s="33">
        <v>2.9</v>
      </c>
      <c r="E35" s="33">
        <v>2.9</v>
      </c>
      <c r="F35" s="9">
        <f t="shared" si="7"/>
        <v>100</v>
      </c>
      <c r="G35" s="34">
        <v>8</v>
      </c>
      <c r="H35" s="34">
        <v>8</v>
      </c>
      <c r="I35" s="9">
        <f t="shared" si="8"/>
        <v>100</v>
      </c>
      <c r="J35" s="34">
        <v>7.6</v>
      </c>
      <c r="K35" s="34">
        <v>7.6</v>
      </c>
      <c r="L35" s="9">
        <f t="shared" si="26"/>
        <v>100</v>
      </c>
      <c r="M35" s="70">
        <f t="shared" si="18"/>
        <v>18.5</v>
      </c>
      <c r="N35" s="70">
        <f t="shared" si="19"/>
        <v>18.5</v>
      </c>
      <c r="O35" s="9">
        <f t="shared" si="1"/>
        <v>100</v>
      </c>
      <c r="P35" s="34">
        <v>5.2</v>
      </c>
      <c r="Q35" s="34">
        <v>5.2</v>
      </c>
      <c r="R35" s="9">
        <f t="shared" si="10"/>
        <v>100</v>
      </c>
      <c r="S35" s="34">
        <v>3.9</v>
      </c>
      <c r="T35" s="34">
        <v>3.9</v>
      </c>
      <c r="U35" s="9"/>
      <c r="V35" s="34">
        <v>1.7</v>
      </c>
      <c r="W35" s="34">
        <v>1.7</v>
      </c>
      <c r="X35" s="9">
        <f t="shared" si="27"/>
        <v>100</v>
      </c>
      <c r="Y35" s="70">
        <f t="shared" si="28"/>
        <v>10.799999999999999</v>
      </c>
      <c r="Z35" s="70">
        <f t="shared" si="29"/>
        <v>10.799999999999999</v>
      </c>
      <c r="AA35" s="9">
        <f t="shared" si="30"/>
        <v>100</v>
      </c>
      <c r="AB35" s="34"/>
      <c r="AC35" s="34"/>
      <c r="AD35" s="9" t="e">
        <f t="shared" si="3"/>
        <v>#DIV/0!</v>
      </c>
      <c r="AE35" s="34"/>
      <c r="AF35" s="34"/>
      <c r="AG35" s="9" t="e">
        <f t="shared" si="4"/>
        <v>#DIV/0!</v>
      </c>
      <c r="AH35" s="34"/>
      <c r="AI35" s="34"/>
      <c r="AJ35" s="9" t="e">
        <f t="shared" si="5"/>
        <v>#DIV/0!</v>
      </c>
      <c r="AK35" s="70">
        <f t="shared" si="33"/>
        <v>0</v>
      </c>
      <c r="AL35" s="70">
        <f t="shared" si="34"/>
        <v>0</v>
      </c>
      <c r="AM35" s="9" t="e">
        <f t="shared" si="31"/>
        <v>#DIV/0!</v>
      </c>
      <c r="AN35" s="34"/>
      <c r="AO35" s="34"/>
      <c r="AP35" s="34"/>
      <c r="AQ35" s="34"/>
      <c r="AR35" s="34"/>
      <c r="AS35" s="34"/>
      <c r="AT35" s="57">
        <f t="shared" si="22"/>
        <v>29.299999999999997</v>
      </c>
      <c r="AU35" s="57">
        <f t="shared" si="23"/>
        <v>29.299999999999997</v>
      </c>
      <c r="AV35" s="9">
        <f t="shared" si="6"/>
        <v>100</v>
      </c>
      <c r="AW35" s="57">
        <f t="shared" si="24"/>
        <v>0</v>
      </c>
      <c r="AX35" s="15">
        <f t="shared" si="25"/>
        <v>-80.1</v>
      </c>
      <c r="AY35" s="19">
        <f t="shared" si="15"/>
        <v>29.299999999999997</v>
      </c>
      <c r="AZ35" s="19">
        <f t="shared" si="16"/>
        <v>29.299999999999997</v>
      </c>
      <c r="BA35" s="38">
        <f t="shared" si="17"/>
        <v>-80.1</v>
      </c>
    </row>
    <row r="36" spans="1:53" ht="34.5" customHeight="1">
      <c r="A36" s="55">
        <v>27</v>
      </c>
      <c r="B36" s="113" t="s">
        <v>61</v>
      </c>
      <c r="C36" s="12"/>
      <c r="D36" s="63"/>
      <c r="E36" s="63"/>
      <c r="F36" s="84" t="e">
        <f t="shared" si="7"/>
        <v>#DIV/0!</v>
      </c>
      <c r="G36" s="34"/>
      <c r="H36" s="34"/>
      <c r="I36" s="84" t="e">
        <f t="shared" si="8"/>
        <v>#DIV/0!</v>
      </c>
      <c r="J36" s="34"/>
      <c r="K36" s="34"/>
      <c r="L36" s="84" t="e">
        <f t="shared" si="26"/>
        <v>#DIV/0!</v>
      </c>
      <c r="M36" s="122">
        <f t="shared" si="18"/>
        <v>0</v>
      </c>
      <c r="N36" s="122">
        <f t="shared" si="19"/>
        <v>0</v>
      </c>
      <c r="O36" s="84" t="e">
        <f t="shared" si="1"/>
        <v>#DIV/0!</v>
      </c>
      <c r="P36" s="121"/>
      <c r="Q36" s="34"/>
      <c r="R36" s="84" t="e">
        <f t="shared" si="10"/>
        <v>#DIV/0!</v>
      </c>
      <c r="S36" s="34"/>
      <c r="T36" s="34"/>
      <c r="U36" s="101"/>
      <c r="V36" s="34"/>
      <c r="W36" s="34"/>
      <c r="X36" s="84" t="e">
        <f t="shared" si="27"/>
        <v>#DIV/0!</v>
      </c>
      <c r="Y36" s="70">
        <f t="shared" si="28"/>
        <v>0</v>
      </c>
      <c r="Z36" s="70">
        <f t="shared" si="29"/>
        <v>0</v>
      </c>
      <c r="AA36" s="84" t="e">
        <f t="shared" si="30"/>
        <v>#DIV/0!</v>
      </c>
      <c r="AB36" s="34"/>
      <c r="AC36" s="34"/>
      <c r="AD36" s="9" t="e">
        <f t="shared" si="3"/>
        <v>#DIV/0!</v>
      </c>
      <c r="AE36" s="34"/>
      <c r="AF36" s="34"/>
      <c r="AG36" s="9" t="e">
        <f t="shared" si="4"/>
        <v>#DIV/0!</v>
      </c>
      <c r="AH36" s="34"/>
      <c r="AI36" s="34"/>
      <c r="AJ36" s="9" t="e">
        <f t="shared" si="5"/>
        <v>#DIV/0!</v>
      </c>
      <c r="AK36" s="70">
        <f t="shared" si="33"/>
        <v>0</v>
      </c>
      <c r="AL36" s="70">
        <f t="shared" si="34"/>
        <v>0</v>
      </c>
      <c r="AM36" s="9" t="e">
        <f t="shared" si="31"/>
        <v>#DIV/0!</v>
      </c>
      <c r="AN36" s="34"/>
      <c r="AO36" s="34"/>
      <c r="AP36" s="34"/>
      <c r="AQ36" s="34"/>
      <c r="AR36" s="34"/>
      <c r="AS36" s="34"/>
      <c r="AT36" s="122">
        <f t="shared" si="22"/>
        <v>0</v>
      </c>
      <c r="AU36" s="122">
        <f t="shared" si="23"/>
        <v>0</v>
      </c>
      <c r="AV36" s="84" t="e">
        <f t="shared" si="6"/>
        <v>#DIV/0!</v>
      </c>
      <c r="AW36" s="122">
        <f t="shared" si="24"/>
        <v>0</v>
      </c>
      <c r="AX36" s="123">
        <f t="shared" si="25"/>
        <v>0</v>
      </c>
      <c r="AY36" s="19">
        <f t="shared" si="15"/>
        <v>0</v>
      </c>
      <c r="AZ36" s="19">
        <f t="shared" si="16"/>
        <v>0</v>
      </c>
      <c r="BA36" s="38">
        <f t="shared" si="17"/>
        <v>0</v>
      </c>
    </row>
    <row r="37" spans="1:53" ht="34.5" customHeight="1">
      <c r="A37" s="55">
        <v>28</v>
      </c>
      <c r="B37" s="114" t="s">
        <v>62</v>
      </c>
      <c r="C37" s="12">
        <v>0</v>
      </c>
      <c r="D37" s="34">
        <v>0</v>
      </c>
      <c r="E37" s="34">
        <v>0</v>
      </c>
      <c r="F37" s="84" t="e">
        <f t="shared" si="7"/>
        <v>#DIV/0!</v>
      </c>
      <c r="G37" s="34"/>
      <c r="H37" s="34"/>
      <c r="I37" s="84" t="e">
        <f t="shared" si="8"/>
        <v>#DIV/0!</v>
      </c>
      <c r="J37" s="34">
        <v>0</v>
      </c>
      <c r="K37" s="34">
        <v>0</v>
      </c>
      <c r="L37" s="84" t="e">
        <f t="shared" si="26"/>
        <v>#DIV/0!</v>
      </c>
      <c r="M37" s="70">
        <f t="shared" si="18"/>
        <v>0</v>
      </c>
      <c r="N37" s="70">
        <f t="shared" si="19"/>
        <v>0</v>
      </c>
      <c r="O37" s="84" t="e">
        <f t="shared" si="1"/>
        <v>#DIV/0!</v>
      </c>
      <c r="P37" s="34">
        <v>0</v>
      </c>
      <c r="Q37" s="34">
        <v>0</v>
      </c>
      <c r="R37" s="84" t="e">
        <f t="shared" si="10"/>
        <v>#DIV/0!</v>
      </c>
      <c r="S37" s="34">
        <v>0</v>
      </c>
      <c r="T37" s="34">
        <v>0</v>
      </c>
      <c r="U37" s="9"/>
      <c r="V37" s="34"/>
      <c r="W37" s="34"/>
      <c r="X37" s="9" t="e">
        <f t="shared" si="27"/>
        <v>#DIV/0!</v>
      </c>
      <c r="Y37" s="70">
        <f t="shared" si="28"/>
        <v>0</v>
      </c>
      <c r="Z37" s="70">
        <f t="shared" si="29"/>
        <v>0</v>
      </c>
      <c r="AA37" s="9" t="e">
        <f t="shared" si="30"/>
        <v>#DIV/0!</v>
      </c>
      <c r="AB37" s="34"/>
      <c r="AC37" s="34"/>
      <c r="AD37" s="9" t="e">
        <f t="shared" si="3"/>
        <v>#DIV/0!</v>
      </c>
      <c r="AE37" s="34"/>
      <c r="AF37" s="34"/>
      <c r="AG37" s="84" t="e">
        <f t="shared" si="4"/>
        <v>#DIV/0!</v>
      </c>
      <c r="AH37" s="34"/>
      <c r="AI37" s="34"/>
      <c r="AJ37" s="9" t="e">
        <f t="shared" si="5"/>
        <v>#DIV/0!</v>
      </c>
      <c r="AK37" s="70">
        <f t="shared" si="33"/>
        <v>0</v>
      </c>
      <c r="AL37" s="70">
        <f t="shared" si="34"/>
        <v>0</v>
      </c>
      <c r="AM37" s="9" t="e">
        <f t="shared" si="31"/>
        <v>#DIV/0!</v>
      </c>
      <c r="AN37" s="34"/>
      <c r="AO37" s="34"/>
      <c r="AP37" s="34"/>
      <c r="AQ37" s="34"/>
      <c r="AR37" s="34"/>
      <c r="AS37" s="34"/>
      <c r="AT37" s="57">
        <f t="shared" si="22"/>
        <v>0</v>
      </c>
      <c r="AU37" s="57">
        <f t="shared" si="23"/>
        <v>0</v>
      </c>
      <c r="AV37" s="84" t="e">
        <f t="shared" si="6"/>
        <v>#DIV/0!</v>
      </c>
      <c r="AW37" s="57">
        <f t="shared" si="24"/>
        <v>0</v>
      </c>
      <c r="AX37" s="15">
        <f t="shared" si="25"/>
        <v>0</v>
      </c>
      <c r="AY37" s="19">
        <f t="shared" si="15"/>
        <v>0</v>
      </c>
      <c r="AZ37" s="19">
        <f t="shared" si="16"/>
        <v>0</v>
      </c>
      <c r="BA37" s="38">
        <f t="shared" si="17"/>
        <v>0</v>
      </c>
    </row>
    <row r="38" spans="1:53" ht="34.5" customHeight="1">
      <c r="A38" s="55">
        <v>29</v>
      </c>
      <c r="B38" s="114" t="s">
        <v>89</v>
      </c>
      <c r="C38" s="12">
        <v>0</v>
      </c>
      <c r="D38" s="34">
        <v>0</v>
      </c>
      <c r="E38" s="34">
        <v>0</v>
      </c>
      <c r="F38" s="84" t="e">
        <f t="shared" si="7"/>
        <v>#DIV/0!</v>
      </c>
      <c r="G38" s="34">
        <v>0</v>
      </c>
      <c r="H38" s="34">
        <v>0</v>
      </c>
      <c r="I38" s="84" t="e">
        <f t="shared" si="8"/>
        <v>#DIV/0!</v>
      </c>
      <c r="J38" s="34">
        <v>0</v>
      </c>
      <c r="K38" s="34">
        <v>0</v>
      </c>
      <c r="L38" s="84" t="e">
        <f t="shared" si="26"/>
        <v>#DIV/0!</v>
      </c>
      <c r="M38" s="70">
        <f t="shared" si="18"/>
        <v>0</v>
      </c>
      <c r="N38" s="70">
        <f t="shared" si="19"/>
        <v>0</v>
      </c>
      <c r="O38" s="84" t="e">
        <f t="shared" si="1"/>
        <v>#DIV/0!</v>
      </c>
      <c r="P38" s="34">
        <v>0</v>
      </c>
      <c r="Q38" s="34">
        <v>0</v>
      </c>
      <c r="R38" s="84" t="e">
        <f t="shared" si="10"/>
        <v>#DIV/0!</v>
      </c>
      <c r="S38" s="34">
        <v>0</v>
      </c>
      <c r="T38" s="34">
        <v>0</v>
      </c>
      <c r="U38" s="9"/>
      <c r="V38" s="34"/>
      <c r="W38" s="34"/>
      <c r="X38" s="9" t="e">
        <f t="shared" si="27"/>
        <v>#DIV/0!</v>
      </c>
      <c r="Y38" s="70">
        <f t="shared" si="28"/>
        <v>0</v>
      </c>
      <c r="Z38" s="70">
        <f t="shared" si="29"/>
        <v>0</v>
      </c>
      <c r="AA38" s="9" t="e">
        <f t="shared" si="30"/>
        <v>#DIV/0!</v>
      </c>
      <c r="AB38" s="34"/>
      <c r="AC38" s="34"/>
      <c r="AD38" s="84" t="e">
        <f t="shared" si="3"/>
        <v>#DIV/0!</v>
      </c>
      <c r="AE38" s="34"/>
      <c r="AF38" s="34"/>
      <c r="AG38" s="9" t="e">
        <f t="shared" si="4"/>
        <v>#DIV/0!</v>
      </c>
      <c r="AH38" s="34"/>
      <c r="AI38" s="34"/>
      <c r="AJ38" s="9"/>
      <c r="AK38" s="70">
        <f t="shared" si="33"/>
        <v>0</v>
      </c>
      <c r="AL38" s="70">
        <f t="shared" si="34"/>
        <v>0</v>
      </c>
      <c r="AM38" s="9" t="e">
        <f t="shared" si="31"/>
        <v>#DIV/0!</v>
      </c>
      <c r="AN38" s="34"/>
      <c r="AO38" s="34"/>
      <c r="AP38" s="34"/>
      <c r="AQ38" s="34"/>
      <c r="AR38" s="34"/>
      <c r="AS38" s="34"/>
      <c r="AT38" s="57">
        <f t="shared" si="22"/>
        <v>0</v>
      </c>
      <c r="AU38" s="57">
        <f t="shared" si="23"/>
        <v>0</v>
      </c>
      <c r="AV38" s="84" t="e">
        <f t="shared" si="6"/>
        <v>#DIV/0!</v>
      </c>
      <c r="AW38" s="57">
        <f t="shared" si="24"/>
        <v>0</v>
      </c>
      <c r="AX38" s="15">
        <f t="shared" si="25"/>
        <v>0</v>
      </c>
      <c r="AY38" s="19">
        <f t="shared" si="15"/>
        <v>0</v>
      </c>
      <c r="AZ38" s="19">
        <f t="shared" si="16"/>
        <v>0</v>
      </c>
      <c r="BA38" s="38">
        <f t="shared" si="17"/>
        <v>0</v>
      </c>
    </row>
    <row r="39" spans="1:53" ht="34.5" customHeight="1">
      <c r="A39" s="55">
        <v>30</v>
      </c>
      <c r="B39" s="114" t="s">
        <v>4</v>
      </c>
      <c r="C39" s="12">
        <v>2033.5</v>
      </c>
      <c r="D39" s="34">
        <v>0</v>
      </c>
      <c r="E39" s="34">
        <v>0</v>
      </c>
      <c r="F39" s="84" t="e">
        <f t="shared" si="7"/>
        <v>#DIV/0!</v>
      </c>
      <c r="G39" s="34">
        <v>0</v>
      </c>
      <c r="H39" s="34">
        <v>2033.5</v>
      </c>
      <c r="I39" s="84" t="e">
        <f t="shared" si="8"/>
        <v>#DIV/0!</v>
      </c>
      <c r="J39" s="34">
        <v>0</v>
      </c>
      <c r="K39" s="34">
        <v>0</v>
      </c>
      <c r="L39" s="84" t="e">
        <f t="shared" si="26"/>
        <v>#DIV/0!</v>
      </c>
      <c r="M39" s="70">
        <f t="shared" si="18"/>
        <v>0</v>
      </c>
      <c r="N39" s="70">
        <f t="shared" si="19"/>
        <v>2033.5</v>
      </c>
      <c r="O39" s="84" t="e">
        <f t="shared" si="1"/>
        <v>#DIV/0!</v>
      </c>
      <c r="P39" s="34">
        <v>0</v>
      </c>
      <c r="Q39" s="34">
        <v>0</v>
      </c>
      <c r="R39" s="84" t="e">
        <f t="shared" si="10"/>
        <v>#DIV/0!</v>
      </c>
      <c r="S39" s="34">
        <v>0</v>
      </c>
      <c r="T39" s="34">
        <v>0</v>
      </c>
      <c r="U39" s="9"/>
      <c r="V39" s="34"/>
      <c r="W39" s="34"/>
      <c r="X39" s="9" t="e">
        <f t="shared" si="27"/>
        <v>#DIV/0!</v>
      </c>
      <c r="Y39" s="70">
        <f t="shared" si="28"/>
        <v>0</v>
      </c>
      <c r="Z39" s="70">
        <f t="shared" si="29"/>
        <v>0</v>
      </c>
      <c r="AA39" s="9" t="e">
        <f t="shared" si="30"/>
        <v>#DIV/0!</v>
      </c>
      <c r="AB39" s="34"/>
      <c r="AC39" s="34"/>
      <c r="AD39" s="84" t="e">
        <f t="shared" si="3"/>
        <v>#DIV/0!</v>
      </c>
      <c r="AE39" s="34"/>
      <c r="AF39" s="34"/>
      <c r="AG39" s="9" t="e">
        <f t="shared" si="4"/>
        <v>#DIV/0!</v>
      </c>
      <c r="AH39" s="34"/>
      <c r="AI39" s="34"/>
      <c r="AJ39" s="9" t="e">
        <f t="shared" si="5"/>
        <v>#DIV/0!</v>
      </c>
      <c r="AK39" s="70">
        <f t="shared" si="33"/>
        <v>0</v>
      </c>
      <c r="AL39" s="70">
        <f t="shared" si="34"/>
        <v>0</v>
      </c>
      <c r="AM39" s="9" t="e">
        <f t="shared" si="31"/>
        <v>#DIV/0!</v>
      </c>
      <c r="AN39" s="34"/>
      <c r="AO39" s="34"/>
      <c r="AP39" s="34"/>
      <c r="AQ39" s="34"/>
      <c r="AR39" s="34"/>
      <c r="AS39" s="34"/>
      <c r="AT39" s="57">
        <f t="shared" si="22"/>
        <v>0</v>
      </c>
      <c r="AU39" s="57">
        <f t="shared" si="23"/>
        <v>2033.5</v>
      </c>
      <c r="AV39" s="84" t="e">
        <f t="shared" si="6"/>
        <v>#DIV/0!</v>
      </c>
      <c r="AW39" s="57">
        <f t="shared" si="24"/>
        <v>-2033.5</v>
      </c>
      <c r="AX39" s="15">
        <f t="shared" si="25"/>
        <v>0</v>
      </c>
      <c r="AY39" s="19">
        <f t="shared" si="15"/>
        <v>0</v>
      </c>
      <c r="AZ39" s="19">
        <f t="shared" si="16"/>
        <v>2033.5</v>
      </c>
      <c r="BA39" s="38">
        <f t="shared" si="17"/>
        <v>0</v>
      </c>
    </row>
    <row r="40" spans="1:53" ht="34.5" customHeight="1">
      <c r="A40" s="55">
        <v>31</v>
      </c>
      <c r="B40" s="114" t="s">
        <v>63</v>
      </c>
      <c r="C40" s="12">
        <v>0</v>
      </c>
      <c r="D40" s="34">
        <v>0</v>
      </c>
      <c r="E40" s="34">
        <v>0</v>
      </c>
      <c r="F40" s="84" t="e">
        <f t="shared" si="7"/>
        <v>#DIV/0!</v>
      </c>
      <c r="G40" s="34">
        <v>0</v>
      </c>
      <c r="H40" s="34">
        <v>0</v>
      </c>
      <c r="I40" s="84" t="e">
        <f t="shared" si="8"/>
        <v>#DIV/0!</v>
      </c>
      <c r="J40" s="34">
        <v>0</v>
      </c>
      <c r="K40" s="34">
        <v>0</v>
      </c>
      <c r="L40" s="84" t="e">
        <f t="shared" si="26"/>
        <v>#DIV/0!</v>
      </c>
      <c r="M40" s="70">
        <f t="shared" si="18"/>
        <v>0</v>
      </c>
      <c r="N40" s="70">
        <f t="shared" si="19"/>
        <v>0</v>
      </c>
      <c r="O40" s="84" t="e">
        <f t="shared" si="1"/>
        <v>#DIV/0!</v>
      </c>
      <c r="P40" s="34">
        <v>0</v>
      </c>
      <c r="Q40" s="34">
        <v>0</v>
      </c>
      <c r="R40" s="84" t="e">
        <f t="shared" si="10"/>
        <v>#DIV/0!</v>
      </c>
      <c r="S40" s="34">
        <v>0</v>
      </c>
      <c r="T40" s="34">
        <v>0</v>
      </c>
      <c r="U40" s="9"/>
      <c r="V40" s="34">
        <v>0</v>
      </c>
      <c r="W40" s="34">
        <v>0</v>
      </c>
      <c r="X40" s="9" t="e">
        <f t="shared" si="27"/>
        <v>#DIV/0!</v>
      </c>
      <c r="Y40" s="70">
        <f t="shared" si="28"/>
        <v>0</v>
      </c>
      <c r="Z40" s="70">
        <f t="shared" si="29"/>
        <v>0</v>
      </c>
      <c r="AA40" s="9" t="e">
        <f t="shared" si="30"/>
        <v>#DIV/0!</v>
      </c>
      <c r="AB40" s="34"/>
      <c r="AC40" s="34"/>
      <c r="AD40" s="84" t="e">
        <f t="shared" si="3"/>
        <v>#DIV/0!</v>
      </c>
      <c r="AE40" s="34"/>
      <c r="AF40" s="34"/>
      <c r="AG40" s="9"/>
      <c r="AH40" s="34"/>
      <c r="AI40" s="34"/>
      <c r="AJ40" s="9"/>
      <c r="AK40" s="70">
        <f t="shared" si="33"/>
        <v>0</v>
      </c>
      <c r="AL40" s="70">
        <f t="shared" si="34"/>
        <v>0</v>
      </c>
      <c r="AM40" s="9" t="e">
        <f t="shared" si="31"/>
        <v>#DIV/0!</v>
      </c>
      <c r="AN40" s="34"/>
      <c r="AO40" s="34"/>
      <c r="AP40" s="34"/>
      <c r="AQ40" s="34"/>
      <c r="AR40" s="34"/>
      <c r="AS40" s="34"/>
      <c r="AT40" s="57">
        <f t="shared" si="22"/>
        <v>0</v>
      </c>
      <c r="AU40" s="57">
        <f t="shared" si="23"/>
        <v>0</v>
      </c>
      <c r="AV40" s="84" t="e">
        <f t="shared" si="6"/>
        <v>#DIV/0!</v>
      </c>
      <c r="AW40" s="57">
        <f t="shared" si="24"/>
        <v>0</v>
      </c>
      <c r="AX40" s="15">
        <f t="shared" si="25"/>
        <v>0</v>
      </c>
      <c r="AY40" s="19">
        <f t="shared" si="15"/>
        <v>0</v>
      </c>
      <c r="AZ40" s="19">
        <f t="shared" si="16"/>
        <v>0</v>
      </c>
      <c r="BA40" s="38">
        <f t="shared" si="17"/>
        <v>0</v>
      </c>
    </row>
    <row r="41" spans="1:53" ht="34.5" customHeight="1">
      <c r="A41" s="55">
        <v>32</v>
      </c>
      <c r="B41" s="58" t="s">
        <v>64</v>
      </c>
      <c r="C41" s="12">
        <v>-231.1</v>
      </c>
      <c r="D41" s="34">
        <v>0</v>
      </c>
      <c r="E41" s="34">
        <v>0</v>
      </c>
      <c r="F41" s="84" t="e">
        <f t="shared" si="7"/>
        <v>#DIV/0!</v>
      </c>
      <c r="G41" s="34">
        <v>0</v>
      </c>
      <c r="H41" s="34">
        <v>0</v>
      </c>
      <c r="I41" s="84" t="e">
        <f t="shared" si="8"/>
        <v>#DIV/0!</v>
      </c>
      <c r="J41" s="34">
        <v>0</v>
      </c>
      <c r="K41" s="34">
        <v>-4.5</v>
      </c>
      <c r="L41" s="84" t="e">
        <f t="shared" si="26"/>
        <v>#DIV/0!</v>
      </c>
      <c r="M41" s="70">
        <f t="shared" si="18"/>
        <v>0</v>
      </c>
      <c r="N41" s="70">
        <f t="shared" si="19"/>
        <v>-4.5</v>
      </c>
      <c r="O41" s="84" t="e">
        <f t="shared" si="1"/>
        <v>#DIV/0!</v>
      </c>
      <c r="P41" s="34">
        <v>0</v>
      </c>
      <c r="Q41" s="34">
        <v>-2</v>
      </c>
      <c r="R41" s="84" t="e">
        <f t="shared" si="10"/>
        <v>#DIV/0!</v>
      </c>
      <c r="S41" s="34">
        <v>0</v>
      </c>
      <c r="T41" s="34">
        <v>-4.7</v>
      </c>
      <c r="U41" s="101"/>
      <c r="V41" s="34">
        <v>0</v>
      </c>
      <c r="W41" s="34">
        <v>0</v>
      </c>
      <c r="X41" s="101" t="e">
        <f t="shared" si="27"/>
        <v>#DIV/0!</v>
      </c>
      <c r="Y41" s="70">
        <f t="shared" si="28"/>
        <v>0</v>
      </c>
      <c r="Z41" s="70">
        <f t="shared" si="29"/>
        <v>-6.7</v>
      </c>
      <c r="AA41" s="9" t="e">
        <f t="shared" si="30"/>
        <v>#DIV/0!</v>
      </c>
      <c r="AB41" s="34"/>
      <c r="AC41" s="34"/>
      <c r="AD41" s="84" t="e">
        <f t="shared" si="3"/>
        <v>#DIV/0!</v>
      </c>
      <c r="AE41" s="34"/>
      <c r="AF41" s="34"/>
      <c r="AG41" s="9" t="e">
        <f t="shared" si="4"/>
        <v>#DIV/0!</v>
      </c>
      <c r="AH41" s="34"/>
      <c r="AI41" s="34"/>
      <c r="AJ41" s="9" t="e">
        <f t="shared" si="5"/>
        <v>#DIV/0!</v>
      </c>
      <c r="AK41" s="70">
        <f t="shared" si="33"/>
        <v>0</v>
      </c>
      <c r="AL41" s="70">
        <f t="shared" si="34"/>
        <v>0</v>
      </c>
      <c r="AM41" s="9" t="e">
        <f t="shared" si="31"/>
        <v>#DIV/0!</v>
      </c>
      <c r="AN41" s="34"/>
      <c r="AO41" s="34"/>
      <c r="AP41" s="34"/>
      <c r="AQ41" s="34"/>
      <c r="AR41" s="34"/>
      <c r="AS41" s="34"/>
      <c r="AT41" s="57">
        <f t="shared" si="22"/>
        <v>0</v>
      </c>
      <c r="AU41" s="57">
        <f t="shared" si="23"/>
        <v>-11.2</v>
      </c>
      <c r="AV41" s="84" t="e">
        <f t="shared" si="6"/>
        <v>#DIV/0!</v>
      </c>
      <c r="AW41" s="57">
        <f t="shared" si="24"/>
        <v>11.2</v>
      </c>
      <c r="AX41" s="15">
        <f t="shared" si="25"/>
        <v>-219.9</v>
      </c>
      <c r="AY41" s="19">
        <f t="shared" si="15"/>
        <v>0</v>
      </c>
      <c r="AZ41" s="19">
        <f t="shared" si="16"/>
        <v>-11.2</v>
      </c>
      <c r="BA41" s="38">
        <f t="shared" si="17"/>
        <v>-219.9</v>
      </c>
    </row>
    <row r="42" spans="1:53" ht="34.5" customHeight="1">
      <c r="A42" s="55">
        <v>33</v>
      </c>
      <c r="B42" s="114" t="s">
        <v>48</v>
      </c>
      <c r="C42" s="12">
        <v>0</v>
      </c>
      <c r="D42" s="34">
        <v>0</v>
      </c>
      <c r="E42" s="34">
        <v>0</v>
      </c>
      <c r="F42" s="84" t="e">
        <f>E42/D42*100</f>
        <v>#DIV/0!</v>
      </c>
      <c r="G42" s="34">
        <v>0</v>
      </c>
      <c r="H42" s="34">
        <v>0</v>
      </c>
      <c r="I42" s="84" t="e">
        <f t="shared" si="8"/>
        <v>#DIV/0!</v>
      </c>
      <c r="J42" s="34">
        <v>0</v>
      </c>
      <c r="K42" s="34">
        <v>0</v>
      </c>
      <c r="L42" s="84" t="e">
        <f t="shared" si="26"/>
        <v>#DIV/0!</v>
      </c>
      <c r="M42" s="70">
        <f t="shared" si="18"/>
        <v>0</v>
      </c>
      <c r="N42" s="70">
        <f t="shared" si="19"/>
        <v>0</v>
      </c>
      <c r="O42" s="84" t="e">
        <f t="shared" si="1"/>
        <v>#DIV/0!</v>
      </c>
      <c r="P42" s="34">
        <v>0</v>
      </c>
      <c r="Q42" s="34">
        <v>0</v>
      </c>
      <c r="R42" s="84" t="e">
        <f t="shared" si="10"/>
        <v>#DIV/0!</v>
      </c>
      <c r="S42" s="34">
        <v>0</v>
      </c>
      <c r="T42" s="34">
        <v>0</v>
      </c>
      <c r="U42" s="101"/>
      <c r="V42" s="34"/>
      <c r="W42" s="34"/>
      <c r="X42" s="101" t="e">
        <f t="shared" si="27"/>
        <v>#DIV/0!</v>
      </c>
      <c r="Y42" s="70">
        <f t="shared" si="28"/>
        <v>0</v>
      </c>
      <c r="Z42" s="70">
        <f t="shared" si="29"/>
        <v>0</v>
      </c>
      <c r="AA42" s="9" t="e">
        <f t="shared" si="30"/>
        <v>#DIV/0!</v>
      </c>
      <c r="AB42" s="34"/>
      <c r="AC42" s="34"/>
      <c r="AD42" s="84" t="e">
        <f t="shared" si="3"/>
        <v>#DIV/0!</v>
      </c>
      <c r="AE42" s="34"/>
      <c r="AF42" s="34"/>
      <c r="AG42" s="84" t="e">
        <f t="shared" si="4"/>
        <v>#DIV/0!</v>
      </c>
      <c r="AH42" s="34"/>
      <c r="AI42" s="34"/>
      <c r="AJ42" s="9"/>
      <c r="AK42" s="70">
        <f t="shared" si="33"/>
        <v>0</v>
      </c>
      <c r="AL42" s="70">
        <f t="shared" si="34"/>
        <v>0</v>
      </c>
      <c r="AM42" s="84" t="e">
        <f t="shared" si="31"/>
        <v>#DIV/0!</v>
      </c>
      <c r="AN42" s="34"/>
      <c r="AO42" s="34"/>
      <c r="AP42" s="34"/>
      <c r="AQ42" s="34"/>
      <c r="AR42" s="34"/>
      <c r="AS42" s="34"/>
      <c r="AT42" s="57">
        <f t="shared" si="22"/>
        <v>0</v>
      </c>
      <c r="AU42" s="57">
        <f t="shared" si="23"/>
        <v>0</v>
      </c>
      <c r="AV42" s="84" t="e">
        <f t="shared" si="6"/>
        <v>#DIV/0!</v>
      </c>
      <c r="AW42" s="57">
        <f t="shared" si="24"/>
        <v>0</v>
      </c>
      <c r="AX42" s="15">
        <f t="shared" si="25"/>
        <v>0</v>
      </c>
      <c r="AY42" s="19">
        <f t="shared" si="15"/>
        <v>0</v>
      </c>
      <c r="AZ42" s="19">
        <f t="shared" si="16"/>
        <v>0</v>
      </c>
      <c r="BA42" s="38">
        <f t="shared" si="17"/>
        <v>0</v>
      </c>
    </row>
    <row r="43" spans="1:53" s="10" customFormat="1" ht="34.5" customHeight="1">
      <c r="A43" s="55">
        <v>34</v>
      </c>
      <c r="B43" s="13" t="s">
        <v>66</v>
      </c>
      <c r="C43" s="15">
        <f>SUM(C44:C44)</f>
        <v>0</v>
      </c>
      <c r="D43" s="15">
        <f>SUM(D44:D44)</f>
        <v>0</v>
      </c>
      <c r="E43" s="15">
        <f>SUM(E44:E44)</f>
        <v>0</v>
      </c>
      <c r="F43" s="84" t="e">
        <f t="shared" si="7"/>
        <v>#DIV/0!</v>
      </c>
      <c r="G43" s="15">
        <f>SUM(G44:G44)</f>
        <v>0</v>
      </c>
      <c r="H43" s="15">
        <f>SUM(H44:H44)</f>
        <v>0</v>
      </c>
      <c r="I43" s="84" t="e">
        <f t="shared" si="8"/>
        <v>#DIV/0!</v>
      </c>
      <c r="J43" s="15">
        <f>SUM(J44:J44)</f>
        <v>0</v>
      </c>
      <c r="K43" s="15">
        <f>SUM(K44:K44)</f>
        <v>0</v>
      </c>
      <c r="L43" s="9" t="e">
        <f t="shared" si="26"/>
        <v>#DIV/0!</v>
      </c>
      <c r="M43" s="15">
        <f>SUM(M44:M44)</f>
        <v>0</v>
      </c>
      <c r="N43" s="15">
        <f>SUM(N44:N44)</f>
        <v>0</v>
      </c>
      <c r="O43" s="84" t="e">
        <f t="shared" si="1"/>
        <v>#DIV/0!</v>
      </c>
      <c r="P43" s="15">
        <f>SUM(P44:P44)</f>
        <v>0</v>
      </c>
      <c r="Q43" s="15">
        <f>SUM(Q44:Q44)</f>
        <v>0</v>
      </c>
      <c r="R43" s="84" t="e">
        <f t="shared" si="10"/>
        <v>#DIV/0!</v>
      </c>
      <c r="S43" s="15">
        <f>SUM(S44:S44)</f>
        <v>0</v>
      </c>
      <c r="T43" s="15">
        <f>SUM(T44:T44)</f>
        <v>0</v>
      </c>
      <c r="U43" s="84" t="e">
        <f>T43/S43*100</f>
        <v>#DIV/0!</v>
      </c>
      <c r="V43" s="15">
        <f>SUM(V44:V44)</f>
        <v>0</v>
      </c>
      <c r="W43" s="15">
        <f>SUM(W44:W44)</f>
        <v>0</v>
      </c>
      <c r="X43" s="9" t="e">
        <f t="shared" si="27"/>
        <v>#DIV/0!</v>
      </c>
      <c r="Y43" s="15">
        <f>SUM(Y44:Y44)</f>
        <v>0</v>
      </c>
      <c r="Z43" s="15">
        <f>SUM(Z44:Z44)</f>
        <v>0</v>
      </c>
      <c r="AA43" s="9" t="e">
        <f t="shared" si="30"/>
        <v>#DIV/0!</v>
      </c>
      <c r="AB43" s="15">
        <f>SUM(AB44:AB44)</f>
        <v>0</v>
      </c>
      <c r="AC43" s="15">
        <f>SUM(AC44:AC44)</f>
        <v>0</v>
      </c>
      <c r="AD43" s="9" t="e">
        <f t="shared" si="3"/>
        <v>#DIV/0!</v>
      </c>
      <c r="AE43" s="15">
        <f>SUM(AE44:AE44)</f>
        <v>0</v>
      </c>
      <c r="AF43" s="15">
        <f>SUM(AF44:AF44)</f>
        <v>0</v>
      </c>
      <c r="AG43" s="9" t="e">
        <f t="shared" si="4"/>
        <v>#DIV/0!</v>
      </c>
      <c r="AH43" s="15">
        <f>SUM(AH44:AH44)</f>
        <v>0</v>
      </c>
      <c r="AI43" s="15">
        <f>SUM(AI44:AI44)</f>
        <v>0</v>
      </c>
      <c r="AJ43" s="9" t="e">
        <f t="shared" si="5"/>
        <v>#DIV/0!</v>
      </c>
      <c r="AK43" s="15">
        <f>SUM(AK44:AK44)</f>
        <v>0</v>
      </c>
      <c r="AL43" s="15">
        <f>SUM(AL44:AL44)</f>
        <v>0</v>
      </c>
      <c r="AM43" s="9" t="e">
        <f t="shared" si="31"/>
        <v>#DIV/0!</v>
      </c>
      <c r="AN43" s="15">
        <f aca="true" t="shared" si="35" ref="AN43:AU43">SUM(AN44:AN44)</f>
        <v>0</v>
      </c>
      <c r="AO43" s="15">
        <f t="shared" si="35"/>
        <v>0</v>
      </c>
      <c r="AP43" s="15">
        <f t="shared" si="35"/>
        <v>0</v>
      </c>
      <c r="AQ43" s="15">
        <f t="shared" si="35"/>
        <v>0</v>
      </c>
      <c r="AR43" s="15">
        <f t="shared" si="35"/>
        <v>0</v>
      </c>
      <c r="AS43" s="15">
        <f t="shared" si="35"/>
        <v>0</v>
      </c>
      <c r="AT43" s="15">
        <f t="shared" si="35"/>
        <v>0</v>
      </c>
      <c r="AU43" s="15">
        <f t="shared" si="35"/>
        <v>0</v>
      </c>
      <c r="AV43" s="84" t="e">
        <f t="shared" si="6"/>
        <v>#DIV/0!</v>
      </c>
      <c r="AW43" s="15">
        <f>SUM(AW44:AW44)</f>
        <v>0</v>
      </c>
      <c r="AX43" s="15">
        <f>SUM(AX44:AX44)</f>
        <v>0</v>
      </c>
      <c r="AY43" s="19">
        <f t="shared" si="15"/>
        <v>0</v>
      </c>
      <c r="AZ43" s="19">
        <f t="shared" si="16"/>
        <v>0</v>
      </c>
      <c r="BA43" s="38">
        <f t="shared" si="17"/>
        <v>0</v>
      </c>
    </row>
    <row r="44" spans="1:53" s="10" customFormat="1" ht="34.5" customHeight="1">
      <c r="A44" s="64"/>
      <c r="B44" s="37" t="s">
        <v>67</v>
      </c>
      <c r="C44" s="12">
        <v>0</v>
      </c>
      <c r="D44" s="34">
        <v>0</v>
      </c>
      <c r="E44" s="65">
        <v>0</v>
      </c>
      <c r="F44" s="84" t="e">
        <f t="shared" si="7"/>
        <v>#DIV/0!</v>
      </c>
      <c r="G44" s="34">
        <v>0</v>
      </c>
      <c r="H44" s="34">
        <v>0</v>
      </c>
      <c r="I44" s="84" t="e">
        <f t="shared" si="8"/>
        <v>#DIV/0!</v>
      </c>
      <c r="J44" s="34">
        <v>0</v>
      </c>
      <c r="K44" s="34">
        <v>0</v>
      </c>
      <c r="L44" s="84" t="e">
        <f t="shared" si="26"/>
        <v>#DIV/0!</v>
      </c>
      <c r="M44" s="70">
        <f t="shared" si="18"/>
        <v>0</v>
      </c>
      <c r="N44" s="70">
        <f t="shared" si="19"/>
        <v>0</v>
      </c>
      <c r="O44" s="84" t="e">
        <f t="shared" si="1"/>
        <v>#DIV/0!</v>
      </c>
      <c r="P44" s="34">
        <v>0</v>
      </c>
      <c r="Q44" s="34">
        <v>0</v>
      </c>
      <c r="R44" s="84" t="e">
        <f t="shared" si="10"/>
        <v>#DIV/0!</v>
      </c>
      <c r="S44" s="34">
        <v>0</v>
      </c>
      <c r="T44" s="34">
        <v>0</v>
      </c>
      <c r="U44" s="9"/>
      <c r="V44" s="34"/>
      <c r="W44" s="34"/>
      <c r="X44" s="9" t="e">
        <f t="shared" si="27"/>
        <v>#DIV/0!</v>
      </c>
      <c r="Y44" s="70">
        <f>P44+S44+V44</f>
        <v>0</v>
      </c>
      <c r="Z44" s="70">
        <f>Q44+T44+W44</f>
        <v>0</v>
      </c>
      <c r="AA44" s="9" t="e">
        <f t="shared" si="30"/>
        <v>#DIV/0!</v>
      </c>
      <c r="AB44" s="34"/>
      <c r="AC44" s="34"/>
      <c r="AD44" s="9" t="e">
        <f t="shared" si="3"/>
        <v>#DIV/0!</v>
      </c>
      <c r="AE44" s="34"/>
      <c r="AF44" s="34"/>
      <c r="AG44" s="9" t="e">
        <f t="shared" si="4"/>
        <v>#DIV/0!</v>
      </c>
      <c r="AH44" s="34"/>
      <c r="AI44" s="34"/>
      <c r="AJ44" s="9" t="e">
        <f t="shared" si="5"/>
        <v>#DIV/0!</v>
      </c>
      <c r="AK44" s="70">
        <f>AB44+AE44+AH44</f>
        <v>0</v>
      </c>
      <c r="AL44" s="70">
        <f>AC44+AF44+AI44</f>
        <v>0</v>
      </c>
      <c r="AM44" s="9" t="e">
        <f t="shared" si="31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0</v>
      </c>
      <c r="AU44" s="57">
        <f>N44+Z44+AL44+AO44+AQ44+AS44</f>
        <v>0</v>
      </c>
      <c r="AV44" s="84" t="e">
        <f t="shared" si="6"/>
        <v>#DIV/0!</v>
      </c>
      <c r="AW44" s="57">
        <f t="shared" si="24"/>
        <v>0</v>
      </c>
      <c r="AX44" s="15">
        <f t="shared" si="25"/>
        <v>0</v>
      </c>
      <c r="AY44" s="19">
        <f t="shared" si="15"/>
        <v>0</v>
      </c>
      <c r="AZ44" s="19">
        <f t="shared" si="16"/>
        <v>0</v>
      </c>
      <c r="BA44" s="38">
        <f t="shared" si="17"/>
        <v>0</v>
      </c>
    </row>
    <row r="45" spans="1:53" s="10" customFormat="1" ht="34.5" customHeight="1">
      <c r="A45" s="64"/>
      <c r="B45" s="13" t="s">
        <v>90</v>
      </c>
      <c r="C45" s="15">
        <f>C7+C43</f>
        <v>845.3000000000001</v>
      </c>
      <c r="D45" s="15">
        <f>D7+D43</f>
        <v>34.599999999999994</v>
      </c>
      <c r="E45" s="15">
        <f>E7+E43</f>
        <v>-5.000000000000002</v>
      </c>
      <c r="F45" s="9">
        <f t="shared" si="7"/>
        <v>-14.450867052023128</v>
      </c>
      <c r="G45" s="15">
        <f>G7+G43</f>
        <v>53.4</v>
      </c>
      <c r="H45" s="15">
        <f>H7+H43</f>
        <v>2079.2</v>
      </c>
      <c r="I45" s="9">
        <f t="shared" si="8"/>
        <v>3893.632958801498</v>
      </c>
      <c r="J45" s="15">
        <f>J7+J43</f>
        <v>49.92000000000001</v>
      </c>
      <c r="K45" s="15">
        <f>K7+K43</f>
        <v>37.89</v>
      </c>
      <c r="L45" s="9">
        <f t="shared" si="26"/>
        <v>75.90144230769229</v>
      </c>
      <c r="M45" s="15">
        <f>M7+M43</f>
        <v>137.92000000000002</v>
      </c>
      <c r="N45" s="15">
        <f>N7+N43</f>
        <v>2112.09</v>
      </c>
      <c r="O45" s="9">
        <f t="shared" si="1"/>
        <v>1531.3877610208817</v>
      </c>
      <c r="P45" s="15">
        <f>P7+P43</f>
        <v>43.61</v>
      </c>
      <c r="Q45" s="15">
        <f>Q7+Q43</f>
        <v>36.28</v>
      </c>
      <c r="R45" s="9">
        <f t="shared" si="10"/>
        <v>83.19192845677598</v>
      </c>
      <c r="S45" s="15">
        <f>S7+S43</f>
        <v>68.7</v>
      </c>
      <c r="T45" s="15">
        <f>T7+T43</f>
        <v>55.4</v>
      </c>
      <c r="U45" s="9">
        <f>T45/S45*100</f>
        <v>80.64046579330422</v>
      </c>
      <c r="V45" s="15">
        <f>V7+V43</f>
        <v>36.6</v>
      </c>
      <c r="W45" s="15">
        <f>W7+W43</f>
        <v>30.599999999999998</v>
      </c>
      <c r="X45" s="9">
        <f t="shared" si="27"/>
        <v>83.60655737704917</v>
      </c>
      <c r="Y45" s="15">
        <f>Y7+Y43</f>
        <v>148.91</v>
      </c>
      <c r="Z45" s="15">
        <f>Z7+Z43</f>
        <v>122.27999999999999</v>
      </c>
      <c r="AA45" s="9">
        <f t="shared" si="30"/>
        <v>82.11671479417096</v>
      </c>
      <c r="AB45" s="15">
        <f>AB7+AB43</f>
        <v>0</v>
      </c>
      <c r="AC45" s="15">
        <f>AC7+AC43</f>
        <v>0</v>
      </c>
      <c r="AD45" s="9" t="e">
        <f t="shared" si="3"/>
        <v>#DIV/0!</v>
      </c>
      <c r="AE45" s="15">
        <f>AE43+AE7</f>
        <v>0</v>
      </c>
      <c r="AF45" s="15">
        <f>AF43+AF7</f>
        <v>0</v>
      </c>
      <c r="AG45" s="9" t="e">
        <f t="shared" si="4"/>
        <v>#DIV/0!</v>
      </c>
      <c r="AH45" s="15">
        <f>AH43+AH7</f>
        <v>0</v>
      </c>
      <c r="AI45" s="15">
        <f>AI43+AI7</f>
        <v>0</v>
      </c>
      <c r="AJ45" s="9" t="e">
        <f t="shared" si="5"/>
        <v>#DIV/0!</v>
      </c>
      <c r="AK45" s="15">
        <f>AK7+AK43</f>
        <v>0</v>
      </c>
      <c r="AL45" s="15">
        <f>AL7+AL43</f>
        <v>0</v>
      </c>
      <c r="AM45" s="9" t="e">
        <f t="shared" si="31"/>
        <v>#DIV/0!</v>
      </c>
      <c r="AN45" s="15">
        <f aca="true" t="shared" si="36" ref="AN45:AS45">AN43+AN7</f>
        <v>0</v>
      </c>
      <c r="AO45" s="15">
        <f t="shared" si="36"/>
        <v>0</v>
      </c>
      <c r="AP45" s="15">
        <f t="shared" si="36"/>
        <v>0</v>
      </c>
      <c r="AQ45" s="15">
        <f t="shared" si="36"/>
        <v>0</v>
      </c>
      <c r="AR45" s="15">
        <f t="shared" si="36"/>
        <v>0</v>
      </c>
      <c r="AS45" s="15">
        <f t="shared" si="36"/>
        <v>0</v>
      </c>
      <c r="AT45" s="66">
        <f>AT7+AT43</f>
        <v>286.83000000000004</v>
      </c>
      <c r="AU45" s="66">
        <f>AU7+AU43</f>
        <v>2234.3700000000003</v>
      </c>
      <c r="AV45" s="9">
        <f>AU45/AT45*100</f>
        <v>778.9875536031797</v>
      </c>
      <c r="AW45" s="15">
        <f>AW7+AW43</f>
        <v>-1947.54</v>
      </c>
      <c r="AX45" s="15">
        <f>AX7+AX43</f>
        <v>-1102.24</v>
      </c>
      <c r="AY45" s="19">
        <f t="shared" si="15"/>
        <v>286.83000000000004</v>
      </c>
      <c r="AZ45" s="19">
        <f t="shared" si="16"/>
        <v>2234.3700000000003</v>
      </c>
      <c r="BA45" s="38">
        <f t="shared" si="17"/>
        <v>-1102.2400000000002</v>
      </c>
    </row>
    <row r="46" spans="1:52" s="110" customFormat="1" ht="54.75" customHeight="1">
      <c r="A46" s="242" t="s">
        <v>95</v>
      </c>
      <c r="B46" s="242"/>
      <c r="C46" s="242"/>
      <c r="D46" s="131"/>
      <c r="E46" s="131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Z46" s="19"/>
    </row>
    <row r="47" spans="7:52" ht="1.5" customHeight="1"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250" t="s">
        <v>75</v>
      </c>
      <c r="AX47" s="251"/>
      <c r="AZ47" s="19"/>
    </row>
    <row r="48" spans="2:52" ht="45.75" customHeight="1" hidden="1">
      <c r="B48" s="249" t="s">
        <v>44</v>
      </c>
      <c r="C48" s="249"/>
      <c r="D48" s="249"/>
      <c r="E48" s="249"/>
      <c r="F48" s="249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X48" s="4" t="s">
        <v>73</v>
      </c>
      <c r="AZ48" s="19"/>
    </row>
    <row r="49" spans="1:52" ht="12.75" customHeight="1" hidden="1">
      <c r="A49" s="243"/>
      <c r="B49" s="243"/>
      <c r="C49" s="29"/>
      <c r="D49" s="29"/>
      <c r="E49" s="29"/>
      <c r="F49" s="29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T49" s="10"/>
      <c r="AU49" s="10"/>
      <c r="AW49" s="10"/>
      <c r="AZ49" s="19"/>
    </row>
    <row r="50" spans="1:50" s="28" customFormat="1" ht="96.75" customHeight="1">
      <c r="A50" s="25"/>
      <c r="B50" s="233" t="s">
        <v>74</v>
      </c>
      <c r="C50" s="233"/>
      <c r="D50" s="233"/>
      <c r="E50" s="233"/>
      <c r="F50" s="233"/>
      <c r="G50" s="2"/>
      <c r="H50" s="2"/>
      <c r="I50" s="10"/>
      <c r="J50" s="2"/>
      <c r="K50" s="2"/>
      <c r="L50" s="10"/>
      <c r="M50" s="10"/>
      <c r="N50" s="10"/>
      <c r="O50" s="10"/>
      <c r="P50" s="2"/>
      <c r="Q50" s="2"/>
      <c r="R50" s="10"/>
      <c r="S50" s="2"/>
      <c r="T50" s="2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47"/>
      <c r="AF50" s="47"/>
      <c r="AG50" s="47"/>
      <c r="AH50" s="47"/>
      <c r="AI50" s="47"/>
      <c r="AJ50" s="47"/>
      <c r="AK50" s="10"/>
      <c r="AL50" s="10"/>
      <c r="AM50" s="10"/>
      <c r="AN50" s="47"/>
      <c r="AO50" s="47"/>
      <c r="AP50" s="47"/>
      <c r="AQ50" s="47"/>
      <c r="AR50" s="47"/>
      <c r="AS50" s="47"/>
      <c r="AT50" s="2"/>
      <c r="AU50" s="2"/>
      <c r="AV50" s="10"/>
      <c r="AW50" s="2"/>
      <c r="AX50" s="2"/>
    </row>
    <row r="51" spans="31:45" ht="18.75">
      <c r="AE51" s="48"/>
      <c r="AF51" s="48"/>
      <c r="AG51" s="48"/>
      <c r="AH51" s="48"/>
      <c r="AI51" s="48"/>
      <c r="AJ51" s="48"/>
      <c r="AN51" s="48"/>
      <c r="AO51" s="48"/>
      <c r="AP51" s="48"/>
      <c r="AQ51" s="48"/>
      <c r="AR51" s="48"/>
      <c r="AS51" s="48"/>
    </row>
    <row r="52" spans="3:50" ht="18.75">
      <c r="C52" s="109"/>
      <c r="D52" s="16"/>
      <c r="E52" s="16"/>
      <c r="F52" s="47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3:50" ht="18.75">
      <c r="C53" s="109"/>
      <c r="D53" s="16"/>
      <c r="E53" s="16"/>
      <c r="F53" s="47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3:50" ht="18.75">
      <c r="C54" s="109"/>
      <c r="D54" s="16"/>
      <c r="E54" s="16"/>
      <c r="F54" s="47"/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7:50" ht="18.75"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3:50" ht="18.75">
      <c r="C56" s="109"/>
      <c r="D56" s="16"/>
      <c r="E56" s="16"/>
      <c r="F56" s="47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3:50" ht="18.75">
      <c r="C57" s="109"/>
      <c r="D57" s="16"/>
      <c r="E57" s="16"/>
      <c r="F57" s="47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3:50" ht="18.75">
      <c r="C58" s="109"/>
      <c r="D58" s="16"/>
      <c r="E58" s="16"/>
      <c r="F58" s="47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3:50" ht="18.75">
      <c r="C59" s="109"/>
      <c r="D59" s="16"/>
      <c r="E59" s="16"/>
      <c r="F59" s="47"/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3:50" ht="18.75">
      <c r="C60" s="109"/>
      <c r="D60" s="16"/>
      <c r="E60" s="16"/>
      <c r="F60" s="47"/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3:50" ht="18.75">
      <c r="C61" s="109"/>
      <c r="D61" s="16"/>
      <c r="E61" s="16"/>
      <c r="F61" s="47"/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3:50" ht="18.75">
      <c r="C62" s="109"/>
      <c r="D62" s="16"/>
      <c r="E62" s="16"/>
      <c r="F62" s="47"/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3:50" ht="18.75">
      <c r="C63" s="109"/>
      <c r="D63" s="16"/>
      <c r="E63" s="16"/>
      <c r="F63" s="47"/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3:50" ht="18.75">
      <c r="C64" s="109"/>
      <c r="D64" s="16"/>
      <c r="E64" s="16"/>
      <c r="F64" s="47"/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3:50" ht="18.75">
      <c r="C65" s="109"/>
      <c r="D65" s="16"/>
      <c r="E65" s="16"/>
      <c r="F65" s="47"/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3:50" ht="18.75">
      <c r="C66" s="109"/>
      <c r="D66" s="16"/>
      <c r="E66" s="16"/>
      <c r="F66" s="47"/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3:50" ht="18.75">
      <c r="C67" s="109"/>
      <c r="D67" s="16"/>
      <c r="E67" s="16"/>
      <c r="F67" s="47"/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3:50" ht="18.75">
      <c r="C68" s="109"/>
      <c r="D68" s="16"/>
      <c r="E68" s="16"/>
      <c r="F68" s="47"/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3:50" ht="18.75">
      <c r="C69" s="109"/>
      <c r="D69" s="16"/>
      <c r="E69" s="16"/>
      <c r="F69" s="47"/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3:50" ht="18.75">
      <c r="C70" s="109"/>
      <c r="D70" s="16"/>
      <c r="E70" s="16"/>
      <c r="F70" s="47"/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3:50" ht="18.75">
      <c r="C71" s="109"/>
      <c r="D71" s="16"/>
      <c r="E71" s="16"/>
      <c r="F71" s="47"/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3:50" ht="18.75">
      <c r="C72" s="109"/>
      <c r="D72" s="16"/>
      <c r="E72" s="16"/>
      <c r="F72" s="47"/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3:50" ht="18.75">
      <c r="C73" s="109"/>
      <c r="D73" s="16"/>
      <c r="E73" s="16"/>
      <c r="F73" s="47"/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3:50" ht="18.75">
      <c r="C74" s="109"/>
      <c r="D74" s="16"/>
      <c r="E74" s="16"/>
      <c r="F74" s="47"/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3:50" ht="18.75">
      <c r="C75" s="109"/>
      <c r="D75" s="16"/>
      <c r="E75" s="16"/>
      <c r="F75" s="47"/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3:50" ht="18.75">
      <c r="C76" s="109"/>
      <c r="D76" s="16"/>
      <c r="E76" s="16"/>
      <c r="F76" s="47"/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3:50" ht="18.75">
      <c r="C77" s="109"/>
      <c r="D77" s="16"/>
      <c r="E77" s="16"/>
      <c r="F77" s="47"/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3:50" ht="18.75">
      <c r="C78" s="109"/>
      <c r="D78" s="16"/>
      <c r="E78" s="16"/>
      <c r="F78" s="47"/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3:50" ht="18.75">
      <c r="C79" s="109"/>
      <c r="D79" s="16"/>
      <c r="E79" s="16"/>
      <c r="F79" s="47"/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3:50" ht="18.75">
      <c r="C80" s="109"/>
      <c r="D80" s="16"/>
      <c r="E80" s="16"/>
      <c r="F80" s="47"/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3:50" ht="18.75">
      <c r="C81" s="109"/>
      <c r="D81" s="16"/>
      <c r="E81" s="16"/>
      <c r="F81" s="47"/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3:50" ht="18.75">
      <c r="C82" s="109"/>
      <c r="D82" s="16"/>
      <c r="E82" s="16"/>
      <c r="F82" s="47"/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3:50" ht="18.75">
      <c r="C83" s="109"/>
      <c r="D83" s="16"/>
      <c r="E83" s="16"/>
      <c r="F83" s="47"/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3:50" ht="18.75">
      <c r="C84" s="109"/>
      <c r="D84" s="16"/>
      <c r="E84" s="16"/>
      <c r="F84" s="47"/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3:50" ht="18.75">
      <c r="C85" s="109"/>
      <c r="D85" s="16"/>
      <c r="E85" s="16"/>
      <c r="F85" s="47"/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3:50" ht="18.75">
      <c r="C86" s="109"/>
      <c r="D86" s="16"/>
      <c r="E86" s="16"/>
      <c r="F86" s="47"/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3:50" ht="18.75">
      <c r="C87" s="109"/>
      <c r="D87" s="16"/>
      <c r="E87" s="16"/>
      <c r="F87" s="47"/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3:50" ht="18.75">
      <c r="C88" s="109"/>
      <c r="D88" s="16"/>
      <c r="E88" s="16"/>
      <c r="F88" s="47"/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3:50" ht="18.75">
      <c r="C89" s="109"/>
      <c r="D89" s="16"/>
      <c r="E89" s="16"/>
      <c r="F89" s="47"/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3:50" ht="18.75">
      <c r="C90" s="109"/>
      <c r="D90" s="16"/>
      <c r="E90" s="16"/>
      <c r="F90" s="47"/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3:50" ht="18.75">
      <c r="C91" s="109"/>
      <c r="D91" s="16"/>
      <c r="E91" s="16"/>
      <c r="F91" s="47"/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3:50" ht="18.75">
      <c r="C92" s="109"/>
      <c r="D92" s="16"/>
      <c r="E92" s="16"/>
      <c r="F92" s="47"/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3:50" ht="18.75">
      <c r="C93" s="109"/>
      <c r="D93" s="16"/>
      <c r="E93" s="16"/>
      <c r="F93" s="47"/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3:50" ht="18.75">
      <c r="C94" s="109"/>
      <c r="D94" s="16"/>
      <c r="E94" s="16"/>
      <c r="F94" s="47"/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3:50" ht="18.75">
      <c r="C95" s="109"/>
      <c r="D95" s="16"/>
      <c r="E95" s="16"/>
      <c r="F95" s="47"/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3:50" ht="18.75">
      <c r="C96" s="109"/>
      <c r="D96" s="16"/>
      <c r="E96" s="16"/>
      <c r="F96" s="47"/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3:50" ht="18.75">
      <c r="C97" s="109"/>
      <c r="D97" s="16"/>
      <c r="E97" s="16"/>
      <c r="F97" s="47"/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  <row r="98" spans="3:6" ht="18.75">
      <c r="C98" s="109"/>
      <c r="D98" s="16"/>
      <c r="E98" s="16"/>
      <c r="F98" s="47"/>
    </row>
  </sheetData>
  <sheetProtection/>
  <mergeCells count="26">
    <mergeCell ref="Y5:AA5"/>
    <mergeCell ref="B50:F50"/>
    <mergeCell ref="B48:F48"/>
    <mergeCell ref="AN5:AO5"/>
    <mergeCell ref="AK5:AM5"/>
    <mergeCell ref="AH5:AJ5"/>
    <mergeCell ref="AT5:AV5"/>
    <mergeCell ref="AW47:AX47"/>
    <mergeCell ref="A49:B49"/>
    <mergeCell ref="S5:U5"/>
    <mergeCell ref="M5:O5"/>
    <mergeCell ref="A46:C46"/>
    <mergeCell ref="AB5:AD5"/>
    <mergeCell ref="AR5:AS5"/>
    <mergeCell ref="P5:R5"/>
    <mergeCell ref="V5:X5"/>
    <mergeCell ref="I1:AX1"/>
    <mergeCell ref="B4:F4"/>
    <mergeCell ref="D5:F5"/>
    <mergeCell ref="AX5:AX6"/>
    <mergeCell ref="AP5:AQ5"/>
    <mergeCell ref="A2:AX3"/>
    <mergeCell ref="J5:L5"/>
    <mergeCell ref="AE5:AG5"/>
    <mergeCell ref="AW5:AW6"/>
    <mergeCell ref="G5:I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S3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R39" sqref="R39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2" customWidth="1"/>
    <col min="4" max="4" width="21.00390625" style="2" hidden="1" customWidth="1"/>
    <col min="5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625" style="10" customWidth="1"/>
    <col min="14" max="14" width="12.7539062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1.125" style="10" customWidth="1"/>
    <col min="22" max="22" width="15.125" style="10" customWidth="1"/>
    <col min="23" max="23" width="14.75390625" style="10" customWidth="1"/>
    <col min="24" max="24" width="11.125" style="10" customWidth="1"/>
    <col min="25" max="25" width="13.625" style="10" hidden="1" customWidth="1"/>
    <col min="26" max="26" width="12.75390625" style="10" hidden="1" customWidth="1"/>
    <col min="27" max="27" width="11.125" style="10" hidden="1" customWidth="1"/>
    <col min="28" max="28" width="15.125" style="10" hidden="1" customWidth="1"/>
    <col min="29" max="29" width="14.7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25390625" style="10" hidden="1" customWidth="1"/>
    <col min="35" max="36" width="11.00390625" style="10" hidden="1" customWidth="1"/>
    <col min="37" max="37" width="13.625" style="10" hidden="1" customWidth="1"/>
    <col min="38" max="38" width="12.75390625" style="10" hidden="1" customWidth="1"/>
    <col min="39" max="39" width="11.125" style="10" hidden="1" customWidth="1"/>
    <col min="40" max="40" width="13.25390625" style="10" hidden="1" customWidth="1"/>
    <col min="41" max="41" width="11.00390625" style="10" hidden="1" customWidth="1"/>
    <col min="42" max="42" width="13.25390625" style="10" hidden="1" customWidth="1"/>
    <col min="43" max="43" width="11.00390625" style="10" hidden="1" customWidth="1"/>
    <col min="44" max="44" width="13.25390625" style="10" hidden="1" customWidth="1"/>
    <col min="45" max="45" width="11.00390625" style="10" hidden="1" customWidth="1"/>
    <col min="46" max="47" width="14.75390625" style="2" customWidth="1"/>
    <col min="48" max="48" width="11.125" style="10" customWidth="1"/>
    <col min="49" max="49" width="19.125" style="2" customWidth="1"/>
    <col min="50" max="50" width="26.125" style="2" customWidth="1"/>
    <col min="51" max="51" width="12.25390625" style="2" customWidth="1"/>
    <col min="52" max="53" width="11.625" style="2" customWidth="1"/>
    <col min="54" max="16384" width="6.75390625" style="2" customWidth="1"/>
  </cols>
  <sheetData>
    <row r="1" spans="9:50" ht="21" customHeight="1">
      <c r="I1" s="245" t="s">
        <v>42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</row>
    <row r="2" spans="1:50" s="50" customFormat="1" ht="60" customHeight="1">
      <c r="A2" s="252" t="s">
        <v>119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</row>
    <row r="3" spans="1:50" s="50" customFormat="1" ht="60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</row>
    <row r="4" spans="2:50" ht="49.5" customHeight="1">
      <c r="B4" s="246"/>
      <c r="C4" s="246"/>
      <c r="D4" s="246"/>
      <c r="E4" s="246"/>
      <c r="F4" s="246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5"/>
      <c r="AJ5" s="236"/>
      <c r="AK5" s="234" t="s">
        <v>107</v>
      </c>
      <c r="AL5" s="235"/>
      <c r="AM5" s="236"/>
      <c r="AN5" s="234" t="s">
        <v>108</v>
      </c>
      <c r="AO5" s="236"/>
      <c r="AP5" s="234" t="s">
        <v>109</v>
      </c>
      <c r="AQ5" s="236"/>
      <c r="AR5" s="234" t="s">
        <v>110</v>
      </c>
      <c r="AS5" s="236"/>
      <c r="AT5" s="239" t="s">
        <v>111</v>
      </c>
      <c r="AU5" s="240"/>
      <c r="AV5" s="241"/>
      <c r="AW5" s="237" t="s">
        <v>123</v>
      </c>
      <c r="AX5" s="237" t="s">
        <v>124</v>
      </c>
    </row>
    <row r="6" spans="1:50" ht="51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238"/>
      <c r="AX6" s="238"/>
    </row>
    <row r="7" spans="1:53" s="10" customFormat="1" ht="34.5" customHeight="1">
      <c r="A7" s="8"/>
      <c r="B7" s="111" t="s">
        <v>92</v>
      </c>
      <c r="C7" s="53">
        <f>SUM(C8:C42)-C33-C34</f>
        <v>202.70000000000002</v>
      </c>
      <c r="D7" s="53">
        <f aca="true" t="shared" si="0" ref="D7:AU7">SUM(D8:D42)-D33-D34</f>
        <v>714.7000000000002</v>
      </c>
      <c r="E7" s="53">
        <f t="shared" si="0"/>
        <v>54.7</v>
      </c>
      <c r="F7" s="9">
        <f>E7/D7*100</f>
        <v>7.6535609346578966</v>
      </c>
      <c r="G7" s="53">
        <f t="shared" si="0"/>
        <v>736.1999999999999</v>
      </c>
      <c r="H7" s="53">
        <f t="shared" si="0"/>
        <v>492.7000000000001</v>
      </c>
      <c r="I7" s="53" t="e">
        <f t="shared" si="0"/>
        <v>#DIV/0!</v>
      </c>
      <c r="J7" s="53">
        <f t="shared" si="0"/>
        <v>689.8496700000001</v>
      </c>
      <c r="K7" s="53">
        <f t="shared" si="0"/>
        <v>1113.77604</v>
      </c>
      <c r="L7" s="9">
        <f>K7/J7*100</f>
        <v>161.45199286679372</v>
      </c>
      <c r="M7" s="53">
        <f t="shared" si="0"/>
        <v>2140.7496699999992</v>
      </c>
      <c r="N7" s="53">
        <f t="shared" si="0"/>
        <v>1661.1760399999994</v>
      </c>
      <c r="O7" s="9">
        <f aca="true" t="shared" si="1" ref="O7:O45">N7/M7*100</f>
        <v>77.5978650507044</v>
      </c>
      <c r="P7" s="53">
        <f t="shared" si="0"/>
        <v>580.8119399999998</v>
      </c>
      <c r="Q7" s="53">
        <f t="shared" si="0"/>
        <v>656.4500599999999</v>
      </c>
      <c r="R7" s="9">
        <f aca="true" t="shared" si="2" ref="R7:R45">Q7/P7*100</f>
        <v>113.02282456521127</v>
      </c>
      <c r="S7" s="53">
        <f t="shared" si="0"/>
        <v>608.8</v>
      </c>
      <c r="T7" s="53">
        <f t="shared" si="0"/>
        <v>273.90000000000003</v>
      </c>
      <c r="U7" s="9">
        <f aca="true" t="shared" si="3" ref="U7:U45">T7/S7*100</f>
        <v>44.990144546649155</v>
      </c>
      <c r="V7" s="53">
        <f t="shared" si="0"/>
        <v>646.6000000000001</v>
      </c>
      <c r="W7" s="53">
        <f t="shared" si="0"/>
        <v>909.4</v>
      </c>
      <c r="X7" s="53">
        <f t="shared" si="0"/>
        <v>2179.6134878577996</v>
      </c>
      <c r="Y7" s="53">
        <f t="shared" si="0"/>
        <v>1836.2119400000004</v>
      </c>
      <c r="Z7" s="53">
        <f t="shared" si="0"/>
        <v>1839.7500600000003</v>
      </c>
      <c r="AA7" s="9">
        <f>Z7/Y7*100</f>
        <v>100.19268581817413</v>
      </c>
      <c r="AB7" s="53">
        <f t="shared" si="0"/>
        <v>0</v>
      </c>
      <c r="AC7" s="53">
        <f t="shared" si="0"/>
        <v>0</v>
      </c>
      <c r="AD7" s="9" t="e">
        <f aca="true" t="shared" si="4" ref="AD7:AD45">AC7/AB7*100</f>
        <v>#DIV/0!</v>
      </c>
      <c r="AE7" s="53">
        <f t="shared" si="0"/>
        <v>0</v>
      </c>
      <c r="AF7" s="53">
        <f t="shared" si="0"/>
        <v>0</v>
      </c>
      <c r="AG7" s="9" t="e">
        <f aca="true" t="shared" si="5" ref="AG7:AG45">AF7/AE7*100</f>
        <v>#DIV/0!</v>
      </c>
      <c r="AH7" s="53">
        <f t="shared" si="0"/>
        <v>0</v>
      </c>
      <c r="AI7" s="53">
        <f t="shared" si="0"/>
        <v>0</v>
      </c>
      <c r="AJ7" s="9" t="e">
        <f aca="true" t="shared" si="6" ref="AJ7:AJ45">AI7/AH7*100</f>
        <v>#DIV/0!</v>
      </c>
      <c r="AK7" s="53">
        <f t="shared" si="0"/>
        <v>0</v>
      </c>
      <c r="AL7" s="53">
        <f t="shared" si="0"/>
        <v>0</v>
      </c>
      <c r="AM7" s="53" t="e">
        <f t="shared" si="0"/>
        <v>#DIV/0!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0</v>
      </c>
      <c r="AT7" s="53">
        <f t="shared" si="0"/>
        <v>3976.9616100000003</v>
      </c>
      <c r="AU7" s="53">
        <f t="shared" si="0"/>
        <v>3500.926099999999</v>
      </c>
      <c r="AV7" s="9">
        <f aca="true" t="shared" si="7" ref="AV7:AV44">AU7/AT7*100</f>
        <v>88.03017085196352</v>
      </c>
      <c r="AW7" s="53">
        <f>SUM(AW8:AW42)-AW33-AW34</f>
        <v>476.0355099999998</v>
      </c>
      <c r="AX7" s="53">
        <f>SUM(AX8:AX42)-AX33-AX34</f>
        <v>678.73551</v>
      </c>
      <c r="AY7" s="19">
        <f>M7+Y7+AK7+AN7+AP7+AR7</f>
        <v>3976.9616099999994</v>
      </c>
      <c r="AZ7" s="19">
        <f>N7+Z7+AL7+AO7+AQ7+AS7</f>
        <v>3500.9260999999997</v>
      </c>
      <c r="BA7" s="38">
        <f>C7+AY7-AZ7</f>
        <v>678.7355099999995</v>
      </c>
    </row>
    <row r="8" spans="1:53" ht="34.5" customHeight="1">
      <c r="A8" s="11" t="s">
        <v>5</v>
      </c>
      <c r="B8" s="56" t="s">
        <v>49</v>
      </c>
      <c r="C8" s="83">
        <v>42.7</v>
      </c>
      <c r="D8" s="34">
        <v>90.8</v>
      </c>
      <c r="E8" s="34">
        <v>3.6</v>
      </c>
      <c r="F8" s="9">
        <f>E8/D8*100</f>
        <v>3.9647577092511015</v>
      </c>
      <c r="G8" s="34">
        <v>106</v>
      </c>
      <c r="H8" s="34">
        <v>33.9</v>
      </c>
      <c r="I8" s="9">
        <f aca="true" t="shared" si="8" ref="I8:I45">H8/G8*100</f>
        <v>31.981132075471695</v>
      </c>
      <c r="J8" s="34">
        <v>93.8</v>
      </c>
      <c r="K8" s="34">
        <v>167.5</v>
      </c>
      <c r="L8" s="9">
        <f>K8/J8*100</f>
        <v>178.57142857142858</v>
      </c>
      <c r="M8" s="70">
        <f>D8+G8+J8</f>
        <v>290.6</v>
      </c>
      <c r="N8" s="70">
        <f>E8+H8+K8</f>
        <v>205</v>
      </c>
      <c r="O8" s="9">
        <f t="shared" si="1"/>
        <v>70.54370268410185</v>
      </c>
      <c r="P8" s="34">
        <v>82.2</v>
      </c>
      <c r="Q8" s="34">
        <v>87.8</v>
      </c>
      <c r="R8" s="9">
        <f t="shared" si="2"/>
        <v>106.81265206812651</v>
      </c>
      <c r="S8" s="34">
        <v>87.8</v>
      </c>
      <c r="T8" s="34">
        <v>24.1</v>
      </c>
      <c r="U8" s="9">
        <f t="shared" si="3"/>
        <v>27.44874715261959</v>
      </c>
      <c r="V8" s="34">
        <v>80.4</v>
      </c>
      <c r="W8" s="34">
        <v>196</v>
      </c>
      <c r="X8" s="9">
        <f>W8/V8*100</f>
        <v>243.78109452736317</v>
      </c>
      <c r="Y8" s="70">
        <f>P8+S8+V8</f>
        <v>250.4</v>
      </c>
      <c r="Z8" s="70">
        <f>Q8+T8+W8</f>
        <v>307.9</v>
      </c>
      <c r="AA8" s="9">
        <f>Z8/Y8*100</f>
        <v>122.96325878594247</v>
      </c>
      <c r="AB8" s="34"/>
      <c r="AC8" s="34"/>
      <c r="AD8" s="9" t="e">
        <f t="shared" si="4"/>
        <v>#DIV/0!</v>
      </c>
      <c r="AE8" s="34"/>
      <c r="AF8" s="34"/>
      <c r="AG8" s="9" t="e">
        <f t="shared" si="5"/>
        <v>#DIV/0!</v>
      </c>
      <c r="AH8" s="34"/>
      <c r="AI8" s="34"/>
      <c r="AJ8" s="9" t="e">
        <f t="shared" si="6"/>
        <v>#DIV/0!</v>
      </c>
      <c r="AK8" s="70">
        <f>AB8+AE8+AH8</f>
        <v>0</v>
      </c>
      <c r="AL8" s="70">
        <f>AC8+AF8+AI8</f>
        <v>0</v>
      </c>
      <c r="AM8" s="9" t="e">
        <f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541</v>
      </c>
      <c r="AU8" s="57">
        <f>N8+Z8+AL8+AO8+AQ8+AS8</f>
        <v>512.9</v>
      </c>
      <c r="AV8" s="9">
        <f t="shared" si="7"/>
        <v>94.80591497227357</v>
      </c>
      <c r="AW8" s="57">
        <f>AT8-AU8</f>
        <v>28.100000000000023</v>
      </c>
      <c r="AX8" s="15">
        <f>C8+AT8-AU8</f>
        <v>70.80000000000007</v>
      </c>
      <c r="AY8" s="19">
        <f aca="true" t="shared" si="9" ref="AY8:AY45">M8+Y8+AK8+AN8+AP8+AR8</f>
        <v>541</v>
      </c>
      <c r="AZ8" s="19">
        <f aca="true" t="shared" si="10" ref="AZ8:AZ45">N8+Z8+AL8+AO8+AQ8+AS8</f>
        <v>512.9</v>
      </c>
      <c r="BA8" s="38">
        <f aca="true" t="shared" si="11" ref="BA8:BA45">C8+AY8-AZ8</f>
        <v>70.80000000000007</v>
      </c>
    </row>
    <row r="9" spans="1:53" ht="34.5" customHeight="1">
      <c r="A9" s="11" t="s">
        <v>6</v>
      </c>
      <c r="B9" s="58" t="s">
        <v>65</v>
      </c>
      <c r="C9" s="83">
        <v>-2.3</v>
      </c>
      <c r="D9" s="34">
        <v>2.3</v>
      </c>
      <c r="E9" s="34">
        <v>0.1</v>
      </c>
      <c r="F9" s="9">
        <f aca="true" t="shared" si="12" ref="F9:F27">E9/D9*100</f>
        <v>4.347826086956522</v>
      </c>
      <c r="G9" s="34">
        <v>2.5</v>
      </c>
      <c r="H9" s="34">
        <v>1.2</v>
      </c>
      <c r="I9" s="9">
        <f t="shared" si="8"/>
        <v>48</v>
      </c>
      <c r="J9" s="34">
        <v>2.07</v>
      </c>
      <c r="K9" s="34">
        <v>1.57641</v>
      </c>
      <c r="L9" s="9">
        <f>K9/J9*100</f>
        <v>76.15507246376812</v>
      </c>
      <c r="M9" s="70">
        <f aca="true" t="shared" si="13" ref="M9:M44">D9+G9+J9</f>
        <v>6.869999999999999</v>
      </c>
      <c r="N9" s="70">
        <f aca="true" t="shared" si="14" ref="N9:N44">E9+H9+K9</f>
        <v>2.87641</v>
      </c>
      <c r="O9" s="9">
        <f t="shared" si="1"/>
        <v>41.86914119359535</v>
      </c>
      <c r="P9" s="34">
        <v>2.3</v>
      </c>
      <c r="Q9" s="34">
        <v>1.6</v>
      </c>
      <c r="R9" s="9">
        <f t="shared" si="2"/>
        <v>69.56521739130436</v>
      </c>
      <c r="S9" s="34">
        <v>2.2</v>
      </c>
      <c r="T9" s="34">
        <v>1.8</v>
      </c>
      <c r="U9" s="9">
        <f t="shared" si="3"/>
        <v>81.81818181818181</v>
      </c>
      <c r="V9" s="34">
        <v>2.4</v>
      </c>
      <c r="W9" s="34">
        <v>2.3</v>
      </c>
      <c r="X9" s="9">
        <f>W9/V9*100</f>
        <v>95.83333333333333</v>
      </c>
      <c r="Y9" s="70">
        <f>P9+S9+V9</f>
        <v>6.9</v>
      </c>
      <c r="Z9" s="70">
        <f>Q9+T9+W9</f>
        <v>5.7</v>
      </c>
      <c r="AA9" s="9">
        <f>Z9/Y9*100</f>
        <v>82.6086956521739</v>
      </c>
      <c r="AB9" s="34"/>
      <c r="AC9" s="34"/>
      <c r="AD9" s="9" t="e">
        <f t="shared" si="4"/>
        <v>#DIV/0!</v>
      </c>
      <c r="AE9" s="34"/>
      <c r="AF9" s="34"/>
      <c r="AG9" s="9" t="e">
        <f t="shared" si="5"/>
        <v>#DIV/0!</v>
      </c>
      <c r="AH9" s="34"/>
      <c r="AI9" s="34"/>
      <c r="AJ9" s="9" t="e">
        <f t="shared" si="6"/>
        <v>#DIV/0!</v>
      </c>
      <c r="AK9" s="70">
        <f aca="true" t="shared" si="15" ref="AK9:AK42">AB9+AE9+AH9</f>
        <v>0</v>
      </c>
      <c r="AL9" s="70">
        <f aca="true" t="shared" si="16" ref="AL9:AL42">AC9+AF9+AI9</f>
        <v>0</v>
      </c>
      <c r="AM9" s="9" t="e">
        <f>AL9/AK9*100</f>
        <v>#DIV/0!</v>
      </c>
      <c r="AN9" s="34"/>
      <c r="AO9" s="34"/>
      <c r="AP9" s="34"/>
      <c r="AQ9" s="34"/>
      <c r="AR9" s="34"/>
      <c r="AS9" s="34"/>
      <c r="AT9" s="57">
        <f aca="true" t="shared" si="17" ref="AT9:AT28">M9+Y9+AK9+AN9+AP9+AR9</f>
        <v>13.77</v>
      </c>
      <c r="AU9" s="57">
        <f aca="true" t="shared" si="18" ref="AU9:AU28">N9+Z9+AL9+AO9+AQ9+AS9</f>
        <v>8.57641</v>
      </c>
      <c r="AV9" s="9">
        <f t="shared" si="7"/>
        <v>62.283297022512706</v>
      </c>
      <c r="AW9" s="57">
        <f aca="true" t="shared" si="19" ref="AW9:AW27">AT9-AU9</f>
        <v>5.19359</v>
      </c>
      <c r="AX9" s="15">
        <f aca="true" t="shared" si="20" ref="AX9:AX27">C9+AT9-AU9</f>
        <v>2.8935899999999997</v>
      </c>
      <c r="AY9" s="19">
        <f t="shared" si="9"/>
        <v>13.77</v>
      </c>
      <c r="AZ9" s="19">
        <f t="shared" si="10"/>
        <v>8.57641</v>
      </c>
      <c r="BA9" s="38">
        <f t="shared" si="11"/>
        <v>2.8935899999999997</v>
      </c>
    </row>
    <row r="10" spans="1:53" ht="34.5" customHeight="1">
      <c r="A10" s="11" t="s">
        <v>7</v>
      </c>
      <c r="B10" s="60" t="s">
        <v>81</v>
      </c>
      <c r="C10" s="83"/>
      <c r="D10" s="34"/>
      <c r="E10" s="34"/>
      <c r="F10" s="84" t="e">
        <f t="shared" si="12"/>
        <v>#DIV/0!</v>
      </c>
      <c r="G10" s="121"/>
      <c r="H10" s="121"/>
      <c r="I10" s="84" t="e">
        <f t="shared" si="8"/>
        <v>#DIV/0!</v>
      </c>
      <c r="J10" s="121"/>
      <c r="K10" s="121"/>
      <c r="L10" s="84"/>
      <c r="M10" s="122"/>
      <c r="N10" s="122"/>
      <c r="O10" s="84"/>
      <c r="P10" s="121"/>
      <c r="Q10" s="121"/>
      <c r="R10" s="84" t="e">
        <f t="shared" si="2"/>
        <v>#DIV/0!</v>
      </c>
      <c r="S10" s="121"/>
      <c r="T10" s="121"/>
      <c r="U10" s="9"/>
      <c r="V10" s="121"/>
      <c r="W10" s="121"/>
      <c r="X10" s="84"/>
      <c r="Y10" s="122"/>
      <c r="Z10" s="122"/>
      <c r="AA10" s="84"/>
      <c r="AB10" s="121"/>
      <c r="AC10" s="121"/>
      <c r="AD10" s="84" t="e">
        <f t="shared" si="4"/>
        <v>#DIV/0!</v>
      </c>
      <c r="AE10" s="121"/>
      <c r="AF10" s="121"/>
      <c r="AG10" s="84" t="e">
        <f t="shared" si="5"/>
        <v>#DIV/0!</v>
      </c>
      <c r="AH10" s="121"/>
      <c r="AI10" s="121"/>
      <c r="AJ10" s="9"/>
      <c r="AK10" s="122"/>
      <c r="AL10" s="122"/>
      <c r="AM10" s="84"/>
      <c r="AN10" s="121"/>
      <c r="AO10" s="121"/>
      <c r="AP10" s="121"/>
      <c r="AQ10" s="121"/>
      <c r="AR10" s="121"/>
      <c r="AS10" s="121"/>
      <c r="AT10" s="122">
        <f t="shared" si="17"/>
        <v>0</v>
      </c>
      <c r="AU10" s="122">
        <f t="shared" si="18"/>
        <v>0</v>
      </c>
      <c r="AV10" s="84" t="e">
        <f t="shared" si="7"/>
        <v>#DIV/0!</v>
      </c>
      <c r="AW10" s="122">
        <f t="shared" si="19"/>
        <v>0</v>
      </c>
      <c r="AX10" s="123">
        <f t="shared" si="20"/>
        <v>0</v>
      </c>
      <c r="AY10" s="19">
        <f t="shared" si="9"/>
        <v>0</v>
      </c>
      <c r="AZ10" s="19">
        <f t="shared" si="10"/>
        <v>0</v>
      </c>
      <c r="BA10" s="38">
        <f t="shared" si="11"/>
        <v>0</v>
      </c>
    </row>
    <row r="11" spans="1:53" ht="34.5" customHeight="1">
      <c r="A11" s="11" t="s">
        <v>8</v>
      </c>
      <c r="B11" s="56" t="s">
        <v>50</v>
      </c>
      <c r="C11" s="83">
        <v>-17.8</v>
      </c>
      <c r="D11" s="34">
        <v>8.6</v>
      </c>
      <c r="E11" s="34">
        <v>3.3</v>
      </c>
      <c r="F11" s="9">
        <f t="shared" si="12"/>
        <v>38.372093023255815</v>
      </c>
      <c r="G11" s="34">
        <v>11.6</v>
      </c>
      <c r="H11" s="34">
        <v>4.5</v>
      </c>
      <c r="I11" s="9">
        <f t="shared" si="8"/>
        <v>38.793103448275865</v>
      </c>
      <c r="J11" s="34">
        <v>9.3</v>
      </c>
      <c r="K11" s="34">
        <v>6.5</v>
      </c>
      <c r="L11" s="9">
        <f aca="true" t="shared" si="21" ref="L11:L19">K11/J11*100</f>
        <v>69.89247311827957</v>
      </c>
      <c r="M11" s="70">
        <f t="shared" si="13"/>
        <v>29.5</v>
      </c>
      <c r="N11" s="70">
        <f t="shared" si="14"/>
        <v>14.3</v>
      </c>
      <c r="O11" s="9">
        <f t="shared" si="1"/>
        <v>48.47457627118644</v>
      </c>
      <c r="P11" s="34">
        <v>12.4</v>
      </c>
      <c r="Q11" s="34">
        <v>7.7</v>
      </c>
      <c r="R11" s="9">
        <f t="shared" si="2"/>
        <v>62.096774193548384</v>
      </c>
      <c r="S11" s="34">
        <v>8.6</v>
      </c>
      <c r="T11" s="34">
        <v>3.8</v>
      </c>
      <c r="U11" s="9">
        <f t="shared" si="3"/>
        <v>44.18604651162791</v>
      </c>
      <c r="V11" s="34">
        <v>12.1</v>
      </c>
      <c r="W11" s="34">
        <v>8.3</v>
      </c>
      <c r="X11" s="9">
        <f aca="true" t="shared" si="22" ref="X11:X19">W11/V11*100</f>
        <v>68.59504132231406</v>
      </c>
      <c r="Y11" s="70">
        <f aca="true" t="shared" si="23" ref="Y11:Y19">P11+S11+V11</f>
        <v>33.1</v>
      </c>
      <c r="Z11" s="70">
        <f aca="true" t="shared" si="24" ref="Z11:Z19">Q11+T11+W11</f>
        <v>19.8</v>
      </c>
      <c r="AA11" s="9">
        <f aca="true" t="shared" si="25" ref="AA11:AA19">Z11/Y11*100</f>
        <v>59.818731117824775</v>
      </c>
      <c r="AB11" s="34"/>
      <c r="AC11" s="34"/>
      <c r="AD11" s="9" t="e">
        <f t="shared" si="4"/>
        <v>#DIV/0!</v>
      </c>
      <c r="AE11" s="34"/>
      <c r="AF11" s="34"/>
      <c r="AG11" s="9" t="e">
        <f t="shared" si="5"/>
        <v>#DIV/0!</v>
      </c>
      <c r="AH11" s="34"/>
      <c r="AI11" s="34"/>
      <c r="AJ11" s="9" t="e">
        <f t="shared" si="6"/>
        <v>#DIV/0!</v>
      </c>
      <c r="AK11" s="70">
        <f t="shared" si="15"/>
        <v>0</v>
      </c>
      <c r="AL11" s="70">
        <f t="shared" si="16"/>
        <v>0</v>
      </c>
      <c r="AM11" s="9" t="e">
        <f aca="true" t="shared" si="26" ref="AM11:AM19">AL11/AK11*100</f>
        <v>#DIV/0!</v>
      </c>
      <c r="AN11" s="34"/>
      <c r="AO11" s="34"/>
      <c r="AP11" s="34"/>
      <c r="AQ11" s="34"/>
      <c r="AR11" s="34"/>
      <c r="AS11" s="34"/>
      <c r="AT11" s="57">
        <f t="shared" si="17"/>
        <v>62.6</v>
      </c>
      <c r="AU11" s="57">
        <f t="shared" si="18"/>
        <v>34.1</v>
      </c>
      <c r="AV11" s="9">
        <f t="shared" si="7"/>
        <v>54.47284345047924</v>
      </c>
      <c r="AW11" s="57">
        <f t="shared" si="19"/>
        <v>28.5</v>
      </c>
      <c r="AX11" s="15">
        <f t="shared" si="20"/>
        <v>10.699999999999996</v>
      </c>
      <c r="AY11" s="19">
        <f t="shared" si="9"/>
        <v>62.6</v>
      </c>
      <c r="AZ11" s="19">
        <f t="shared" si="10"/>
        <v>34.1</v>
      </c>
      <c r="BA11" s="38">
        <f t="shared" si="11"/>
        <v>10.699999999999996</v>
      </c>
    </row>
    <row r="12" spans="1:53" ht="34.5" customHeight="1">
      <c r="A12" s="11" t="s">
        <v>9</v>
      </c>
      <c r="B12" s="56" t="s">
        <v>51</v>
      </c>
      <c r="C12" s="83">
        <v>0</v>
      </c>
      <c r="D12" s="34">
        <v>6.6</v>
      </c>
      <c r="E12" s="34">
        <v>2.2</v>
      </c>
      <c r="F12" s="9">
        <f t="shared" si="12"/>
        <v>33.333333333333336</v>
      </c>
      <c r="G12" s="34">
        <v>15.3</v>
      </c>
      <c r="H12" s="34">
        <v>3.8</v>
      </c>
      <c r="I12" s="9">
        <f t="shared" si="8"/>
        <v>24.83660130718954</v>
      </c>
      <c r="J12" s="34">
        <v>9.5</v>
      </c>
      <c r="K12" s="34">
        <v>1.9</v>
      </c>
      <c r="L12" s="9">
        <f t="shared" si="21"/>
        <v>20</v>
      </c>
      <c r="M12" s="70">
        <f t="shared" si="13"/>
        <v>31.4</v>
      </c>
      <c r="N12" s="70">
        <f t="shared" si="14"/>
        <v>7.9</v>
      </c>
      <c r="O12" s="9">
        <f t="shared" si="1"/>
        <v>25.159235668789808</v>
      </c>
      <c r="P12" s="34">
        <v>12.2</v>
      </c>
      <c r="Q12" s="34">
        <v>28.5</v>
      </c>
      <c r="R12" s="9">
        <f t="shared" si="2"/>
        <v>233.6065573770492</v>
      </c>
      <c r="S12" s="34">
        <v>12.7</v>
      </c>
      <c r="T12" s="34">
        <v>7.6</v>
      </c>
      <c r="U12" s="9">
        <f t="shared" si="3"/>
        <v>59.84251968503938</v>
      </c>
      <c r="V12" s="34">
        <v>10.3</v>
      </c>
      <c r="W12" s="34">
        <v>11.7</v>
      </c>
      <c r="X12" s="9">
        <f t="shared" si="22"/>
        <v>113.59223300970874</v>
      </c>
      <c r="Y12" s="70">
        <f t="shared" si="23"/>
        <v>35.2</v>
      </c>
      <c r="Z12" s="70">
        <f t="shared" si="24"/>
        <v>47.8</v>
      </c>
      <c r="AA12" s="9">
        <f t="shared" si="25"/>
        <v>135.79545454545453</v>
      </c>
      <c r="AB12" s="34"/>
      <c r="AC12" s="34"/>
      <c r="AD12" s="9" t="e">
        <f t="shared" si="4"/>
        <v>#DIV/0!</v>
      </c>
      <c r="AE12" s="34"/>
      <c r="AF12" s="34"/>
      <c r="AG12" s="9" t="e">
        <f t="shared" si="5"/>
        <v>#DIV/0!</v>
      </c>
      <c r="AH12" s="34"/>
      <c r="AI12" s="34"/>
      <c r="AJ12" s="9" t="e">
        <f t="shared" si="6"/>
        <v>#DIV/0!</v>
      </c>
      <c r="AK12" s="70">
        <f t="shared" si="15"/>
        <v>0</v>
      </c>
      <c r="AL12" s="70">
        <f t="shared" si="16"/>
        <v>0</v>
      </c>
      <c r="AM12" s="9" t="e">
        <f t="shared" si="26"/>
        <v>#DIV/0!</v>
      </c>
      <c r="AN12" s="34"/>
      <c r="AO12" s="34"/>
      <c r="AP12" s="34"/>
      <c r="AQ12" s="34"/>
      <c r="AR12" s="34"/>
      <c r="AS12" s="34"/>
      <c r="AT12" s="57">
        <f t="shared" si="17"/>
        <v>66.6</v>
      </c>
      <c r="AU12" s="57">
        <f t="shared" si="18"/>
        <v>55.699999999999996</v>
      </c>
      <c r="AV12" s="9">
        <f t="shared" si="7"/>
        <v>83.63363363363364</v>
      </c>
      <c r="AW12" s="57">
        <f t="shared" si="19"/>
        <v>10.899999999999999</v>
      </c>
      <c r="AX12" s="15">
        <f t="shared" si="20"/>
        <v>10.899999999999999</v>
      </c>
      <c r="AY12" s="19">
        <f t="shared" si="9"/>
        <v>66.6</v>
      </c>
      <c r="AZ12" s="19">
        <f t="shared" si="10"/>
        <v>55.699999999999996</v>
      </c>
      <c r="BA12" s="38">
        <f t="shared" si="11"/>
        <v>10.899999999999999</v>
      </c>
    </row>
    <row r="13" spans="1:53" ht="34.5" customHeight="1">
      <c r="A13" s="11" t="s">
        <v>10</v>
      </c>
      <c r="B13" s="56" t="s">
        <v>52</v>
      </c>
      <c r="C13" s="83">
        <v>-2.9</v>
      </c>
      <c r="D13" s="34">
        <v>11.9</v>
      </c>
      <c r="E13" s="34">
        <v>1.5</v>
      </c>
      <c r="F13" s="9">
        <f t="shared" si="12"/>
        <v>12.605042016806722</v>
      </c>
      <c r="G13" s="34">
        <v>12.1</v>
      </c>
      <c r="H13" s="34">
        <v>8.2</v>
      </c>
      <c r="I13" s="9">
        <f t="shared" si="8"/>
        <v>67.76859504132231</v>
      </c>
      <c r="J13" s="34">
        <v>13.01</v>
      </c>
      <c r="K13" s="34">
        <v>5.42</v>
      </c>
      <c r="L13" s="9">
        <f t="shared" si="21"/>
        <v>41.66026133743274</v>
      </c>
      <c r="M13" s="70">
        <f t="shared" si="13"/>
        <v>37.01</v>
      </c>
      <c r="N13" s="70">
        <f t="shared" si="14"/>
        <v>15.12</v>
      </c>
      <c r="O13" s="9">
        <f t="shared" si="1"/>
        <v>40.853823291002435</v>
      </c>
      <c r="P13" s="34">
        <v>10.6</v>
      </c>
      <c r="Q13" s="34">
        <v>11.1</v>
      </c>
      <c r="R13" s="9">
        <f t="shared" si="2"/>
        <v>104.71698113207549</v>
      </c>
      <c r="S13" s="34">
        <v>9.2</v>
      </c>
      <c r="T13" s="34">
        <v>4.7</v>
      </c>
      <c r="U13" s="9">
        <f t="shared" si="3"/>
        <v>51.08695652173913</v>
      </c>
      <c r="V13" s="34">
        <v>11.7</v>
      </c>
      <c r="W13" s="34">
        <v>6</v>
      </c>
      <c r="X13" s="9">
        <f t="shared" si="22"/>
        <v>51.28205128205129</v>
      </c>
      <c r="Y13" s="70">
        <f t="shared" si="23"/>
        <v>31.499999999999996</v>
      </c>
      <c r="Z13" s="70">
        <f t="shared" si="24"/>
        <v>21.8</v>
      </c>
      <c r="AA13" s="9">
        <f t="shared" si="25"/>
        <v>69.20634920634922</v>
      </c>
      <c r="AB13" s="34"/>
      <c r="AC13" s="34"/>
      <c r="AD13" s="9" t="e">
        <f t="shared" si="4"/>
        <v>#DIV/0!</v>
      </c>
      <c r="AE13" s="34"/>
      <c r="AF13" s="34"/>
      <c r="AG13" s="9" t="e">
        <f t="shared" si="5"/>
        <v>#DIV/0!</v>
      </c>
      <c r="AH13" s="34"/>
      <c r="AI13" s="34"/>
      <c r="AJ13" s="9" t="e">
        <f t="shared" si="6"/>
        <v>#DIV/0!</v>
      </c>
      <c r="AK13" s="70">
        <f t="shared" si="15"/>
        <v>0</v>
      </c>
      <c r="AL13" s="70">
        <f t="shared" si="16"/>
        <v>0</v>
      </c>
      <c r="AM13" s="9" t="e">
        <f t="shared" si="26"/>
        <v>#DIV/0!</v>
      </c>
      <c r="AN13" s="34"/>
      <c r="AO13" s="34"/>
      <c r="AP13" s="34"/>
      <c r="AQ13" s="34"/>
      <c r="AR13" s="34"/>
      <c r="AS13" s="34"/>
      <c r="AT13" s="57">
        <f t="shared" si="17"/>
        <v>68.50999999999999</v>
      </c>
      <c r="AU13" s="57">
        <f t="shared" si="18"/>
        <v>36.92</v>
      </c>
      <c r="AV13" s="9">
        <f t="shared" si="7"/>
        <v>53.88994307400381</v>
      </c>
      <c r="AW13" s="57">
        <f t="shared" si="19"/>
        <v>31.58999999999999</v>
      </c>
      <c r="AX13" s="15">
        <f t="shared" si="20"/>
        <v>28.689999999999984</v>
      </c>
      <c r="AY13" s="19">
        <f t="shared" si="9"/>
        <v>68.50999999999999</v>
      </c>
      <c r="AZ13" s="19">
        <f t="shared" si="10"/>
        <v>36.92</v>
      </c>
      <c r="BA13" s="38">
        <f t="shared" si="11"/>
        <v>28.689999999999984</v>
      </c>
    </row>
    <row r="14" spans="1:53" ht="34.5" customHeight="1">
      <c r="A14" s="11" t="s">
        <v>11</v>
      </c>
      <c r="B14" s="56" t="s">
        <v>82</v>
      </c>
      <c r="C14" s="83">
        <v>-0.8</v>
      </c>
      <c r="D14" s="34">
        <v>3.4</v>
      </c>
      <c r="E14" s="34">
        <v>2.8</v>
      </c>
      <c r="F14" s="9">
        <f t="shared" si="12"/>
        <v>82.35294117647058</v>
      </c>
      <c r="G14" s="34">
        <v>3.5</v>
      </c>
      <c r="H14" s="34">
        <v>3.5</v>
      </c>
      <c r="I14" s="9">
        <f t="shared" si="8"/>
        <v>100</v>
      </c>
      <c r="J14" s="34">
        <v>3.5</v>
      </c>
      <c r="K14" s="34">
        <v>3.3</v>
      </c>
      <c r="L14" s="9">
        <f t="shared" si="21"/>
        <v>94.28571428571428</v>
      </c>
      <c r="M14" s="70">
        <f t="shared" si="13"/>
        <v>10.4</v>
      </c>
      <c r="N14" s="70">
        <f t="shared" si="14"/>
        <v>9.6</v>
      </c>
      <c r="O14" s="9">
        <f t="shared" si="1"/>
        <v>92.3076923076923</v>
      </c>
      <c r="P14" s="34">
        <v>3.3</v>
      </c>
      <c r="Q14" s="34">
        <v>3.5</v>
      </c>
      <c r="R14" s="9">
        <f t="shared" si="2"/>
        <v>106.06060606060606</v>
      </c>
      <c r="S14" s="34">
        <v>2.6</v>
      </c>
      <c r="T14" s="34">
        <v>2.6</v>
      </c>
      <c r="U14" s="9">
        <f t="shared" si="3"/>
        <v>100</v>
      </c>
      <c r="V14" s="34">
        <v>2.8</v>
      </c>
      <c r="W14" s="34">
        <v>2.6</v>
      </c>
      <c r="X14" s="9">
        <f t="shared" si="22"/>
        <v>92.85714285714288</v>
      </c>
      <c r="Y14" s="70">
        <f t="shared" si="23"/>
        <v>8.7</v>
      </c>
      <c r="Z14" s="70">
        <f t="shared" si="24"/>
        <v>8.7</v>
      </c>
      <c r="AA14" s="9">
        <f t="shared" si="25"/>
        <v>100</v>
      </c>
      <c r="AB14" s="34"/>
      <c r="AC14" s="34"/>
      <c r="AD14" s="9" t="e">
        <f t="shared" si="4"/>
        <v>#DIV/0!</v>
      </c>
      <c r="AE14" s="34"/>
      <c r="AF14" s="34"/>
      <c r="AG14" s="9" t="e">
        <f t="shared" si="5"/>
        <v>#DIV/0!</v>
      </c>
      <c r="AH14" s="34"/>
      <c r="AI14" s="34"/>
      <c r="AJ14" s="9" t="e">
        <f t="shared" si="6"/>
        <v>#DIV/0!</v>
      </c>
      <c r="AK14" s="70">
        <f t="shared" si="15"/>
        <v>0</v>
      </c>
      <c r="AL14" s="70">
        <f t="shared" si="16"/>
        <v>0</v>
      </c>
      <c r="AM14" s="9" t="e">
        <f t="shared" si="26"/>
        <v>#DIV/0!</v>
      </c>
      <c r="AN14" s="34"/>
      <c r="AO14" s="34"/>
      <c r="AP14" s="34"/>
      <c r="AQ14" s="34"/>
      <c r="AR14" s="34"/>
      <c r="AS14" s="34"/>
      <c r="AT14" s="57">
        <f t="shared" si="17"/>
        <v>19.1</v>
      </c>
      <c r="AU14" s="57">
        <f t="shared" si="18"/>
        <v>18.299999999999997</v>
      </c>
      <c r="AV14" s="9">
        <f t="shared" si="7"/>
        <v>95.8115183246073</v>
      </c>
      <c r="AW14" s="57">
        <f t="shared" si="19"/>
        <v>0.8000000000000043</v>
      </c>
      <c r="AX14" s="15">
        <f t="shared" si="20"/>
        <v>0</v>
      </c>
      <c r="AY14" s="19">
        <f t="shared" si="9"/>
        <v>19.1</v>
      </c>
      <c r="AZ14" s="19">
        <f t="shared" si="10"/>
        <v>18.299999999999997</v>
      </c>
      <c r="BA14" s="38">
        <f t="shared" si="11"/>
        <v>0</v>
      </c>
    </row>
    <row r="15" spans="1:53" ht="34.5" customHeight="1">
      <c r="A15" s="11" t="s">
        <v>12</v>
      </c>
      <c r="B15" s="56" t="s">
        <v>53</v>
      </c>
      <c r="C15" s="83">
        <v>-1.9</v>
      </c>
      <c r="D15" s="34">
        <v>4.7</v>
      </c>
      <c r="E15" s="34">
        <v>1.4</v>
      </c>
      <c r="F15" s="9">
        <f t="shared" si="12"/>
        <v>29.78723404255319</v>
      </c>
      <c r="G15" s="34">
        <v>7.8</v>
      </c>
      <c r="H15" s="34">
        <v>3.7</v>
      </c>
      <c r="I15" s="9">
        <f t="shared" si="8"/>
        <v>47.43589743589744</v>
      </c>
      <c r="J15" s="34">
        <v>4.8</v>
      </c>
      <c r="K15" s="34">
        <v>2.3</v>
      </c>
      <c r="L15" s="9">
        <f t="shared" si="21"/>
        <v>47.916666666666664</v>
      </c>
      <c r="M15" s="70">
        <f t="shared" si="13"/>
        <v>17.3</v>
      </c>
      <c r="N15" s="70">
        <f t="shared" si="14"/>
        <v>7.3999999999999995</v>
      </c>
      <c r="O15" s="9">
        <f t="shared" si="1"/>
        <v>42.774566473988436</v>
      </c>
      <c r="P15" s="34">
        <v>8.5</v>
      </c>
      <c r="Q15" s="34">
        <v>9.5</v>
      </c>
      <c r="R15" s="9">
        <f t="shared" si="2"/>
        <v>111.76470588235294</v>
      </c>
      <c r="S15" s="34">
        <v>6.4</v>
      </c>
      <c r="T15" s="34">
        <v>8.1</v>
      </c>
      <c r="U15" s="9">
        <f t="shared" si="3"/>
        <v>126.56249999999997</v>
      </c>
      <c r="V15" s="34">
        <v>9</v>
      </c>
      <c r="W15" s="34">
        <v>10.8</v>
      </c>
      <c r="X15" s="9">
        <f t="shared" si="22"/>
        <v>120.00000000000001</v>
      </c>
      <c r="Y15" s="70">
        <f t="shared" si="23"/>
        <v>23.9</v>
      </c>
      <c r="Z15" s="70">
        <f t="shared" si="24"/>
        <v>28.400000000000002</v>
      </c>
      <c r="AA15" s="9">
        <f t="shared" si="25"/>
        <v>118.82845188284521</v>
      </c>
      <c r="AB15" s="34"/>
      <c r="AC15" s="34"/>
      <c r="AD15" s="9" t="e">
        <f t="shared" si="4"/>
        <v>#DIV/0!</v>
      </c>
      <c r="AE15" s="34"/>
      <c r="AF15" s="34"/>
      <c r="AG15" s="9" t="e">
        <f t="shared" si="5"/>
        <v>#DIV/0!</v>
      </c>
      <c r="AH15" s="34"/>
      <c r="AI15" s="34"/>
      <c r="AJ15" s="9" t="e">
        <f t="shared" si="6"/>
        <v>#DIV/0!</v>
      </c>
      <c r="AK15" s="70">
        <f t="shared" si="15"/>
        <v>0</v>
      </c>
      <c r="AL15" s="70">
        <f t="shared" si="16"/>
        <v>0</v>
      </c>
      <c r="AM15" s="9" t="e">
        <f t="shared" si="26"/>
        <v>#DIV/0!</v>
      </c>
      <c r="AN15" s="34"/>
      <c r="AO15" s="34"/>
      <c r="AP15" s="34"/>
      <c r="AQ15" s="34"/>
      <c r="AR15" s="34"/>
      <c r="AS15" s="34"/>
      <c r="AT15" s="57">
        <f t="shared" si="17"/>
        <v>41.2</v>
      </c>
      <c r="AU15" s="57">
        <f t="shared" si="18"/>
        <v>35.800000000000004</v>
      </c>
      <c r="AV15" s="9">
        <f t="shared" si="7"/>
        <v>86.89320388349515</v>
      </c>
      <c r="AW15" s="57">
        <f t="shared" si="19"/>
        <v>5.399999999999999</v>
      </c>
      <c r="AX15" s="15">
        <f t="shared" si="20"/>
        <v>3.5</v>
      </c>
      <c r="AY15" s="19">
        <f t="shared" si="9"/>
        <v>41.2</v>
      </c>
      <c r="AZ15" s="19">
        <f t="shared" si="10"/>
        <v>35.800000000000004</v>
      </c>
      <c r="BA15" s="38">
        <f t="shared" si="11"/>
        <v>3.5</v>
      </c>
    </row>
    <row r="16" spans="1:53" ht="34.5" customHeight="1">
      <c r="A16" s="11" t="s">
        <v>13</v>
      </c>
      <c r="B16" s="56" t="s">
        <v>54</v>
      </c>
      <c r="C16" s="89">
        <v>-0.1</v>
      </c>
      <c r="D16" s="34">
        <v>3.9</v>
      </c>
      <c r="E16" s="34">
        <v>0.4</v>
      </c>
      <c r="F16" s="9">
        <f t="shared" si="12"/>
        <v>10.256410256410257</v>
      </c>
      <c r="G16" s="34">
        <v>2.2</v>
      </c>
      <c r="H16" s="34">
        <v>1.6</v>
      </c>
      <c r="I16" s="9">
        <f t="shared" si="8"/>
        <v>72.72727272727273</v>
      </c>
      <c r="J16" s="34">
        <v>2.2</v>
      </c>
      <c r="K16" s="34">
        <v>2.1</v>
      </c>
      <c r="L16" s="9">
        <f t="shared" si="21"/>
        <v>95.45454545454545</v>
      </c>
      <c r="M16" s="70">
        <f t="shared" si="13"/>
        <v>8.3</v>
      </c>
      <c r="N16" s="70">
        <f t="shared" si="14"/>
        <v>4.1</v>
      </c>
      <c r="O16" s="9">
        <f t="shared" si="1"/>
        <v>49.39759036144578</v>
      </c>
      <c r="P16" s="34">
        <v>2.472</v>
      </c>
      <c r="Q16" s="34">
        <v>2.239</v>
      </c>
      <c r="R16" s="9">
        <f t="shared" si="2"/>
        <v>90.57443365695792</v>
      </c>
      <c r="S16" s="34">
        <v>1.8</v>
      </c>
      <c r="T16" s="34">
        <v>1.7</v>
      </c>
      <c r="U16" s="9">
        <f t="shared" si="3"/>
        <v>94.44444444444444</v>
      </c>
      <c r="V16" s="34">
        <v>2.9</v>
      </c>
      <c r="W16" s="34">
        <v>1.6</v>
      </c>
      <c r="X16" s="9">
        <f t="shared" si="22"/>
        <v>55.172413793103445</v>
      </c>
      <c r="Y16" s="70">
        <f t="shared" si="23"/>
        <v>7.172000000000001</v>
      </c>
      <c r="Z16" s="70">
        <f t="shared" si="24"/>
        <v>5.539</v>
      </c>
      <c r="AA16" s="9">
        <f t="shared" si="25"/>
        <v>77.2308979364194</v>
      </c>
      <c r="AB16" s="34"/>
      <c r="AC16" s="34"/>
      <c r="AD16" s="9" t="e">
        <f t="shared" si="4"/>
        <v>#DIV/0!</v>
      </c>
      <c r="AE16" s="34"/>
      <c r="AF16" s="34"/>
      <c r="AG16" s="9" t="e">
        <f t="shared" si="5"/>
        <v>#DIV/0!</v>
      </c>
      <c r="AH16" s="34"/>
      <c r="AI16" s="34"/>
      <c r="AJ16" s="9" t="e">
        <f t="shared" si="6"/>
        <v>#DIV/0!</v>
      </c>
      <c r="AK16" s="70">
        <f t="shared" si="15"/>
        <v>0</v>
      </c>
      <c r="AL16" s="70">
        <f t="shared" si="16"/>
        <v>0</v>
      </c>
      <c r="AM16" s="9" t="e">
        <f t="shared" si="26"/>
        <v>#DIV/0!</v>
      </c>
      <c r="AN16" s="34"/>
      <c r="AO16" s="34"/>
      <c r="AP16" s="34"/>
      <c r="AQ16" s="34"/>
      <c r="AR16" s="34"/>
      <c r="AS16" s="34"/>
      <c r="AT16" s="57">
        <f t="shared" si="17"/>
        <v>15.472000000000001</v>
      </c>
      <c r="AU16" s="57">
        <f t="shared" si="18"/>
        <v>9.639</v>
      </c>
      <c r="AV16" s="9">
        <f t="shared" si="7"/>
        <v>62.2996380558428</v>
      </c>
      <c r="AW16" s="57">
        <f t="shared" si="19"/>
        <v>5.833000000000002</v>
      </c>
      <c r="AX16" s="15">
        <f t="shared" si="20"/>
        <v>5.733000000000002</v>
      </c>
      <c r="AY16" s="19">
        <f t="shared" si="9"/>
        <v>15.472000000000001</v>
      </c>
      <c r="AZ16" s="19">
        <f t="shared" si="10"/>
        <v>9.639</v>
      </c>
      <c r="BA16" s="38">
        <f t="shared" si="11"/>
        <v>5.733000000000002</v>
      </c>
    </row>
    <row r="17" spans="1:53" ht="34.5" customHeight="1">
      <c r="A17" s="11" t="s">
        <v>14</v>
      </c>
      <c r="B17" s="60" t="s">
        <v>83</v>
      </c>
      <c r="C17" s="89">
        <v>-0.4</v>
      </c>
      <c r="D17" s="34">
        <f>0.2+0.4</f>
        <v>0.6000000000000001</v>
      </c>
      <c r="E17" s="34">
        <v>0.4</v>
      </c>
      <c r="F17" s="9">
        <f t="shared" si="12"/>
        <v>66.66666666666666</v>
      </c>
      <c r="G17" s="34">
        <f>0.6+0.2</f>
        <v>0.8</v>
      </c>
      <c r="H17" s="34">
        <v>0.6</v>
      </c>
      <c r="I17" s="9">
        <f t="shared" si="8"/>
        <v>74.99999999999999</v>
      </c>
      <c r="J17" s="34">
        <v>0.7</v>
      </c>
      <c r="K17" s="34">
        <v>0.6</v>
      </c>
      <c r="L17" s="9">
        <f t="shared" si="21"/>
        <v>85.71428571428572</v>
      </c>
      <c r="M17" s="70">
        <f t="shared" si="13"/>
        <v>2.1</v>
      </c>
      <c r="N17" s="70">
        <f t="shared" si="14"/>
        <v>1.6</v>
      </c>
      <c r="O17" s="9">
        <f t="shared" si="1"/>
        <v>76.19047619047619</v>
      </c>
      <c r="P17" s="34">
        <v>0.7</v>
      </c>
      <c r="Q17" s="34">
        <v>0.6</v>
      </c>
      <c r="R17" s="9">
        <f t="shared" si="2"/>
        <v>85.71428571428572</v>
      </c>
      <c r="S17" s="34">
        <v>0.7</v>
      </c>
      <c r="T17" s="34">
        <v>0.7</v>
      </c>
      <c r="U17" s="9">
        <f t="shared" si="3"/>
        <v>100</v>
      </c>
      <c r="V17" s="34">
        <v>0.7</v>
      </c>
      <c r="W17" s="34">
        <v>0.6</v>
      </c>
      <c r="X17" s="9">
        <f t="shared" si="22"/>
        <v>85.71428571428572</v>
      </c>
      <c r="Y17" s="70">
        <f t="shared" si="23"/>
        <v>2.0999999999999996</v>
      </c>
      <c r="Z17" s="70">
        <f t="shared" si="24"/>
        <v>1.9</v>
      </c>
      <c r="AA17" s="9">
        <f t="shared" si="25"/>
        <v>90.47619047619048</v>
      </c>
      <c r="AB17" s="34"/>
      <c r="AC17" s="34"/>
      <c r="AD17" s="9" t="e">
        <f t="shared" si="4"/>
        <v>#DIV/0!</v>
      </c>
      <c r="AE17" s="34"/>
      <c r="AF17" s="34"/>
      <c r="AG17" s="9" t="e">
        <f t="shared" si="5"/>
        <v>#DIV/0!</v>
      </c>
      <c r="AH17" s="34"/>
      <c r="AI17" s="34"/>
      <c r="AJ17" s="9" t="e">
        <f t="shared" si="6"/>
        <v>#DIV/0!</v>
      </c>
      <c r="AK17" s="70">
        <f t="shared" si="15"/>
        <v>0</v>
      </c>
      <c r="AL17" s="70">
        <f t="shared" si="16"/>
        <v>0</v>
      </c>
      <c r="AM17" s="9" t="e">
        <f t="shared" si="26"/>
        <v>#DIV/0!</v>
      </c>
      <c r="AN17" s="34"/>
      <c r="AO17" s="34"/>
      <c r="AP17" s="34"/>
      <c r="AQ17" s="34"/>
      <c r="AR17" s="34"/>
      <c r="AS17" s="34"/>
      <c r="AT17" s="57">
        <f t="shared" si="17"/>
        <v>4.199999999999999</v>
      </c>
      <c r="AU17" s="57">
        <f t="shared" si="18"/>
        <v>3.5</v>
      </c>
      <c r="AV17" s="9">
        <f t="shared" si="7"/>
        <v>83.33333333333334</v>
      </c>
      <c r="AW17" s="57">
        <f t="shared" si="19"/>
        <v>0.6999999999999993</v>
      </c>
      <c r="AX17" s="15">
        <f t="shared" si="20"/>
        <v>0.2999999999999994</v>
      </c>
      <c r="AY17" s="19">
        <f t="shared" si="9"/>
        <v>4.199999999999999</v>
      </c>
      <c r="AZ17" s="19">
        <f t="shared" si="10"/>
        <v>3.5</v>
      </c>
      <c r="BA17" s="38">
        <f t="shared" si="11"/>
        <v>0.2999999999999994</v>
      </c>
    </row>
    <row r="18" spans="1:53" ht="34.5" customHeight="1">
      <c r="A18" s="11" t="s">
        <v>15</v>
      </c>
      <c r="B18" s="60" t="s">
        <v>55</v>
      </c>
      <c r="C18" s="83">
        <v>0</v>
      </c>
      <c r="D18" s="34">
        <v>1.3</v>
      </c>
      <c r="E18" s="34">
        <v>0.1</v>
      </c>
      <c r="F18" s="9">
        <f t="shared" si="12"/>
        <v>7.6923076923076925</v>
      </c>
      <c r="G18" s="34">
        <v>3.9</v>
      </c>
      <c r="H18" s="34">
        <v>1.7</v>
      </c>
      <c r="I18" s="9">
        <f t="shared" si="8"/>
        <v>43.58974358974359</v>
      </c>
      <c r="J18" s="34">
        <v>3</v>
      </c>
      <c r="K18" s="34">
        <v>2.5</v>
      </c>
      <c r="L18" s="9">
        <f t="shared" si="21"/>
        <v>83.33333333333334</v>
      </c>
      <c r="M18" s="70">
        <f t="shared" si="13"/>
        <v>8.2</v>
      </c>
      <c r="N18" s="70">
        <f t="shared" si="14"/>
        <v>4.3</v>
      </c>
      <c r="O18" s="9">
        <f t="shared" si="1"/>
        <v>52.4390243902439</v>
      </c>
      <c r="P18" s="34">
        <v>2.6</v>
      </c>
      <c r="Q18" s="34">
        <v>2.5</v>
      </c>
      <c r="R18" s="9">
        <f t="shared" si="2"/>
        <v>96.15384615384615</v>
      </c>
      <c r="S18" s="34">
        <v>4</v>
      </c>
      <c r="T18" s="34">
        <v>2.2</v>
      </c>
      <c r="U18" s="9">
        <f t="shared" si="3"/>
        <v>55.00000000000001</v>
      </c>
      <c r="V18" s="34">
        <v>3.3</v>
      </c>
      <c r="W18" s="34">
        <v>2.4</v>
      </c>
      <c r="X18" s="9">
        <f t="shared" si="22"/>
        <v>72.72727272727273</v>
      </c>
      <c r="Y18" s="70">
        <f t="shared" si="23"/>
        <v>9.899999999999999</v>
      </c>
      <c r="Z18" s="70">
        <f t="shared" si="24"/>
        <v>7.1</v>
      </c>
      <c r="AA18" s="9">
        <f t="shared" si="25"/>
        <v>71.71717171717172</v>
      </c>
      <c r="AB18" s="34"/>
      <c r="AC18" s="34"/>
      <c r="AD18" s="9" t="e">
        <f t="shared" si="4"/>
        <v>#DIV/0!</v>
      </c>
      <c r="AE18" s="34"/>
      <c r="AF18" s="34"/>
      <c r="AG18" s="9" t="e">
        <f t="shared" si="5"/>
        <v>#DIV/0!</v>
      </c>
      <c r="AH18" s="34"/>
      <c r="AI18" s="34"/>
      <c r="AJ18" s="9" t="e">
        <f t="shared" si="6"/>
        <v>#DIV/0!</v>
      </c>
      <c r="AK18" s="70">
        <f t="shared" si="15"/>
        <v>0</v>
      </c>
      <c r="AL18" s="70">
        <f t="shared" si="16"/>
        <v>0</v>
      </c>
      <c r="AM18" s="9" t="e">
        <f t="shared" si="26"/>
        <v>#DIV/0!</v>
      </c>
      <c r="AN18" s="34"/>
      <c r="AO18" s="34"/>
      <c r="AP18" s="34"/>
      <c r="AQ18" s="34"/>
      <c r="AR18" s="34"/>
      <c r="AS18" s="34"/>
      <c r="AT18" s="57">
        <f t="shared" si="17"/>
        <v>18.099999999999998</v>
      </c>
      <c r="AU18" s="57">
        <f t="shared" si="18"/>
        <v>11.399999999999999</v>
      </c>
      <c r="AV18" s="9">
        <f t="shared" si="7"/>
        <v>62.98342541436463</v>
      </c>
      <c r="AW18" s="57">
        <f t="shared" si="19"/>
        <v>6.699999999999999</v>
      </c>
      <c r="AX18" s="15">
        <f t="shared" si="20"/>
        <v>6.699999999999999</v>
      </c>
      <c r="AY18" s="19">
        <f t="shared" si="9"/>
        <v>18.099999999999998</v>
      </c>
      <c r="AZ18" s="19">
        <f t="shared" si="10"/>
        <v>11.399999999999999</v>
      </c>
      <c r="BA18" s="38">
        <f t="shared" si="11"/>
        <v>6.699999999999999</v>
      </c>
    </row>
    <row r="19" spans="1:53" ht="34.5" customHeight="1">
      <c r="A19" s="11" t="s">
        <v>16</v>
      </c>
      <c r="B19" s="56" t="s">
        <v>56</v>
      </c>
      <c r="C19" s="83">
        <v>0</v>
      </c>
      <c r="D19" s="34">
        <v>6.7</v>
      </c>
      <c r="E19" s="34">
        <v>2.7</v>
      </c>
      <c r="F19" s="9">
        <f t="shared" si="12"/>
        <v>40.298507462686565</v>
      </c>
      <c r="G19" s="34">
        <v>7.1</v>
      </c>
      <c r="H19" s="34">
        <v>4.2</v>
      </c>
      <c r="I19" s="9">
        <f t="shared" si="8"/>
        <v>59.1549295774648</v>
      </c>
      <c r="J19" s="34">
        <v>7.7</v>
      </c>
      <c r="K19" s="34">
        <v>8</v>
      </c>
      <c r="L19" s="9">
        <f t="shared" si="21"/>
        <v>103.89610389610388</v>
      </c>
      <c r="M19" s="70">
        <f t="shared" si="13"/>
        <v>21.5</v>
      </c>
      <c r="N19" s="70">
        <f t="shared" si="14"/>
        <v>14.9</v>
      </c>
      <c r="O19" s="9">
        <f t="shared" si="1"/>
        <v>69.30232558139535</v>
      </c>
      <c r="P19" s="34">
        <v>10.199</v>
      </c>
      <c r="Q19" s="34">
        <v>5.938</v>
      </c>
      <c r="R19" s="9">
        <f t="shared" si="2"/>
        <v>58.221394254338655</v>
      </c>
      <c r="S19" s="34">
        <v>6.1</v>
      </c>
      <c r="T19" s="34">
        <v>8.4</v>
      </c>
      <c r="U19" s="9">
        <f t="shared" si="3"/>
        <v>137.7049180327869</v>
      </c>
      <c r="V19" s="34">
        <v>6</v>
      </c>
      <c r="W19" s="34">
        <v>4.3</v>
      </c>
      <c r="X19" s="101">
        <f t="shared" si="22"/>
        <v>71.66666666666667</v>
      </c>
      <c r="Y19" s="70">
        <f t="shared" si="23"/>
        <v>22.299</v>
      </c>
      <c r="Z19" s="70">
        <f t="shared" si="24"/>
        <v>18.638</v>
      </c>
      <c r="AA19" s="9">
        <f t="shared" si="25"/>
        <v>83.5822234180905</v>
      </c>
      <c r="AB19" s="34"/>
      <c r="AC19" s="34"/>
      <c r="AD19" s="9" t="e">
        <f t="shared" si="4"/>
        <v>#DIV/0!</v>
      </c>
      <c r="AE19" s="34"/>
      <c r="AF19" s="34"/>
      <c r="AG19" s="9" t="e">
        <f t="shared" si="5"/>
        <v>#DIV/0!</v>
      </c>
      <c r="AH19" s="34"/>
      <c r="AI19" s="34"/>
      <c r="AJ19" s="9" t="e">
        <f t="shared" si="6"/>
        <v>#DIV/0!</v>
      </c>
      <c r="AK19" s="70">
        <f t="shared" si="15"/>
        <v>0</v>
      </c>
      <c r="AL19" s="70">
        <f t="shared" si="16"/>
        <v>0</v>
      </c>
      <c r="AM19" s="9" t="e">
        <f t="shared" si="26"/>
        <v>#DIV/0!</v>
      </c>
      <c r="AN19" s="34"/>
      <c r="AO19" s="34"/>
      <c r="AP19" s="34"/>
      <c r="AQ19" s="34"/>
      <c r="AR19" s="34"/>
      <c r="AS19" s="34"/>
      <c r="AT19" s="57">
        <f t="shared" si="17"/>
        <v>43.799</v>
      </c>
      <c r="AU19" s="57">
        <f t="shared" si="18"/>
        <v>33.538000000000004</v>
      </c>
      <c r="AV19" s="9">
        <f t="shared" si="7"/>
        <v>76.57252448686044</v>
      </c>
      <c r="AW19" s="57">
        <f t="shared" si="19"/>
        <v>10.260999999999996</v>
      </c>
      <c r="AX19" s="15">
        <f t="shared" si="20"/>
        <v>10.260999999999996</v>
      </c>
      <c r="AY19" s="19">
        <f t="shared" si="9"/>
        <v>43.799</v>
      </c>
      <c r="AZ19" s="19">
        <f t="shared" si="10"/>
        <v>33.538000000000004</v>
      </c>
      <c r="BA19" s="38">
        <f t="shared" si="11"/>
        <v>10.260999999999996</v>
      </c>
    </row>
    <row r="20" spans="1:53" ht="34.5" customHeight="1">
      <c r="A20" s="11" t="s">
        <v>17</v>
      </c>
      <c r="B20" s="60" t="s">
        <v>57</v>
      </c>
      <c r="C20" s="90"/>
      <c r="D20" s="34"/>
      <c r="E20" s="34"/>
      <c r="F20" s="84" t="e">
        <f t="shared" si="12"/>
        <v>#DIV/0!</v>
      </c>
      <c r="G20" s="121"/>
      <c r="H20" s="121"/>
      <c r="I20" s="84" t="e">
        <f t="shared" si="8"/>
        <v>#DIV/0!</v>
      </c>
      <c r="J20" s="121"/>
      <c r="K20" s="121"/>
      <c r="L20" s="84"/>
      <c r="M20" s="122"/>
      <c r="N20" s="122"/>
      <c r="O20" s="84"/>
      <c r="P20" s="121"/>
      <c r="Q20" s="121"/>
      <c r="R20" s="84" t="e">
        <f t="shared" si="2"/>
        <v>#DIV/0!</v>
      </c>
      <c r="S20" s="121"/>
      <c r="T20" s="121"/>
      <c r="U20" s="84" t="e">
        <f t="shared" si="3"/>
        <v>#DIV/0!</v>
      </c>
      <c r="V20" s="121"/>
      <c r="W20" s="121"/>
      <c r="X20" s="84"/>
      <c r="Y20" s="122"/>
      <c r="Z20" s="122"/>
      <c r="AA20" s="84"/>
      <c r="AB20" s="121"/>
      <c r="AC20" s="121"/>
      <c r="AD20" s="84" t="e">
        <f t="shared" si="4"/>
        <v>#DIV/0!</v>
      </c>
      <c r="AE20" s="121"/>
      <c r="AF20" s="121"/>
      <c r="AG20" s="84" t="e">
        <f t="shared" si="5"/>
        <v>#DIV/0!</v>
      </c>
      <c r="AH20" s="121"/>
      <c r="AI20" s="121"/>
      <c r="AJ20" s="9"/>
      <c r="AK20" s="122"/>
      <c r="AL20" s="122"/>
      <c r="AM20" s="84"/>
      <c r="AN20" s="121"/>
      <c r="AO20" s="121"/>
      <c r="AP20" s="121"/>
      <c r="AQ20" s="121"/>
      <c r="AR20" s="121"/>
      <c r="AS20" s="121"/>
      <c r="AT20" s="122">
        <f t="shared" si="17"/>
        <v>0</v>
      </c>
      <c r="AU20" s="122">
        <f t="shared" si="18"/>
        <v>0</v>
      </c>
      <c r="AV20" s="84" t="e">
        <f t="shared" si="7"/>
        <v>#DIV/0!</v>
      </c>
      <c r="AW20" s="122">
        <f t="shared" si="19"/>
        <v>0</v>
      </c>
      <c r="AX20" s="123">
        <f t="shared" si="20"/>
        <v>0</v>
      </c>
      <c r="AY20" s="19">
        <f t="shared" si="9"/>
        <v>0</v>
      </c>
      <c r="AZ20" s="19">
        <f t="shared" si="10"/>
        <v>0</v>
      </c>
      <c r="BA20" s="38">
        <f t="shared" si="11"/>
        <v>0</v>
      </c>
    </row>
    <row r="21" spans="1:53" ht="34.5" customHeight="1">
      <c r="A21" s="11" t="s">
        <v>18</v>
      </c>
      <c r="B21" s="60" t="s">
        <v>58</v>
      </c>
      <c r="C21" s="87">
        <v>0</v>
      </c>
      <c r="D21" s="34">
        <v>0.2</v>
      </c>
      <c r="E21" s="34">
        <v>0.2</v>
      </c>
      <c r="F21" s="9">
        <f t="shared" si="12"/>
        <v>100</v>
      </c>
      <c r="G21" s="34">
        <v>0.1</v>
      </c>
      <c r="H21" s="34">
        <v>0.1</v>
      </c>
      <c r="I21" s="9">
        <f t="shared" si="8"/>
        <v>100</v>
      </c>
      <c r="J21" s="34">
        <v>0.109</v>
      </c>
      <c r="K21" s="34">
        <v>0.109</v>
      </c>
      <c r="L21" s="84">
        <f>K21/J21*100</f>
        <v>100</v>
      </c>
      <c r="M21" s="70">
        <f t="shared" si="13"/>
        <v>0.40900000000000003</v>
      </c>
      <c r="N21" s="70">
        <f t="shared" si="14"/>
        <v>0.40900000000000003</v>
      </c>
      <c r="O21" s="9">
        <f t="shared" si="1"/>
        <v>100</v>
      </c>
      <c r="P21" s="34">
        <v>0.097</v>
      </c>
      <c r="Q21" s="34">
        <v>0.097</v>
      </c>
      <c r="R21" s="9">
        <f t="shared" si="2"/>
        <v>100</v>
      </c>
      <c r="S21" s="34">
        <v>0.1</v>
      </c>
      <c r="T21" s="34">
        <v>0.1</v>
      </c>
      <c r="U21" s="9">
        <f t="shared" si="3"/>
        <v>100</v>
      </c>
      <c r="V21" s="34">
        <v>0.2</v>
      </c>
      <c r="W21" s="34">
        <v>0.2</v>
      </c>
      <c r="X21" s="101">
        <f>W21/V21*100</f>
        <v>100</v>
      </c>
      <c r="Y21" s="70">
        <f aca="true" t="shared" si="27" ref="Y21:Z25">P21+S21+V21</f>
        <v>0.397</v>
      </c>
      <c r="Z21" s="70">
        <f t="shared" si="27"/>
        <v>0.397</v>
      </c>
      <c r="AA21" s="9">
        <f>Z21/Y21*100</f>
        <v>100</v>
      </c>
      <c r="AB21" s="34"/>
      <c r="AC21" s="34"/>
      <c r="AD21" s="9" t="e">
        <f t="shared" si="4"/>
        <v>#DIV/0!</v>
      </c>
      <c r="AE21" s="34"/>
      <c r="AF21" s="34"/>
      <c r="AG21" s="9" t="e">
        <f t="shared" si="5"/>
        <v>#DIV/0!</v>
      </c>
      <c r="AH21" s="34"/>
      <c r="AI21" s="34"/>
      <c r="AJ21" s="9" t="e">
        <f t="shared" si="6"/>
        <v>#DIV/0!</v>
      </c>
      <c r="AK21" s="70">
        <f t="shared" si="15"/>
        <v>0</v>
      </c>
      <c r="AL21" s="70">
        <f t="shared" si="16"/>
        <v>0</v>
      </c>
      <c r="AM21" s="9" t="e">
        <f>AL21/AK21*100</f>
        <v>#DIV/0!</v>
      </c>
      <c r="AN21" s="34"/>
      <c r="AO21" s="34"/>
      <c r="AP21" s="34"/>
      <c r="AQ21" s="34"/>
      <c r="AR21" s="34"/>
      <c r="AS21" s="34"/>
      <c r="AT21" s="57">
        <f t="shared" si="17"/>
        <v>0.806</v>
      </c>
      <c r="AU21" s="57">
        <f t="shared" si="18"/>
        <v>0.806</v>
      </c>
      <c r="AV21" s="9">
        <f t="shared" si="7"/>
        <v>100</v>
      </c>
      <c r="AW21" s="57">
        <f t="shared" si="19"/>
        <v>0</v>
      </c>
      <c r="AX21" s="15">
        <f t="shared" si="20"/>
        <v>0</v>
      </c>
      <c r="AY21" s="19">
        <f t="shared" si="9"/>
        <v>0.806</v>
      </c>
      <c r="AZ21" s="19">
        <f t="shared" si="10"/>
        <v>0.806</v>
      </c>
      <c r="BA21" s="38">
        <f t="shared" si="11"/>
        <v>0</v>
      </c>
    </row>
    <row r="22" spans="1:53" ht="34.5" customHeight="1">
      <c r="A22" s="11" t="s">
        <v>19</v>
      </c>
      <c r="B22" s="60" t="s">
        <v>41</v>
      </c>
      <c r="C22" s="91">
        <v>-8</v>
      </c>
      <c r="D22" s="34">
        <v>4.7</v>
      </c>
      <c r="E22" s="34">
        <v>2.6</v>
      </c>
      <c r="F22" s="9">
        <f t="shared" si="12"/>
        <v>55.319148936170215</v>
      </c>
      <c r="G22" s="34">
        <v>4.2</v>
      </c>
      <c r="H22" s="34">
        <v>3.8</v>
      </c>
      <c r="I22" s="9">
        <f t="shared" si="8"/>
        <v>90.47619047619047</v>
      </c>
      <c r="J22" s="34">
        <v>4.999999999999999</v>
      </c>
      <c r="K22" s="34">
        <v>0</v>
      </c>
      <c r="L22" s="9">
        <f>K22/J22*100</f>
        <v>0</v>
      </c>
      <c r="M22" s="70">
        <f t="shared" si="13"/>
        <v>13.899999999999999</v>
      </c>
      <c r="N22" s="70">
        <f t="shared" si="14"/>
        <v>6.4</v>
      </c>
      <c r="O22" s="9">
        <f t="shared" si="1"/>
        <v>46.043165467625904</v>
      </c>
      <c r="P22" s="34">
        <v>2.8000000000000007</v>
      </c>
      <c r="Q22" s="34">
        <v>7.199999999999999</v>
      </c>
      <c r="R22" s="9">
        <f t="shared" si="2"/>
        <v>257.14285714285705</v>
      </c>
      <c r="S22" s="34">
        <v>3.1</v>
      </c>
      <c r="T22" s="34">
        <v>0</v>
      </c>
      <c r="U22" s="9">
        <f t="shared" si="3"/>
        <v>0</v>
      </c>
      <c r="V22" s="34">
        <v>-0.5</v>
      </c>
      <c r="W22" s="34">
        <v>2.4</v>
      </c>
      <c r="X22" s="101">
        <f>W22/V22*100</f>
        <v>-480</v>
      </c>
      <c r="Y22" s="70">
        <f t="shared" si="27"/>
        <v>5.4</v>
      </c>
      <c r="Z22" s="70">
        <f t="shared" si="27"/>
        <v>9.6</v>
      </c>
      <c r="AA22" s="9">
        <f>Z22/Y22*100</f>
        <v>177.77777777777777</v>
      </c>
      <c r="AB22" s="34"/>
      <c r="AC22" s="34"/>
      <c r="AD22" s="9" t="e">
        <f t="shared" si="4"/>
        <v>#DIV/0!</v>
      </c>
      <c r="AE22" s="34"/>
      <c r="AF22" s="34"/>
      <c r="AG22" s="9" t="e">
        <f t="shared" si="5"/>
        <v>#DIV/0!</v>
      </c>
      <c r="AH22" s="34"/>
      <c r="AI22" s="34"/>
      <c r="AJ22" s="9" t="e">
        <f t="shared" si="6"/>
        <v>#DIV/0!</v>
      </c>
      <c r="AK22" s="70">
        <f t="shared" si="15"/>
        <v>0</v>
      </c>
      <c r="AL22" s="70">
        <f t="shared" si="16"/>
        <v>0</v>
      </c>
      <c r="AM22" s="9" t="e">
        <f>AL22/AK22*100</f>
        <v>#DIV/0!</v>
      </c>
      <c r="AN22" s="34"/>
      <c r="AO22" s="34"/>
      <c r="AP22" s="34"/>
      <c r="AQ22" s="34"/>
      <c r="AR22" s="34"/>
      <c r="AS22" s="34"/>
      <c r="AT22" s="57">
        <f t="shared" si="17"/>
        <v>19.299999999999997</v>
      </c>
      <c r="AU22" s="57">
        <f t="shared" si="18"/>
        <v>16</v>
      </c>
      <c r="AV22" s="9">
        <f t="shared" si="7"/>
        <v>82.90155440414509</v>
      </c>
      <c r="AW22" s="57">
        <f t="shared" si="19"/>
        <v>3.299999999999997</v>
      </c>
      <c r="AX22" s="15">
        <f t="shared" si="20"/>
        <v>-4.700000000000003</v>
      </c>
      <c r="AY22" s="19">
        <f t="shared" si="9"/>
        <v>19.299999999999997</v>
      </c>
      <c r="AZ22" s="19">
        <f t="shared" si="10"/>
        <v>16</v>
      </c>
      <c r="BA22" s="38">
        <f t="shared" si="11"/>
        <v>-4.700000000000003</v>
      </c>
    </row>
    <row r="23" spans="1:53" ht="34.5" customHeight="1">
      <c r="A23" s="11" t="s">
        <v>20</v>
      </c>
      <c r="B23" s="60" t="s">
        <v>84</v>
      </c>
      <c r="C23" s="83">
        <v>0</v>
      </c>
      <c r="D23" s="34">
        <v>0.9</v>
      </c>
      <c r="E23" s="34">
        <v>0.5</v>
      </c>
      <c r="F23" s="9">
        <f t="shared" si="12"/>
        <v>55.55555555555556</v>
      </c>
      <c r="G23" s="34">
        <v>0.8</v>
      </c>
      <c r="H23" s="34">
        <v>0</v>
      </c>
      <c r="I23" s="9">
        <f t="shared" si="8"/>
        <v>0</v>
      </c>
      <c r="J23" s="34">
        <v>0.8</v>
      </c>
      <c r="K23" s="34">
        <v>0.1</v>
      </c>
      <c r="L23" s="9">
        <f>K23/J23*100</f>
        <v>12.5</v>
      </c>
      <c r="M23" s="70">
        <f t="shared" si="13"/>
        <v>2.5</v>
      </c>
      <c r="N23" s="70">
        <f t="shared" si="14"/>
        <v>0.6</v>
      </c>
      <c r="O23" s="9">
        <f t="shared" si="1"/>
        <v>24</v>
      </c>
      <c r="P23" s="34">
        <v>0.8</v>
      </c>
      <c r="Q23" s="34">
        <v>0.7</v>
      </c>
      <c r="R23" s="9">
        <f t="shared" si="2"/>
        <v>87.49999999999999</v>
      </c>
      <c r="S23" s="34">
        <v>0.7</v>
      </c>
      <c r="T23" s="34">
        <v>0.3</v>
      </c>
      <c r="U23" s="9">
        <f t="shared" si="3"/>
        <v>42.85714285714286</v>
      </c>
      <c r="V23" s="34">
        <v>0.8</v>
      </c>
      <c r="W23" s="34">
        <v>0</v>
      </c>
      <c r="X23" s="9">
        <f>W23/V23*100</f>
        <v>0</v>
      </c>
      <c r="Y23" s="70">
        <f t="shared" si="27"/>
        <v>2.3</v>
      </c>
      <c r="Z23" s="70">
        <f t="shared" si="27"/>
        <v>1</v>
      </c>
      <c r="AA23" s="9">
        <f>Z23/Y23*100</f>
        <v>43.47826086956522</v>
      </c>
      <c r="AB23" s="34"/>
      <c r="AC23" s="34"/>
      <c r="AD23" s="9" t="e">
        <f t="shared" si="4"/>
        <v>#DIV/0!</v>
      </c>
      <c r="AE23" s="34"/>
      <c r="AF23" s="34"/>
      <c r="AG23" s="9" t="e">
        <f t="shared" si="5"/>
        <v>#DIV/0!</v>
      </c>
      <c r="AH23" s="34"/>
      <c r="AI23" s="34"/>
      <c r="AJ23" s="9" t="e">
        <f t="shared" si="6"/>
        <v>#DIV/0!</v>
      </c>
      <c r="AK23" s="70">
        <f t="shared" si="15"/>
        <v>0</v>
      </c>
      <c r="AL23" s="70">
        <f t="shared" si="16"/>
        <v>0</v>
      </c>
      <c r="AM23" s="9" t="e">
        <f>AL23/AK23*100</f>
        <v>#DIV/0!</v>
      </c>
      <c r="AN23" s="34"/>
      <c r="AO23" s="34"/>
      <c r="AP23" s="34"/>
      <c r="AQ23" s="34"/>
      <c r="AR23" s="34"/>
      <c r="AS23" s="34"/>
      <c r="AT23" s="57">
        <f t="shared" si="17"/>
        <v>4.8</v>
      </c>
      <c r="AU23" s="57">
        <f t="shared" si="18"/>
        <v>1.6</v>
      </c>
      <c r="AV23" s="9">
        <f t="shared" si="7"/>
        <v>33.333333333333336</v>
      </c>
      <c r="AW23" s="57">
        <f t="shared" si="19"/>
        <v>3.1999999999999997</v>
      </c>
      <c r="AX23" s="15">
        <f t="shared" si="20"/>
        <v>3.1999999999999997</v>
      </c>
      <c r="AY23" s="19">
        <f t="shared" si="9"/>
        <v>4.8</v>
      </c>
      <c r="AZ23" s="19">
        <f t="shared" si="10"/>
        <v>1.6</v>
      </c>
      <c r="BA23" s="38">
        <f t="shared" si="11"/>
        <v>3.1999999999999997</v>
      </c>
    </row>
    <row r="24" spans="1:53" ht="34.5" customHeight="1">
      <c r="A24" s="11" t="s">
        <v>21</v>
      </c>
      <c r="B24" s="60" t="s">
        <v>40</v>
      </c>
      <c r="C24" s="83">
        <v>0.7</v>
      </c>
      <c r="D24" s="34">
        <v>2.9</v>
      </c>
      <c r="E24" s="34">
        <v>0.8</v>
      </c>
      <c r="F24" s="9">
        <f t="shared" si="12"/>
        <v>27.586206896551722</v>
      </c>
      <c r="G24" s="34">
        <v>22.6</v>
      </c>
      <c r="H24" s="34">
        <v>22.3</v>
      </c>
      <c r="I24" s="9">
        <f t="shared" si="8"/>
        <v>98.67256637168141</v>
      </c>
      <c r="J24" s="34">
        <v>15.5</v>
      </c>
      <c r="K24" s="34">
        <v>6.6</v>
      </c>
      <c r="L24" s="9">
        <f>K24/J24*100</f>
        <v>42.58064516129032</v>
      </c>
      <c r="M24" s="70">
        <f t="shared" si="13"/>
        <v>41</v>
      </c>
      <c r="N24" s="70">
        <f t="shared" si="14"/>
        <v>29.700000000000003</v>
      </c>
      <c r="O24" s="9">
        <f t="shared" si="1"/>
        <v>72.43902439024392</v>
      </c>
      <c r="P24" s="34">
        <v>10.5</v>
      </c>
      <c r="Q24" s="34">
        <v>17.1</v>
      </c>
      <c r="R24" s="9">
        <f t="shared" si="2"/>
        <v>162.8571428571429</v>
      </c>
      <c r="S24" s="34">
        <v>6.9</v>
      </c>
      <c r="T24" s="34">
        <v>7.9</v>
      </c>
      <c r="U24" s="9">
        <f t="shared" si="3"/>
        <v>114.4927536231884</v>
      </c>
      <c r="V24" s="34">
        <v>11.6</v>
      </c>
      <c r="W24" s="34">
        <v>11.2</v>
      </c>
      <c r="X24" s="9">
        <f>W24/V24*100</f>
        <v>96.55172413793103</v>
      </c>
      <c r="Y24" s="70">
        <f t="shared" si="27"/>
        <v>29</v>
      </c>
      <c r="Z24" s="70">
        <f t="shared" si="27"/>
        <v>36.2</v>
      </c>
      <c r="AA24" s="9">
        <f>Z24/Y24*100</f>
        <v>124.82758620689656</v>
      </c>
      <c r="AB24" s="34"/>
      <c r="AC24" s="34"/>
      <c r="AD24" s="9" t="e">
        <f t="shared" si="4"/>
        <v>#DIV/0!</v>
      </c>
      <c r="AE24" s="34"/>
      <c r="AF24" s="34"/>
      <c r="AG24" s="9" t="e">
        <f t="shared" si="5"/>
        <v>#DIV/0!</v>
      </c>
      <c r="AH24" s="34"/>
      <c r="AI24" s="34"/>
      <c r="AJ24" s="9" t="e">
        <f t="shared" si="6"/>
        <v>#DIV/0!</v>
      </c>
      <c r="AK24" s="70">
        <f t="shared" si="15"/>
        <v>0</v>
      </c>
      <c r="AL24" s="70">
        <f t="shared" si="16"/>
        <v>0</v>
      </c>
      <c r="AM24" s="9" t="e">
        <f>AL24/AK24*100</f>
        <v>#DIV/0!</v>
      </c>
      <c r="AN24" s="34"/>
      <c r="AO24" s="34"/>
      <c r="AP24" s="34"/>
      <c r="AQ24" s="34"/>
      <c r="AR24" s="34"/>
      <c r="AS24" s="34"/>
      <c r="AT24" s="57">
        <f t="shared" si="17"/>
        <v>70</v>
      </c>
      <c r="AU24" s="57">
        <f t="shared" si="18"/>
        <v>65.9</v>
      </c>
      <c r="AV24" s="9">
        <f t="shared" si="7"/>
        <v>94.14285714285715</v>
      </c>
      <c r="AW24" s="57">
        <f t="shared" si="19"/>
        <v>4.099999999999994</v>
      </c>
      <c r="AX24" s="15">
        <f t="shared" si="20"/>
        <v>4.799999999999997</v>
      </c>
      <c r="AY24" s="19">
        <f t="shared" si="9"/>
        <v>70</v>
      </c>
      <c r="AZ24" s="19">
        <f t="shared" si="10"/>
        <v>65.9</v>
      </c>
      <c r="BA24" s="38">
        <f t="shared" si="11"/>
        <v>4.799999999999997</v>
      </c>
    </row>
    <row r="25" spans="1:53" ht="34.5" customHeight="1">
      <c r="A25" s="11" t="s">
        <v>22</v>
      </c>
      <c r="B25" s="56" t="s">
        <v>43</v>
      </c>
      <c r="C25" s="83">
        <v>0.1</v>
      </c>
      <c r="D25" s="34">
        <v>6.1</v>
      </c>
      <c r="E25" s="34">
        <v>0.8</v>
      </c>
      <c r="F25" s="9">
        <f t="shared" si="12"/>
        <v>13.114754098360656</v>
      </c>
      <c r="G25" s="34">
        <v>7.5</v>
      </c>
      <c r="H25" s="34">
        <v>3.3</v>
      </c>
      <c r="I25" s="9">
        <f t="shared" si="8"/>
        <v>44</v>
      </c>
      <c r="J25" s="34">
        <v>5.3376</v>
      </c>
      <c r="K25" s="34">
        <v>8.1708</v>
      </c>
      <c r="L25" s="9">
        <f>K25/J25*100</f>
        <v>153.08003597122303</v>
      </c>
      <c r="M25" s="70">
        <f t="shared" si="13"/>
        <v>18.9376</v>
      </c>
      <c r="N25" s="70">
        <f t="shared" si="14"/>
        <v>12.2708</v>
      </c>
      <c r="O25" s="9">
        <f t="shared" si="1"/>
        <v>64.79596147347077</v>
      </c>
      <c r="P25" s="34">
        <v>4.80941</v>
      </c>
      <c r="Q25" s="34">
        <v>4.46106</v>
      </c>
      <c r="R25" s="9">
        <f t="shared" si="2"/>
        <v>92.75690781197694</v>
      </c>
      <c r="S25" s="34">
        <v>5.5</v>
      </c>
      <c r="T25" s="34">
        <v>6.5</v>
      </c>
      <c r="U25" s="9">
        <f t="shared" si="3"/>
        <v>118.18181818181819</v>
      </c>
      <c r="V25" s="34">
        <v>6.8</v>
      </c>
      <c r="W25" s="34">
        <v>6.7</v>
      </c>
      <c r="X25" s="9">
        <f>W25/V25*100</f>
        <v>98.52941176470588</v>
      </c>
      <c r="Y25" s="70">
        <f t="shared" si="27"/>
        <v>17.10941</v>
      </c>
      <c r="Z25" s="70">
        <f t="shared" si="27"/>
        <v>17.66106</v>
      </c>
      <c r="AA25" s="9">
        <f>Z25/Y25*100</f>
        <v>103.22424911203834</v>
      </c>
      <c r="AB25" s="34"/>
      <c r="AC25" s="34"/>
      <c r="AD25" s="9" t="e">
        <f t="shared" si="4"/>
        <v>#DIV/0!</v>
      </c>
      <c r="AE25" s="34"/>
      <c r="AF25" s="34"/>
      <c r="AG25" s="9" t="e">
        <f t="shared" si="5"/>
        <v>#DIV/0!</v>
      </c>
      <c r="AH25" s="34"/>
      <c r="AI25" s="34"/>
      <c r="AJ25" s="9" t="e">
        <f t="shared" si="6"/>
        <v>#DIV/0!</v>
      </c>
      <c r="AK25" s="70">
        <f t="shared" si="15"/>
        <v>0</v>
      </c>
      <c r="AL25" s="70">
        <f t="shared" si="16"/>
        <v>0</v>
      </c>
      <c r="AM25" s="9" t="e">
        <f>AL25/AK25*100</f>
        <v>#DIV/0!</v>
      </c>
      <c r="AN25" s="34"/>
      <c r="AO25" s="34"/>
      <c r="AP25" s="34"/>
      <c r="AQ25" s="34"/>
      <c r="AR25" s="34"/>
      <c r="AS25" s="34"/>
      <c r="AT25" s="57">
        <f t="shared" si="17"/>
        <v>36.04701</v>
      </c>
      <c r="AU25" s="57">
        <f t="shared" si="18"/>
        <v>29.93186</v>
      </c>
      <c r="AV25" s="9">
        <f t="shared" si="7"/>
        <v>83.03562486874779</v>
      </c>
      <c r="AW25" s="57">
        <f t="shared" si="19"/>
        <v>6.11515</v>
      </c>
      <c r="AX25" s="15">
        <f t="shared" si="20"/>
        <v>6.215150000000001</v>
      </c>
      <c r="AY25" s="19">
        <f t="shared" si="9"/>
        <v>36.04701</v>
      </c>
      <c r="AZ25" s="19">
        <f t="shared" si="10"/>
        <v>29.93186</v>
      </c>
      <c r="BA25" s="38">
        <f t="shared" si="11"/>
        <v>6.215150000000001</v>
      </c>
    </row>
    <row r="26" spans="1:53" ht="34.5" customHeight="1">
      <c r="A26" s="11" t="s">
        <v>23</v>
      </c>
      <c r="B26" s="60" t="s">
        <v>85</v>
      </c>
      <c r="C26" s="83"/>
      <c r="D26" s="34"/>
      <c r="E26" s="34"/>
      <c r="F26" s="84" t="e">
        <f t="shared" si="12"/>
        <v>#DIV/0!</v>
      </c>
      <c r="G26" s="121"/>
      <c r="H26" s="121"/>
      <c r="I26" s="84" t="e">
        <f t="shared" si="8"/>
        <v>#DIV/0!</v>
      </c>
      <c r="J26" s="121"/>
      <c r="K26" s="121"/>
      <c r="L26" s="84"/>
      <c r="M26" s="122">
        <f t="shared" si="13"/>
        <v>0</v>
      </c>
      <c r="N26" s="122">
        <f t="shared" si="14"/>
        <v>0</v>
      </c>
      <c r="O26" s="84" t="e">
        <f t="shared" si="1"/>
        <v>#DIV/0!</v>
      </c>
      <c r="P26" s="121"/>
      <c r="Q26" s="121"/>
      <c r="R26" s="84" t="e">
        <f t="shared" si="2"/>
        <v>#DIV/0!</v>
      </c>
      <c r="S26" s="121"/>
      <c r="T26" s="121"/>
      <c r="U26" s="84" t="e">
        <f t="shared" si="3"/>
        <v>#DIV/0!</v>
      </c>
      <c r="V26" s="121"/>
      <c r="W26" s="121"/>
      <c r="X26" s="84"/>
      <c r="Y26" s="122"/>
      <c r="Z26" s="122"/>
      <c r="AA26" s="84"/>
      <c r="AB26" s="121"/>
      <c r="AC26" s="121"/>
      <c r="AD26" s="84" t="e">
        <f t="shared" si="4"/>
        <v>#DIV/0!</v>
      </c>
      <c r="AE26" s="121"/>
      <c r="AF26" s="121"/>
      <c r="AG26" s="84" t="e">
        <f t="shared" si="5"/>
        <v>#DIV/0!</v>
      </c>
      <c r="AH26" s="121"/>
      <c r="AI26" s="121"/>
      <c r="AJ26" s="9"/>
      <c r="AK26" s="122"/>
      <c r="AL26" s="122"/>
      <c r="AM26" s="84"/>
      <c r="AN26" s="121"/>
      <c r="AO26" s="121"/>
      <c r="AP26" s="121"/>
      <c r="AQ26" s="121"/>
      <c r="AR26" s="121"/>
      <c r="AS26" s="121"/>
      <c r="AT26" s="122">
        <f t="shared" si="17"/>
        <v>0</v>
      </c>
      <c r="AU26" s="122">
        <f t="shared" si="18"/>
        <v>0</v>
      </c>
      <c r="AV26" s="84" t="e">
        <f t="shared" si="7"/>
        <v>#DIV/0!</v>
      </c>
      <c r="AW26" s="122">
        <f t="shared" si="19"/>
        <v>0</v>
      </c>
      <c r="AX26" s="123">
        <f t="shared" si="20"/>
        <v>0</v>
      </c>
      <c r="AY26" s="19">
        <f t="shared" si="9"/>
        <v>0</v>
      </c>
      <c r="AZ26" s="19">
        <f t="shared" si="10"/>
        <v>0</v>
      </c>
      <c r="BA26" s="38">
        <f t="shared" si="11"/>
        <v>0</v>
      </c>
    </row>
    <row r="27" spans="1:53" ht="34.5" customHeight="1">
      <c r="A27" s="11" t="s">
        <v>24</v>
      </c>
      <c r="B27" s="60" t="s">
        <v>59</v>
      </c>
      <c r="C27" s="12"/>
      <c r="D27" s="34"/>
      <c r="E27" s="34"/>
      <c r="F27" s="84" t="e">
        <f t="shared" si="12"/>
        <v>#DIV/0!</v>
      </c>
      <c r="G27" s="121"/>
      <c r="H27" s="121"/>
      <c r="I27" s="84" t="e">
        <f t="shared" si="8"/>
        <v>#DIV/0!</v>
      </c>
      <c r="J27" s="121"/>
      <c r="K27" s="121"/>
      <c r="L27" s="84"/>
      <c r="M27" s="122">
        <f t="shared" si="13"/>
        <v>0</v>
      </c>
      <c r="N27" s="122">
        <f t="shared" si="14"/>
        <v>0</v>
      </c>
      <c r="O27" s="84" t="e">
        <f t="shared" si="1"/>
        <v>#DIV/0!</v>
      </c>
      <c r="P27" s="121"/>
      <c r="Q27" s="121"/>
      <c r="R27" s="84" t="e">
        <f t="shared" si="2"/>
        <v>#DIV/0!</v>
      </c>
      <c r="S27" s="121"/>
      <c r="T27" s="121"/>
      <c r="U27" s="84" t="e">
        <f t="shared" si="3"/>
        <v>#DIV/0!</v>
      </c>
      <c r="V27" s="121"/>
      <c r="W27" s="121"/>
      <c r="X27" s="84"/>
      <c r="Y27" s="122"/>
      <c r="Z27" s="122"/>
      <c r="AA27" s="84"/>
      <c r="AB27" s="121"/>
      <c r="AC27" s="121"/>
      <c r="AD27" s="84" t="e">
        <f t="shared" si="4"/>
        <v>#DIV/0!</v>
      </c>
      <c r="AE27" s="121"/>
      <c r="AF27" s="121"/>
      <c r="AG27" s="84" t="e">
        <f t="shared" si="5"/>
        <v>#DIV/0!</v>
      </c>
      <c r="AH27" s="121"/>
      <c r="AI27" s="121"/>
      <c r="AJ27" s="9"/>
      <c r="AK27" s="122"/>
      <c r="AL27" s="122"/>
      <c r="AM27" s="84"/>
      <c r="AN27" s="121"/>
      <c r="AO27" s="121"/>
      <c r="AP27" s="121"/>
      <c r="AQ27" s="121"/>
      <c r="AR27" s="121"/>
      <c r="AS27" s="121"/>
      <c r="AT27" s="122">
        <f t="shared" si="17"/>
        <v>0</v>
      </c>
      <c r="AU27" s="122">
        <f t="shared" si="18"/>
        <v>0</v>
      </c>
      <c r="AV27" s="84" t="e">
        <f t="shared" si="7"/>
        <v>#DIV/0!</v>
      </c>
      <c r="AW27" s="122">
        <f t="shared" si="19"/>
        <v>0</v>
      </c>
      <c r="AX27" s="123">
        <f t="shared" si="20"/>
        <v>0</v>
      </c>
      <c r="AY27" s="19">
        <f t="shared" si="9"/>
        <v>0</v>
      </c>
      <c r="AZ27" s="19">
        <f t="shared" si="10"/>
        <v>0</v>
      </c>
      <c r="BA27" s="38">
        <f t="shared" si="11"/>
        <v>0</v>
      </c>
    </row>
    <row r="28" spans="1:53" ht="34.5" customHeight="1">
      <c r="A28" s="11" t="s">
        <v>25</v>
      </c>
      <c r="B28" s="112" t="s">
        <v>86</v>
      </c>
      <c r="C28" s="90">
        <v>2.5</v>
      </c>
      <c r="D28" s="34">
        <v>22.8</v>
      </c>
      <c r="E28" s="34">
        <v>0.5</v>
      </c>
      <c r="F28" s="9">
        <f>E28/D28*100</f>
        <v>2.1929824561403506</v>
      </c>
      <c r="G28" s="34">
        <v>13.5</v>
      </c>
      <c r="H28" s="34">
        <v>5</v>
      </c>
      <c r="I28" s="9">
        <f t="shared" si="8"/>
        <v>37.03703703703704</v>
      </c>
      <c r="J28" s="34">
        <v>13.3</v>
      </c>
      <c r="K28" s="34">
        <v>8.3</v>
      </c>
      <c r="L28" s="59">
        <f aca="true" t="shared" si="28" ref="L28:L45">K28/J28*100</f>
        <v>62.40601503759399</v>
      </c>
      <c r="M28" s="70">
        <f t="shared" si="13"/>
        <v>49.599999999999994</v>
      </c>
      <c r="N28" s="70">
        <f t="shared" si="14"/>
        <v>13.8</v>
      </c>
      <c r="O28" s="9">
        <f t="shared" si="1"/>
        <v>27.822580645161292</v>
      </c>
      <c r="P28" s="34">
        <v>13.5</v>
      </c>
      <c r="Q28" s="34">
        <v>28.6</v>
      </c>
      <c r="R28" s="9">
        <f t="shared" si="2"/>
        <v>211.85185185185188</v>
      </c>
      <c r="S28" s="34">
        <v>12.8</v>
      </c>
      <c r="T28" s="34">
        <v>20.5</v>
      </c>
      <c r="U28" s="9">
        <f t="shared" si="3"/>
        <v>160.15625</v>
      </c>
      <c r="V28" s="34">
        <v>14.4</v>
      </c>
      <c r="W28" s="34">
        <v>11.4</v>
      </c>
      <c r="X28" s="101">
        <f>W28/V28*100</f>
        <v>79.16666666666666</v>
      </c>
      <c r="Y28" s="70">
        <f>P28+S28+V28</f>
        <v>40.7</v>
      </c>
      <c r="Z28" s="70">
        <f>Q28+T28+W28</f>
        <v>60.5</v>
      </c>
      <c r="AA28" s="9">
        <f>Z28/Y28*100</f>
        <v>148.64864864864865</v>
      </c>
      <c r="AB28" s="34"/>
      <c r="AC28" s="34"/>
      <c r="AD28" s="9" t="e">
        <f t="shared" si="4"/>
        <v>#DIV/0!</v>
      </c>
      <c r="AE28" s="34"/>
      <c r="AF28" s="78"/>
      <c r="AG28" s="9" t="e">
        <f t="shared" si="5"/>
        <v>#DIV/0!</v>
      </c>
      <c r="AH28" s="34"/>
      <c r="AI28" s="78"/>
      <c r="AJ28" s="9" t="e">
        <f t="shared" si="6"/>
        <v>#DIV/0!</v>
      </c>
      <c r="AK28" s="70">
        <f t="shared" si="15"/>
        <v>0</v>
      </c>
      <c r="AL28" s="70">
        <f t="shared" si="16"/>
        <v>0</v>
      </c>
      <c r="AM28" s="9" t="e">
        <f>AL28/AK28*100</f>
        <v>#DIV/0!</v>
      </c>
      <c r="AN28" s="34"/>
      <c r="AO28" s="78"/>
      <c r="AP28" s="34"/>
      <c r="AQ28" s="78"/>
      <c r="AR28" s="34"/>
      <c r="AS28" s="78"/>
      <c r="AT28" s="57">
        <f t="shared" si="17"/>
        <v>90.3</v>
      </c>
      <c r="AU28" s="57">
        <f t="shared" si="18"/>
        <v>74.3</v>
      </c>
      <c r="AV28" s="9">
        <f t="shared" si="7"/>
        <v>82.281284606866</v>
      </c>
      <c r="AW28" s="57">
        <f>AT28-AU28</f>
        <v>16</v>
      </c>
      <c r="AX28" s="15">
        <f>C28+AT28-AU28</f>
        <v>18.5</v>
      </c>
      <c r="AY28" s="19">
        <f t="shared" si="9"/>
        <v>90.3</v>
      </c>
      <c r="AZ28" s="19">
        <f t="shared" si="10"/>
        <v>74.3</v>
      </c>
      <c r="BA28" s="38">
        <f t="shared" si="11"/>
        <v>18.5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61"/>
      <c r="G29" s="61"/>
      <c r="H29" s="61"/>
      <c r="I29" s="84" t="e">
        <f t="shared" si="8"/>
        <v>#DIV/0!</v>
      </c>
      <c r="J29" s="61"/>
      <c r="K29" s="61"/>
      <c r="L29" s="59"/>
      <c r="M29" s="122">
        <f t="shared" si="13"/>
        <v>0</v>
      </c>
      <c r="N29" s="122">
        <f t="shared" si="14"/>
        <v>0</v>
      </c>
      <c r="O29" s="84" t="e">
        <f t="shared" si="1"/>
        <v>#DIV/0!</v>
      </c>
      <c r="P29" s="138"/>
      <c r="Q29" s="138"/>
      <c r="R29" s="84" t="e">
        <f t="shared" si="2"/>
        <v>#DIV/0!</v>
      </c>
      <c r="S29" s="61"/>
      <c r="T29" s="61"/>
      <c r="U29" s="84" t="e">
        <f t="shared" si="3"/>
        <v>#DIV/0!</v>
      </c>
      <c r="V29" s="61"/>
      <c r="W29" s="61"/>
      <c r="X29" s="59"/>
      <c r="Y29" s="70"/>
      <c r="Z29" s="70"/>
      <c r="AA29" s="9"/>
      <c r="AB29" s="61"/>
      <c r="AC29" s="61"/>
      <c r="AD29" s="84" t="e">
        <f t="shared" si="4"/>
        <v>#DIV/0!</v>
      </c>
      <c r="AE29" s="52"/>
      <c r="AF29" s="52"/>
      <c r="AG29" s="84" t="e">
        <f t="shared" si="5"/>
        <v>#DIV/0!</v>
      </c>
      <c r="AH29" s="52"/>
      <c r="AI29" s="52"/>
      <c r="AJ29" s="9" t="e">
        <f t="shared" si="6"/>
        <v>#DIV/0!</v>
      </c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9"/>
        <v>0</v>
      </c>
      <c r="AZ29" s="19">
        <f t="shared" si="10"/>
        <v>0</v>
      </c>
      <c r="BA29" s="38">
        <f t="shared" si="11"/>
        <v>0</v>
      </c>
    </row>
    <row r="30" spans="1:53" ht="34.5" customHeight="1">
      <c r="A30" s="11" t="s">
        <v>27</v>
      </c>
      <c r="B30" s="60" t="s">
        <v>39</v>
      </c>
      <c r="C30" s="92">
        <v>-2.8</v>
      </c>
      <c r="D30" s="34">
        <v>2</v>
      </c>
      <c r="E30" s="34">
        <v>0.6</v>
      </c>
      <c r="F30" s="76">
        <f aca="true" t="shared" si="29" ref="F30:F36">E30/D30*100</f>
        <v>30</v>
      </c>
      <c r="G30" s="34">
        <v>10.9</v>
      </c>
      <c r="H30" s="34">
        <v>9.7</v>
      </c>
      <c r="I30" s="9">
        <f t="shared" si="8"/>
        <v>88.99082568807339</v>
      </c>
      <c r="J30" s="34">
        <v>2.2</v>
      </c>
      <c r="K30" s="34">
        <v>1.3</v>
      </c>
      <c r="L30" s="59">
        <f t="shared" si="28"/>
        <v>59.09090909090908</v>
      </c>
      <c r="M30" s="70">
        <f t="shared" si="13"/>
        <v>15.100000000000001</v>
      </c>
      <c r="N30" s="70">
        <f t="shared" si="14"/>
        <v>11.6</v>
      </c>
      <c r="O30" s="9">
        <f t="shared" si="1"/>
        <v>76.82119205298012</v>
      </c>
      <c r="P30" s="34">
        <v>2.3</v>
      </c>
      <c r="Q30" s="34">
        <v>3.8</v>
      </c>
      <c r="R30" s="9">
        <f t="shared" si="2"/>
        <v>165.2173913043478</v>
      </c>
      <c r="S30" s="34">
        <v>2.7</v>
      </c>
      <c r="T30" s="34">
        <v>1.9</v>
      </c>
      <c r="U30" s="9">
        <f t="shared" si="3"/>
        <v>70.37037037037037</v>
      </c>
      <c r="V30" s="34">
        <v>2</v>
      </c>
      <c r="W30" s="34">
        <v>2</v>
      </c>
      <c r="X30" s="101">
        <f aca="true" t="shared" si="30" ref="X30:X45">W30/V30*100</f>
        <v>100</v>
      </c>
      <c r="Y30" s="70">
        <f aca="true" t="shared" si="31" ref="Y30:Y42">P30+S30+V30</f>
        <v>7</v>
      </c>
      <c r="Z30" s="70">
        <f aca="true" t="shared" si="32" ref="Z30:Z42">Q30+T30+W30</f>
        <v>7.699999999999999</v>
      </c>
      <c r="AA30" s="9">
        <f aca="true" t="shared" si="33" ref="AA30:AA45">Z30/Y30*100</f>
        <v>109.99999999999999</v>
      </c>
      <c r="AB30" s="34"/>
      <c r="AC30" s="34"/>
      <c r="AD30" s="9" t="e">
        <f t="shared" si="4"/>
        <v>#DIV/0!</v>
      </c>
      <c r="AE30" s="34"/>
      <c r="AF30" s="34"/>
      <c r="AG30" s="9" t="e">
        <f t="shared" si="5"/>
        <v>#DIV/0!</v>
      </c>
      <c r="AH30" s="34"/>
      <c r="AI30" s="34"/>
      <c r="AJ30" s="9" t="e">
        <f t="shared" si="6"/>
        <v>#DIV/0!</v>
      </c>
      <c r="AK30" s="70">
        <f t="shared" si="15"/>
        <v>0</v>
      </c>
      <c r="AL30" s="70">
        <f t="shared" si="16"/>
        <v>0</v>
      </c>
      <c r="AM30" s="9" t="e">
        <f aca="true" t="shared" si="34" ref="AM30:AM45">AL30/AK30*100</f>
        <v>#DIV/0!</v>
      </c>
      <c r="AN30" s="34"/>
      <c r="AO30" s="34"/>
      <c r="AP30" s="34"/>
      <c r="AQ30" s="34"/>
      <c r="AR30" s="34"/>
      <c r="AS30" s="34"/>
      <c r="AT30" s="57">
        <f>M30+Y30+AK30+AN30+AP30+AR30</f>
        <v>22.1</v>
      </c>
      <c r="AU30" s="57">
        <f>N30+Z30+AL30+AO30+AQ30+AS30</f>
        <v>19.299999999999997</v>
      </c>
      <c r="AV30" s="9">
        <f t="shared" si="7"/>
        <v>87.33031674208142</v>
      </c>
      <c r="AW30" s="57">
        <f>AT30-AU30</f>
        <v>2.8000000000000043</v>
      </c>
      <c r="AX30" s="15">
        <f>C30+AT30-AU30</f>
        <v>0</v>
      </c>
      <c r="AY30" s="19">
        <f t="shared" si="9"/>
        <v>22.1</v>
      </c>
      <c r="AZ30" s="19">
        <f t="shared" si="10"/>
        <v>19.299999999999997</v>
      </c>
      <c r="BA30" s="38">
        <f t="shared" si="11"/>
        <v>0</v>
      </c>
    </row>
    <row r="31" spans="1:53" ht="34.5" customHeight="1">
      <c r="A31" s="11" t="s">
        <v>28</v>
      </c>
      <c r="B31" s="60" t="s">
        <v>3</v>
      </c>
      <c r="C31" s="83">
        <v>-2.6</v>
      </c>
      <c r="D31" s="34">
        <v>1.1</v>
      </c>
      <c r="E31" s="34">
        <v>0.1</v>
      </c>
      <c r="F31" s="76">
        <f t="shared" si="29"/>
        <v>9.090909090909092</v>
      </c>
      <c r="G31" s="34">
        <v>1.2</v>
      </c>
      <c r="H31" s="34">
        <v>0.3</v>
      </c>
      <c r="I31" s="9">
        <f t="shared" si="8"/>
        <v>25</v>
      </c>
      <c r="J31" s="34">
        <v>0.7</v>
      </c>
      <c r="K31" s="34">
        <v>1.1</v>
      </c>
      <c r="L31" s="9">
        <f t="shared" si="28"/>
        <v>157.14285714285717</v>
      </c>
      <c r="M31" s="70">
        <f t="shared" si="13"/>
        <v>3</v>
      </c>
      <c r="N31" s="70">
        <f t="shared" si="14"/>
        <v>1.5</v>
      </c>
      <c r="O31" s="9">
        <f t="shared" si="1"/>
        <v>50</v>
      </c>
      <c r="P31" s="34">
        <v>1.5</v>
      </c>
      <c r="Q31" s="34">
        <v>1.5</v>
      </c>
      <c r="R31" s="9">
        <f t="shared" si="2"/>
        <v>100</v>
      </c>
      <c r="S31" s="34">
        <v>1.1</v>
      </c>
      <c r="T31" s="34">
        <v>1.1</v>
      </c>
      <c r="U31" s="9">
        <f t="shared" si="3"/>
        <v>100</v>
      </c>
      <c r="V31" s="34">
        <v>0.9</v>
      </c>
      <c r="W31" s="34">
        <v>1.3</v>
      </c>
      <c r="X31" s="9">
        <f t="shared" si="30"/>
        <v>144.44444444444443</v>
      </c>
      <c r="Y31" s="70">
        <f t="shared" si="31"/>
        <v>3.5</v>
      </c>
      <c r="Z31" s="70">
        <f t="shared" si="32"/>
        <v>3.9000000000000004</v>
      </c>
      <c r="AA31" s="9">
        <f t="shared" si="33"/>
        <v>111.42857142857143</v>
      </c>
      <c r="AB31" s="34"/>
      <c r="AC31" s="34"/>
      <c r="AD31" s="9" t="e">
        <f t="shared" si="4"/>
        <v>#DIV/0!</v>
      </c>
      <c r="AE31" s="34"/>
      <c r="AF31" s="34"/>
      <c r="AG31" s="9" t="e">
        <f t="shared" si="5"/>
        <v>#DIV/0!</v>
      </c>
      <c r="AH31" s="34"/>
      <c r="AI31" s="34"/>
      <c r="AJ31" s="9" t="e">
        <f t="shared" si="6"/>
        <v>#DIV/0!</v>
      </c>
      <c r="AK31" s="70">
        <f t="shared" si="15"/>
        <v>0</v>
      </c>
      <c r="AL31" s="70">
        <f t="shared" si="16"/>
        <v>0</v>
      </c>
      <c r="AM31" s="9" t="e">
        <f t="shared" si="34"/>
        <v>#DIV/0!</v>
      </c>
      <c r="AN31" s="34"/>
      <c r="AO31" s="34"/>
      <c r="AP31" s="34"/>
      <c r="AQ31" s="34"/>
      <c r="AR31" s="34"/>
      <c r="AS31" s="34"/>
      <c r="AT31" s="57">
        <f>M31+Y31+AK31+AN31+AP31+AR31</f>
        <v>6.5</v>
      </c>
      <c r="AU31" s="57">
        <f>N31+Z31+AL31+AO31+AQ31+AS31</f>
        <v>5.4</v>
      </c>
      <c r="AV31" s="9">
        <f t="shared" si="7"/>
        <v>83.07692307692308</v>
      </c>
      <c r="AW31" s="57">
        <f>AT31-AU31</f>
        <v>1.0999999999999996</v>
      </c>
      <c r="AX31" s="15">
        <f>C31+AT31-AU31</f>
        <v>-1.5000000000000004</v>
      </c>
      <c r="AY31" s="19">
        <f t="shared" si="9"/>
        <v>6.5</v>
      </c>
      <c r="AZ31" s="19">
        <f t="shared" si="10"/>
        <v>5.4</v>
      </c>
      <c r="BA31" s="38">
        <f t="shared" si="11"/>
        <v>-1.5000000000000004</v>
      </c>
    </row>
    <row r="32" spans="1:53" ht="34.5" customHeight="1">
      <c r="A32" s="11" t="s">
        <v>29</v>
      </c>
      <c r="B32" s="60" t="s">
        <v>87</v>
      </c>
      <c r="C32" s="66">
        <f>SUM(C33:C34)</f>
        <v>-23.3</v>
      </c>
      <c r="D32" s="66">
        <f aca="true" t="shared" si="35" ref="D32:AS32">SUM(D33:D34)</f>
        <v>264.7</v>
      </c>
      <c r="E32" s="66">
        <f t="shared" si="35"/>
        <v>0</v>
      </c>
      <c r="F32" s="66">
        <f t="shared" si="35"/>
        <v>0</v>
      </c>
      <c r="G32" s="66">
        <f t="shared" si="35"/>
        <v>187.79999999999998</v>
      </c>
      <c r="H32" s="66">
        <f t="shared" si="35"/>
        <v>264.6</v>
      </c>
      <c r="I32" s="66">
        <f t="shared" si="35"/>
        <v>248.10929810929815</v>
      </c>
      <c r="J32" s="66">
        <f t="shared" si="35"/>
        <v>199.4579</v>
      </c>
      <c r="K32" s="66">
        <f t="shared" si="35"/>
        <v>179.9216</v>
      </c>
      <c r="L32" s="66">
        <f t="shared" si="35"/>
        <v>137.19083114968328</v>
      </c>
      <c r="M32" s="66">
        <f t="shared" si="35"/>
        <v>651.9579</v>
      </c>
      <c r="N32" s="66">
        <f t="shared" si="35"/>
        <v>444.5216</v>
      </c>
      <c r="O32" s="9">
        <f t="shared" si="1"/>
        <v>68.18256209488374</v>
      </c>
      <c r="P32" s="66">
        <f t="shared" si="35"/>
        <v>167.9</v>
      </c>
      <c r="Q32" s="66">
        <f t="shared" si="35"/>
        <v>207.4</v>
      </c>
      <c r="R32" s="9">
        <f t="shared" si="2"/>
        <v>123.52590827873735</v>
      </c>
      <c r="S32" s="66">
        <f t="shared" si="35"/>
        <v>144</v>
      </c>
      <c r="T32" s="66">
        <f t="shared" si="35"/>
        <v>38.7</v>
      </c>
      <c r="U32" s="66">
        <f t="shared" si="35"/>
        <v>227.29289940828397</v>
      </c>
      <c r="V32" s="66">
        <f t="shared" si="35"/>
        <v>156.9</v>
      </c>
      <c r="W32" s="66">
        <f t="shared" si="35"/>
        <v>266.90000000000003</v>
      </c>
      <c r="X32" s="66">
        <f t="shared" si="35"/>
        <v>227.03863195101312</v>
      </c>
      <c r="Y32" s="66">
        <f t="shared" si="35"/>
        <v>468.79999999999995</v>
      </c>
      <c r="Z32" s="66">
        <f t="shared" si="35"/>
        <v>513</v>
      </c>
      <c r="AA32" s="9">
        <f t="shared" si="33"/>
        <v>109.42832764505121</v>
      </c>
      <c r="AB32" s="66">
        <f t="shared" si="35"/>
        <v>0</v>
      </c>
      <c r="AC32" s="66">
        <f t="shared" si="35"/>
        <v>0</v>
      </c>
      <c r="AD32" s="9" t="e">
        <f t="shared" si="4"/>
        <v>#DIV/0!</v>
      </c>
      <c r="AE32" s="66">
        <f t="shared" si="35"/>
        <v>0</v>
      </c>
      <c r="AF32" s="66">
        <f t="shared" si="35"/>
        <v>0</v>
      </c>
      <c r="AG32" s="9" t="e">
        <f t="shared" si="5"/>
        <v>#DIV/0!</v>
      </c>
      <c r="AH32" s="66">
        <f t="shared" si="35"/>
        <v>0</v>
      </c>
      <c r="AI32" s="66">
        <f t="shared" si="35"/>
        <v>0</v>
      </c>
      <c r="AJ32" s="9" t="e">
        <f t="shared" si="6"/>
        <v>#DIV/0!</v>
      </c>
      <c r="AK32" s="66">
        <f t="shared" si="35"/>
        <v>0</v>
      </c>
      <c r="AL32" s="66">
        <f t="shared" si="35"/>
        <v>0</v>
      </c>
      <c r="AM32" s="66" t="e">
        <f t="shared" si="35"/>
        <v>#DIV/0!</v>
      </c>
      <c r="AN32" s="66">
        <f t="shared" si="35"/>
        <v>0</v>
      </c>
      <c r="AO32" s="66">
        <f t="shared" si="35"/>
        <v>0</v>
      </c>
      <c r="AP32" s="66">
        <f t="shared" si="35"/>
        <v>0</v>
      </c>
      <c r="AQ32" s="66">
        <f t="shared" si="35"/>
        <v>0</v>
      </c>
      <c r="AR32" s="66">
        <f t="shared" si="35"/>
        <v>0</v>
      </c>
      <c r="AS32" s="66">
        <f t="shared" si="35"/>
        <v>0</v>
      </c>
      <c r="AT32" s="66">
        <f>SUM(AT33:AT34)</f>
        <v>1120.7578999999998</v>
      </c>
      <c r="AU32" s="66">
        <f>SUM(AU33:AU34)</f>
        <v>957.5216</v>
      </c>
      <c r="AV32" s="9">
        <f t="shared" si="7"/>
        <v>85.43518631454663</v>
      </c>
      <c r="AW32" s="66">
        <f>SUM(AW33:AW34)</f>
        <v>163.23629999999977</v>
      </c>
      <c r="AX32" s="66">
        <f>SUM(AX33:AX34)</f>
        <v>139.9362999999998</v>
      </c>
      <c r="AY32" s="19">
        <f t="shared" si="9"/>
        <v>1120.7579</v>
      </c>
      <c r="AZ32" s="19">
        <f t="shared" si="10"/>
        <v>957.5216</v>
      </c>
      <c r="BA32" s="38">
        <f t="shared" si="11"/>
        <v>139.93630000000007</v>
      </c>
    </row>
    <row r="33" spans="1:53" ht="34.5" customHeight="1">
      <c r="A33" s="11"/>
      <c r="B33" s="60" t="s">
        <v>100</v>
      </c>
      <c r="C33" s="83">
        <v>-23.3</v>
      </c>
      <c r="D33" s="34">
        <v>16.8</v>
      </c>
      <c r="E33" s="34">
        <v>0</v>
      </c>
      <c r="F33" s="53">
        <f t="shared" si="29"/>
        <v>0</v>
      </c>
      <c r="G33" s="34">
        <v>16.2</v>
      </c>
      <c r="H33" s="34">
        <v>16.8</v>
      </c>
      <c r="I33" s="9">
        <f t="shared" si="8"/>
        <v>103.70370370370372</v>
      </c>
      <c r="J33" s="34">
        <v>20.28</v>
      </c>
      <c r="K33" s="34">
        <v>8.41</v>
      </c>
      <c r="L33" s="9">
        <f t="shared" si="28"/>
        <v>41.46942800788955</v>
      </c>
      <c r="M33" s="70">
        <f t="shared" si="13"/>
        <v>53.28</v>
      </c>
      <c r="N33" s="70">
        <f t="shared" si="14"/>
        <v>25.21</v>
      </c>
      <c r="O33" s="9">
        <f t="shared" si="1"/>
        <v>47.316066066066064</v>
      </c>
      <c r="P33" s="34">
        <v>18.9</v>
      </c>
      <c r="Q33" s="34">
        <v>28.1</v>
      </c>
      <c r="R33" s="9">
        <f t="shared" si="2"/>
        <v>148.67724867724868</v>
      </c>
      <c r="S33" s="34">
        <v>8.8</v>
      </c>
      <c r="T33" s="34">
        <v>18.7</v>
      </c>
      <c r="U33" s="9">
        <f t="shared" si="3"/>
        <v>212.49999999999994</v>
      </c>
      <c r="V33" s="34">
        <v>5.3</v>
      </c>
      <c r="W33" s="34">
        <v>2.8</v>
      </c>
      <c r="X33" s="9">
        <f t="shared" si="30"/>
        <v>52.83018867924528</v>
      </c>
      <c r="Y33" s="70">
        <f t="shared" si="31"/>
        <v>33</v>
      </c>
      <c r="Z33" s="70">
        <f t="shared" si="32"/>
        <v>49.599999999999994</v>
      </c>
      <c r="AA33" s="9">
        <f t="shared" si="33"/>
        <v>150.30303030303028</v>
      </c>
      <c r="AB33" s="34"/>
      <c r="AC33" s="34"/>
      <c r="AD33" s="9" t="e">
        <f t="shared" si="4"/>
        <v>#DIV/0!</v>
      </c>
      <c r="AE33" s="34"/>
      <c r="AF33" s="34"/>
      <c r="AG33" s="9" t="e">
        <f t="shared" si="5"/>
        <v>#DIV/0!</v>
      </c>
      <c r="AH33" s="34"/>
      <c r="AI33" s="34"/>
      <c r="AJ33" s="9" t="e">
        <f t="shared" si="6"/>
        <v>#DIV/0!</v>
      </c>
      <c r="AK33" s="70">
        <f t="shared" si="15"/>
        <v>0</v>
      </c>
      <c r="AL33" s="70">
        <f t="shared" si="16"/>
        <v>0</v>
      </c>
      <c r="AM33" s="9" t="e">
        <f t="shared" si="34"/>
        <v>#DIV/0!</v>
      </c>
      <c r="AN33" s="34"/>
      <c r="AO33" s="34"/>
      <c r="AP33" s="34"/>
      <c r="AQ33" s="34"/>
      <c r="AR33" s="34"/>
      <c r="AS33" s="34"/>
      <c r="AT33" s="57">
        <f aca="true" t="shared" si="36" ref="AT33:AT42">M33+Y33+AK33+AN33+AP33+AR33</f>
        <v>86.28</v>
      </c>
      <c r="AU33" s="57">
        <f aca="true" t="shared" si="37" ref="AU33:AU42">N33+Z33+AL33+AO33+AQ33+AS33</f>
        <v>74.81</v>
      </c>
      <c r="AV33" s="9">
        <f t="shared" si="7"/>
        <v>86.7060732498841</v>
      </c>
      <c r="AW33" s="57">
        <f aca="true" t="shared" si="38" ref="AW33:AW42">AT33-AU33</f>
        <v>11.469999999999999</v>
      </c>
      <c r="AX33" s="15">
        <f aca="true" t="shared" si="39" ref="AX33:AX42">C33+AT33-AU33</f>
        <v>-11.829999999999998</v>
      </c>
      <c r="AY33" s="19">
        <f t="shared" si="9"/>
        <v>86.28</v>
      </c>
      <c r="AZ33" s="19">
        <f t="shared" si="10"/>
        <v>74.81</v>
      </c>
      <c r="BA33" s="38">
        <f t="shared" si="11"/>
        <v>-11.829999999999998</v>
      </c>
    </row>
    <row r="34" spans="1:53" ht="34.5" customHeight="1">
      <c r="A34" s="11"/>
      <c r="B34" s="60" t="s">
        <v>88</v>
      </c>
      <c r="C34" s="83">
        <v>0</v>
      </c>
      <c r="D34" s="34">
        <v>247.9</v>
      </c>
      <c r="E34" s="107">
        <v>0</v>
      </c>
      <c r="F34" s="53">
        <f t="shared" si="29"/>
        <v>0</v>
      </c>
      <c r="G34" s="34">
        <v>171.6</v>
      </c>
      <c r="H34" s="34">
        <v>247.8</v>
      </c>
      <c r="I34" s="9">
        <f t="shared" si="8"/>
        <v>144.40559440559443</v>
      </c>
      <c r="J34" s="34">
        <v>179.1779</v>
      </c>
      <c r="K34" s="34">
        <v>171.51160000000002</v>
      </c>
      <c r="L34" s="9">
        <f t="shared" si="28"/>
        <v>95.72140314179373</v>
      </c>
      <c r="M34" s="70">
        <f t="shared" si="13"/>
        <v>598.6779</v>
      </c>
      <c r="N34" s="70">
        <f t="shared" si="14"/>
        <v>419.3116</v>
      </c>
      <c r="O34" s="9">
        <f t="shared" si="1"/>
        <v>70.03959892289325</v>
      </c>
      <c r="P34" s="34">
        <v>149</v>
      </c>
      <c r="Q34" s="34">
        <v>179.3</v>
      </c>
      <c r="R34" s="9">
        <f t="shared" si="2"/>
        <v>120.33557046979865</v>
      </c>
      <c r="S34" s="34">
        <v>135.2</v>
      </c>
      <c r="T34" s="34">
        <v>20</v>
      </c>
      <c r="U34" s="9">
        <f t="shared" si="3"/>
        <v>14.792899408284024</v>
      </c>
      <c r="V34" s="34">
        <v>151.6</v>
      </c>
      <c r="W34" s="34">
        <v>264.1</v>
      </c>
      <c r="X34" s="9">
        <f t="shared" si="30"/>
        <v>174.20844327176783</v>
      </c>
      <c r="Y34" s="70">
        <f>P34+S34+V34</f>
        <v>435.79999999999995</v>
      </c>
      <c r="Z34" s="70">
        <f>Q34+T34+W34</f>
        <v>463.40000000000003</v>
      </c>
      <c r="AA34" s="9">
        <f>Z34/Y34*100</f>
        <v>106.33318035796239</v>
      </c>
      <c r="AB34" s="34"/>
      <c r="AC34" s="34"/>
      <c r="AD34" s="9" t="e">
        <f t="shared" si="4"/>
        <v>#DIV/0!</v>
      </c>
      <c r="AE34" s="34"/>
      <c r="AF34" s="34"/>
      <c r="AG34" s="9" t="e">
        <f t="shared" si="5"/>
        <v>#DIV/0!</v>
      </c>
      <c r="AH34" s="34"/>
      <c r="AI34" s="34"/>
      <c r="AJ34" s="9" t="e">
        <f t="shared" si="6"/>
        <v>#DIV/0!</v>
      </c>
      <c r="AK34" s="70">
        <f t="shared" si="15"/>
        <v>0</v>
      </c>
      <c r="AL34" s="70">
        <f t="shared" si="16"/>
        <v>0</v>
      </c>
      <c r="AM34" s="9" t="e">
        <f t="shared" si="34"/>
        <v>#DIV/0!</v>
      </c>
      <c r="AN34" s="34"/>
      <c r="AO34" s="34"/>
      <c r="AP34" s="34"/>
      <c r="AQ34" s="34"/>
      <c r="AR34" s="34"/>
      <c r="AS34" s="34"/>
      <c r="AT34" s="57">
        <f t="shared" si="36"/>
        <v>1034.4778999999999</v>
      </c>
      <c r="AU34" s="57">
        <f t="shared" si="37"/>
        <v>882.7116000000001</v>
      </c>
      <c r="AV34" s="9">
        <f t="shared" si="7"/>
        <v>85.32918876275659</v>
      </c>
      <c r="AW34" s="57">
        <f t="shared" si="38"/>
        <v>151.76629999999977</v>
      </c>
      <c r="AX34" s="15">
        <f t="shared" si="39"/>
        <v>151.76629999999977</v>
      </c>
      <c r="AY34" s="19">
        <f t="shared" si="9"/>
        <v>1034.4778999999999</v>
      </c>
      <c r="AZ34" s="19">
        <f t="shared" si="10"/>
        <v>882.7116000000001</v>
      </c>
      <c r="BA34" s="38">
        <f t="shared" si="11"/>
        <v>151.76629999999977</v>
      </c>
    </row>
    <row r="35" spans="1:53" ht="34.5" customHeight="1">
      <c r="A35" s="11" t="s">
        <v>30</v>
      </c>
      <c r="B35" s="60" t="s">
        <v>60</v>
      </c>
      <c r="C35" s="83">
        <v>-5</v>
      </c>
      <c r="D35" s="33">
        <v>7.7</v>
      </c>
      <c r="E35" s="108">
        <v>0</v>
      </c>
      <c r="F35" s="51">
        <f t="shared" si="29"/>
        <v>0</v>
      </c>
      <c r="G35" s="34">
        <v>13.6</v>
      </c>
      <c r="H35" s="34">
        <v>2.7</v>
      </c>
      <c r="I35" s="9">
        <f t="shared" si="8"/>
        <v>19.85294117647059</v>
      </c>
      <c r="J35" s="34">
        <v>9.9</v>
      </c>
      <c r="K35" s="34">
        <v>13.6</v>
      </c>
      <c r="L35" s="9">
        <f t="shared" si="28"/>
        <v>137.37373737373736</v>
      </c>
      <c r="M35" s="70">
        <f t="shared" si="13"/>
        <v>31.200000000000003</v>
      </c>
      <c r="N35" s="70">
        <f t="shared" si="14"/>
        <v>16.3</v>
      </c>
      <c r="O35" s="9">
        <f t="shared" si="1"/>
        <v>52.24358974358974</v>
      </c>
      <c r="P35" s="34">
        <v>2.3</v>
      </c>
      <c r="Q35" s="34">
        <v>9.9</v>
      </c>
      <c r="R35" s="9">
        <f t="shared" si="2"/>
        <v>430.4347826086957</v>
      </c>
      <c r="S35" s="34">
        <v>3</v>
      </c>
      <c r="T35" s="34">
        <v>2.3</v>
      </c>
      <c r="U35" s="9">
        <f t="shared" si="3"/>
        <v>76.66666666666666</v>
      </c>
      <c r="V35" s="34">
        <v>2.7</v>
      </c>
      <c r="W35" s="34">
        <v>3</v>
      </c>
      <c r="X35" s="9">
        <f t="shared" si="30"/>
        <v>111.1111111111111</v>
      </c>
      <c r="Y35" s="70">
        <f t="shared" si="31"/>
        <v>8</v>
      </c>
      <c r="Z35" s="70">
        <f t="shared" si="32"/>
        <v>15.2</v>
      </c>
      <c r="AA35" s="9">
        <f t="shared" si="33"/>
        <v>190</v>
      </c>
      <c r="AB35" s="34"/>
      <c r="AC35" s="34"/>
      <c r="AD35" s="9" t="e">
        <f t="shared" si="4"/>
        <v>#DIV/0!</v>
      </c>
      <c r="AE35" s="34"/>
      <c r="AF35" s="34"/>
      <c r="AG35" s="9" t="e">
        <f t="shared" si="5"/>
        <v>#DIV/0!</v>
      </c>
      <c r="AH35" s="34"/>
      <c r="AI35" s="34"/>
      <c r="AJ35" s="9" t="e">
        <f t="shared" si="6"/>
        <v>#DIV/0!</v>
      </c>
      <c r="AK35" s="70">
        <f t="shared" si="15"/>
        <v>0</v>
      </c>
      <c r="AL35" s="70">
        <f t="shared" si="16"/>
        <v>0</v>
      </c>
      <c r="AM35" s="9" t="e">
        <f t="shared" si="34"/>
        <v>#DIV/0!</v>
      </c>
      <c r="AN35" s="34"/>
      <c r="AO35" s="34"/>
      <c r="AP35" s="34"/>
      <c r="AQ35" s="34"/>
      <c r="AR35" s="34"/>
      <c r="AS35" s="34"/>
      <c r="AT35" s="57">
        <f t="shared" si="36"/>
        <v>39.2</v>
      </c>
      <c r="AU35" s="57">
        <f t="shared" si="37"/>
        <v>31.5</v>
      </c>
      <c r="AV35" s="9">
        <f t="shared" si="7"/>
        <v>80.35714285714285</v>
      </c>
      <c r="AW35" s="57">
        <f t="shared" si="38"/>
        <v>7.700000000000003</v>
      </c>
      <c r="AX35" s="15">
        <f t="shared" si="39"/>
        <v>2.700000000000003</v>
      </c>
      <c r="AY35" s="19">
        <f t="shared" si="9"/>
        <v>39.2</v>
      </c>
      <c r="AZ35" s="19">
        <f t="shared" si="10"/>
        <v>31.5</v>
      </c>
      <c r="BA35" s="38">
        <f t="shared" si="11"/>
        <v>2.700000000000003</v>
      </c>
    </row>
    <row r="36" spans="1:53" ht="34.5" customHeight="1">
      <c r="A36" s="11" t="s">
        <v>31</v>
      </c>
      <c r="B36" s="113" t="s">
        <v>61</v>
      </c>
      <c r="C36" s="89">
        <v>0</v>
      </c>
      <c r="D36" s="63">
        <v>4.1</v>
      </c>
      <c r="E36" s="63">
        <v>0.3</v>
      </c>
      <c r="F36" s="9">
        <f t="shared" si="29"/>
        <v>7.3170731707317085</v>
      </c>
      <c r="G36" s="34">
        <v>3.8</v>
      </c>
      <c r="H36" s="34">
        <v>1.7</v>
      </c>
      <c r="I36" s="9">
        <f t="shared" si="8"/>
        <v>44.73684210526316</v>
      </c>
      <c r="J36" s="34">
        <v>4</v>
      </c>
      <c r="K36" s="34">
        <v>5</v>
      </c>
      <c r="L36" s="59">
        <f t="shared" si="28"/>
        <v>125</v>
      </c>
      <c r="M36" s="70">
        <f t="shared" si="13"/>
        <v>11.899999999999999</v>
      </c>
      <c r="N36" s="70">
        <f t="shared" si="14"/>
        <v>7</v>
      </c>
      <c r="O36" s="9">
        <f t="shared" si="1"/>
        <v>58.82352941176471</v>
      </c>
      <c r="P36" s="34">
        <v>4.3</v>
      </c>
      <c r="Q36" s="34">
        <v>2.4</v>
      </c>
      <c r="R36" s="9">
        <f t="shared" si="2"/>
        <v>55.81395348837209</v>
      </c>
      <c r="S36" s="34">
        <v>4.2</v>
      </c>
      <c r="T36" s="34">
        <v>3.2</v>
      </c>
      <c r="U36" s="9">
        <f t="shared" si="3"/>
        <v>76.19047619047619</v>
      </c>
      <c r="V36" s="34">
        <v>3.7</v>
      </c>
      <c r="W36" s="34">
        <v>3.5</v>
      </c>
      <c r="X36" s="9">
        <f t="shared" si="30"/>
        <v>94.5945945945946</v>
      </c>
      <c r="Y36" s="70">
        <f t="shared" si="31"/>
        <v>12.2</v>
      </c>
      <c r="Z36" s="70">
        <f t="shared" si="32"/>
        <v>9.1</v>
      </c>
      <c r="AA36" s="9">
        <f t="shared" si="33"/>
        <v>74.59016393442623</v>
      </c>
      <c r="AB36" s="34"/>
      <c r="AC36" s="34"/>
      <c r="AD36" s="9" t="e">
        <f t="shared" si="4"/>
        <v>#DIV/0!</v>
      </c>
      <c r="AE36" s="34"/>
      <c r="AF36" s="34"/>
      <c r="AG36" s="9" t="e">
        <f t="shared" si="5"/>
        <v>#DIV/0!</v>
      </c>
      <c r="AH36" s="34"/>
      <c r="AI36" s="34"/>
      <c r="AJ36" s="9" t="e">
        <f t="shared" si="6"/>
        <v>#DIV/0!</v>
      </c>
      <c r="AK36" s="70">
        <f>AB36+AE36+AH36</f>
        <v>0</v>
      </c>
      <c r="AL36" s="70">
        <f>AC36+AF36+AI36</f>
        <v>0</v>
      </c>
      <c r="AM36" s="9" t="e">
        <f t="shared" si="34"/>
        <v>#DIV/0!</v>
      </c>
      <c r="AN36" s="34"/>
      <c r="AO36" s="34"/>
      <c r="AP36" s="34"/>
      <c r="AQ36" s="34"/>
      <c r="AR36" s="34"/>
      <c r="AS36" s="34"/>
      <c r="AT36" s="57">
        <f t="shared" si="36"/>
        <v>24.099999999999998</v>
      </c>
      <c r="AU36" s="57">
        <f t="shared" si="37"/>
        <v>16.1</v>
      </c>
      <c r="AV36" s="9">
        <f t="shared" si="7"/>
        <v>66.80497925311204</v>
      </c>
      <c r="AW36" s="57">
        <f t="shared" si="38"/>
        <v>7.9999999999999964</v>
      </c>
      <c r="AX36" s="15">
        <f t="shared" si="39"/>
        <v>7.9999999999999964</v>
      </c>
      <c r="AY36" s="19">
        <f t="shared" si="9"/>
        <v>24.099999999999998</v>
      </c>
      <c r="AZ36" s="19">
        <f t="shared" si="10"/>
        <v>16.1</v>
      </c>
      <c r="BA36" s="38">
        <f t="shared" si="11"/>
        <v>7.9999999999999964</v>
      </c>
    </row>
    <row r="37" spans="1:53" ht="34.5" customHeight="1">
      <c r="A37" s="11" t="s">
        <v>32</v>
      </c>
      <c r="B37" s="114" t="s">
        <v>62</v>
      </c>
      <c r="C37" s="83">
        <v>-35</v>
      </c>
      <c r="D37" s="34">
        <v>39.6</v>
      </c>
      <c r="E37" s="34">
        <v>1</v>
      </c>
      <c r="F37" s="9">
        <f aca="true" t="shared" si="40" ref="F37:F44">E37/D37*100</f>
        <v>2.525252525252525</v>
      </c>
      <c r="G37" s="34">
        <v>41.4</v>
      </c>
      <c r="H37" s="34">
        <v>39.3</v>
      </c>
      <c r="I37" s="9">
        <f t="shared" si="8"/>
        <v>94.92753623188406</v>
      </c>
      <c r="J37" s="34">
        <v>41.5</v>
      </c>
      <c r="K37" s="34">
        <v>46.5</v>
      </c>
      <c r="L37" s="9">
        <f t="shared" si="28"/>
        <v>112.04819277108433</v>
      </c>
      <c r="M37" s="70">
        <f t="shared" si="13"/>
        <v>122.5</v>
      </c>
      <c r="N37" s="70">
        <f t="shared" si="14"/>
        <v>86.8</v>
      </c>
      <c r="O37" s="9">
        <f t="shared" si="1"/>
        <v>70.85714285714285</v>
      </c>
      <c r="P37" s="34">
        <v>39.5</v>
      </c>
      <c r="Q37" s="34">
        <v>35.7</v>
      </c>
      <c r="R37" s="9">
        <f t="shared" si="2"/>
        <v>90.37974683544304</v>
      </c>
      <c r="S37" s="34">
        <v>31.2</v>
      </c>
      <c r="T37" s="34">
        <v>30.8</v>
      </c>
      <c r="U37" s="9">
        <f t="shared" si="3"/>
        <v>98.71794871794873</v>
      </c>
      <c r="V37" s="34">
        <v>50.2</v>
      </c>
      <c r="W37" s="34">
        <v>45.3</v>
      </c>
      <c r="X37" s="9">
        <f t="shared" si="30"/>
        <v>90.23904382470118</v>
      </c>
      <c r="Y37" s="70">
        <f t="shared" si="31"/>
        <v>120.9</v>
      </c>
      <c r="Z37" s="70">
        <f t="shared" si="32"/>
        <v>111.8</v>
      </c>
      <c r="AA37" s="9">
        <f t="shared" si="33"/>
        <v>92.47311827956989</v>
      </c>
      <c r="AB37" s="34"/>
      <c r="AC37" s="34"/>
      <c r="AD37" s="9" t="e">
        <f t="shared" si="4"/>
        <v>#DIV/0!</v>
      </c>
      <c r="AE37" s="34"/>
      <c r="AF37" s="34"/>
      <c r="AG37" s="9" t="e">
        <f t="shared" si="5"/>
        <v>#DIV/0!</v>
      </c>
      <c r="AH37" s="34"/>
      <c r="AI37" s="34"/>
      <c r="AJ37" s="9" t="e">
        <f t="shared" si="6"/>
        <v>#DIV/0!</v>
      </c>
      <c r="AK37" s="70">
        <f t="shared" si="15"/>
        <v>0</v>
      </c>
      <c r="AL37" s="70">
        <f t="shared" si="16"/>
        <v>0</v>
      </c>
      <c r="AM37" s="9" t="e">
        <f t="shared" si="34"/>
        <v>#DIV/0!</v>
      </c>
      <c r="AN37" s="34"/>
      <c r="AO37" s="34"/>
      <c r="AP37" s="34"/>
      <c r="AQ37" s="34"/>
      <c r="AR37" s="34"/>
      <c r="AS37" s="34"/>
      <c r="AT37" s="57">
        <f t="shared" si="36"/>
        <v>243.4</v>
      </c>
      <c r="AU37" s="57">
        <f t="shared" si="37"/>
        <v>198.6</v>
      </c>
      <c r="AV37" s="9">
        <f t="shared" si="7"/>
        <v>81.59408381265406</v>
      </c>
      <c r="AW37" s="57">
        <f t="shared" si="38"/>
        <v>44.80000000000001</v>
      </c>
      <c r="AX37" s="15">
        <f t="shared" si="39"/>
        <v>9.800000000000011</v>
      </c>
      <c r="AY37" s="19">
        <f t="shared" si="9"/>
        <v>243.4</v>
      </c>
      <c r="AZ37" s="19">
        <f t="shared" si="10"/>
        <v>198.6</v>
      </c>
      <c r="BA37" s="38">
        <f t="shared" si="11"/>
        <v>9.800000000000011</v>
      </c>
    </row>
    <row r="38" spans="1:53" ht="34.5" customHeight="1">
      <c r="A38" s="11" t="s">
        <v>33</v>
      </c>
      <c r="B38" s="114" t="s">
        <v>89</v>
      </c>
      <c r="C38" s="83">
        <v>14.8</v>
      </c>
      <c r="D38" s="34">
        <v>39.5</v>
      </c>
      <c r="E38" s="34">
        <v>21.6</v>
      </c>
      <c r="F38" s="9">
        <f t="shared" si="40"/>
        <v>54.68354430379747</v>
      </c>
      <c r="G38" s="34">
        <v>46.6</v>
      </c>
      <c r="H38" s="34">
        <v>40.9</v>
      </c>
      <c r="I38" s="9">
        <f t="shared" si="8"/>
        <v>87.76824034334764</v>
      </c>
      <c r="J38" s="34">
        <v>39.85</v>
      </c>
      <c r="K38" s="34">
        <v>52.7</v>
      </c>
      <c r="L38" s="9">
        <f t="shared" si="28"/>
        <v>132.24592220828106</v>
      </c>
      <c r="M38" s="70">
        <f t="shared" si="13"/>
        <v>125.94999999999999</v>
      </c>
      <c r="N38" s="70">
        <f t="shared" si="14"/>
        <v>115.2</v>
      </c>
      <c r="O38" s="9">
        <f t="shared" si="1"/>
        <v>91.46486701071855</v>
      </c>
      <c r="P38" s="34">
        <v>40.3</v>
      </c>
      <c r="Q38" s="34">
        <v>50.6</v>
      </c>
      <c r="R38" s="9">
        <f t="shared" si="2"/>
        <v>125.55831265508685</v>
      </c>
      <c r="S38" s="34">
        <v>37.5</v>
      </c>
      <c r="T38" s="34">
        <v>34</v>
      </c>
      <c r="U38" s="9">
        <f t="shared" si="3"/>
        <v>90.66666666666666</v>
      </c>
      <c r="V38" s="34">
        <v>32.3</v>
      </c>
      <c r="W38" s="34">
        <v>33.9</v>
      </c>
      <c r="X38" s="9">
        <f t="shared" si="30"/>
        <v>104.95356037151704</v>
      </c>
      <c r="Y38" s="70">
        <f t="shared" si="31"/>
        <v>110.1</v>
      </c>
      <c r="Z38" s="70">
        <f t="shared" si="32"/>
        <v>118.5</v>
      </c>
      <c r="AA38" s="9">
        <f t="shared" si="33"/>
        <v>107.62942779291554</v>
      </c>
      <c r="AB38" s="34"/>
      <c r="AC38" s="34"/>
      <c r="AD38" s="9" t="e">
        <f t="shared" si="4"/>
        <v>#DIV/0!</v>
      </c>
      <c r="AE38" s="34"/>
      <c r="AF38" s="34"/>
      <c r="AG38" s="9" t="e">
        <f t="shared" si="5"/>
        <v>#DIV/0!</v>
      </c>
      <c r="AH38" s="34"/>
      <c r="AI38" s="34"/>
      <c r="AJ38" s="9" t="e">
        <f t="shared" si="6"/>
        <v>#DIV/0!</v>
      </c>
      <c r="AK38" s="70">
        <f t="shared" si="15"/>
        <v>0</v>
      </c>
      <c r="AL38" s="70">
        <f t="shared" si="16"/>
        <v>0</v>
      </c>
      <c r="AM38" s="9" t="e">
        <f t="shared" si="34"/>
        <v>#DIV/0!</v>
      </c>
      <c r="AN38" s="34"/>
      <c r="AO38" s="34"/>
      <c r="AP38" s="34"/>
      <c r="AQ38" s="34"/>
      <c r="AR38" s="34"/>
      <c r="AS38" s="34"/>
      <c r="AT38" s="57">
        <f t="shared" si="36"/>
        <v>236.04999999999998</v>
      </c>
      <c r="AU38" s="57">
        <f t="shared" si="37"/>
        <v>233.7</v>
      </c>
      <c r="AV38" s="9">
        <f>AU38/AT38*100</f>
        <v>99.00444821012498</v>
      </c>
      <c r="AW38" s="57">
        <f t="shared" si="38"/>
        <v>2.3499999999999943</v>
      </c>
      <c r="AX38" s="15">
        <f t="shared" si="39"/>
        <v>17.150000000000006</v>
      </c>
      <c r="AY38" s="19">
        <f t="shared" si="9"/>
        <v>236.04999999999998</v>
      </c>
      <c r="AZ38" s="19">
        <f t="shared" si="10"/>
        <v>233.7</v>
      </c>
      <c r="BA38" s="38">
        <f t="shared" si="11"/>
        <v>17.150000000000006</v>
      </c>
    </row>
    <row r="39" spans="1:53" ht="34.5" customHeight="1">
      <c r="A39" s="11" t="s">
        <v>34</v>
      </c>
      <c r="B39" s="114" t="s">
        <v>4</v>
      </c>
      <c r="C39" s="83">
        <v>14.6</v>
      </c>
      <c r="D39" s="34">
        <v>18.3</v>
      </c>
      <c r="E39" s="34">
        <v>0.9</v>
      </c>
      <c r="F39" s="9">
        <f t="shared" si="40"/>
        <v>4.918032786885246</v>
      </c>
      <c r="G39" s="34">
        <v>56.6</v>
      </c>
      <c r="H39" s="34">
        <v>8.1</v>
      </c>
      <c r="I39" s="9">
        <f t="shared" si="8"/>
        <v>14.310954063604239</v>
      </c>
      <c r="J39" s="34">
        <v>36.1</v>
      </c>
      <c r="K39" s="34">
        <v>24.8</v>
      </c>
      <c r="L39" s="9">
        <f t="shared" si="28"/>
        <v>68.69806094182826</v>
      </c>
      <c r="M39" s="70">
        <f t="shared" si="13"/>
        <v>111</v>
      </c>
      <c r="N39" s="70">
        <f t="shared" si="14"/>
        <v>33.8</v>
      </c>
      <c r="O39" s="9">
        <f t="shared" si="1"/>
        <v>30.45045045045045</v>
      </c>
      <c r="P39" s="34">
        <v>-7.9</v>
      </c>
      <c r="Q39" s="34">
        <v>41.8</v>
      </c>
      <c r="R39" s="9">
        <f t="shared" si="2"/>
        <v>-529.1139240506329</v>
      </c>
      <c r="S39" s="34">
        <v>28.6</v>
      </c>
      <c r="T39" s="34">
        <v>28.7</v>
      </c>
      <c r="U39" s="9">
        <f t="shared" si="3"/>
        <v>100.34965034965033</v>
      </c>
      <c r="V39" s="34">
        <v>37.7</v>
      </c>
      <c r="W39" s="34">
        <v>30.4</v>
      </c>
      <c r="X39" s="101">
        <f t="shared" si="30"/>
        <v>80.6366047745358</v>
      </c>
      <c r="Y39" s="70">
        <f t="shared" si="31"/>
        <v>58.400000000000006</v>
      </c>
      <c r="Z39" s="70">
        <f t="shared" si="32"/>
        <v>100.9</v>
      </c>
      <c r="AA39" s="9">
        <f t="shared" si="33"/>
        <v>172.77397260273972</v>
      </c>
      <c r="AB39" s="34"/>
      <c r="AC39" s="34"/>
      <c r="AD39" s="9" t="e">
        <f t="shared" si="4"/>
        <v>#DIV/0!</v>
      </c>
      <c r="AE39" s="34"/>
      <c r="AF39" s="34"/>
      <c r="AG39" s="9" t="e">
        <f t="shared" si="5"/>
        <v>#DIV/0!</v>
      </c>
      <c r="AH39" s="34"/>
      <c r="AI39" s="34"/>
      <c r="AJ39" s="9" t="e">
        <f t="shared" si="6"/>
        <v>#DIV/0!</v>
      </c>
      <c r="AK39" s="70">
        <f t="shared" si="15"/>
        <v>0</v>
      </c>
      <c r="AL39" s="70">
        <f t="shared" si="16"/>
        <v>0</v>
      </c>
      <c r="AM39" s="9" t="e">
        <f t="shared" si="34"/>
        <v>#DIV/0!</v>
      </c>
      <c r="AN39" s="34"/>
      <c r="AO39" s="34"/>
      <c r="AP39" s="34"/>
      <c r="AQ39" s="34"/>
      <c r="AR39" s="34"/>
      <c r="AS39" s="34"/>
      <c r="AT39" s="57">
        <f t="shared" si="36"/>
        <v>169.4</v>
      </c>
      <c r="AU39" s="57">
        <f t="shared" si="37"/>
        <v>134.7</v>
      </c>
      <c r="AV39" s="9">
        <f t="shared" si="7"/>
        <v>79.5159386068477</v>
      </c>
      <c r="AW39" s="57">
        <f t="shared" si="38"/>
        <v>34.70000000000002</v>
      </c>
      <c r="AX39" s="15">
        <f t="shared" si="39"/>
        <v>49.30000000000001</v>
      </c>
      <c r="AY39" s="19">
        <f t="shared" si="9"/>
        <v>169.4</v>
      </c>
      <c r="AZ39" s="19">
        <f t="shared" si="10"/>
        <v>134.7</v>
      </c>
      <c r="BA39" s="38">
        <f t="shared" si="11"/>
        <v>49.30000000000001</v>
      </c>
    </row>
    <row r="40" spans="1:53" ht="34.5" customHeight="1">
      <c r="A40" s="11" t="s">
        <v>35</v>
      </c>
      <c r="B40" s="114" t="s">
        <v>63</v>
      </c>
      <c r="C40" s="83">
        <v>0.6</v>
      </c>
      <c r="D40" s="34">
        <v>9</v>
      </c>
      <c r="E40" s="34">
        <v>0</v>
      </c>
      <c r="F40" s="9">
        <f t="shared" si="40"/>
        <v>0</v>
      </c>
      <c r="G40" s="34">
        <v>11.5</v>
      </c>
      <c r="H40" s="34">
        <v>7.5</v>
      </c>
      <c r="I40" s="9">
        <f t="shared" si="8"/>
        <v>65.21739130434783</v>
      </c>
      <c r="J40" s="34">
        <v>9.6</v>
      </c>
      <c r="K40" s="34">
        <v>8.6</v>
      </c>
      <c r="L40" s="9">
        <f t="shared" si="28"/>
        <v>89.58333333333334</v>
      </c>
      <c r="M40" s="70">
        <f t="shared" si="13"/>
        <v>30.1</v>
      </c>
      <c r="N40" s="70">
        <f t="shared" si="14"/>
        <v>16.1</v>
      </c>
      <c r="O40" s="9">
        <f t="shared" si="1"/>
        <v>53.48837209302326</v>
      </c>
      <c r="P40" s="34">
        <v>5.3</v>
      </c>
      <c r="Q40" s="34">
        <v>7.3</v>
      </c>
      <c r="R40" s="9">
        <f t="shared" si="2"/>
        <v>137.73584905660377</v>
      </c>
      <c r="S40" s="34">
        <v>5.3</v>
      </c>
      <c r="T40" s="34">
        <v>9.5</v>
      </c>
      <c r="U40" s="9">
        <f t="shared" si="3"/>
        <v>179.24528301886792</v>
      </c>
      <c r="V40" s="34">
        <v>6</v>
      </c>
      <c r="W40" s="34">
        <v>3.1</v>
      </c>
      <c r="X40" s="9">
        <f t="shared" si="30"/>
        <v>51.66666666666667</v>
      </c>
      <c r="Y40" s="70">
        <f t="shared" si="31"/>
        <v>16.6</v>
      </c>
      <c r="Z40" s="70">
        <f t="shared" si="32"/>
        <v>19.900000000000002</v>
      </c>
      <c r="AA40" s="9">
        <f t="shared" si="33"/>
        <v>119.87951807228916</v>
      </c>
      <c r="AB40" s="34"/>
      <c r="AC40" s="34"/>
      <c r="AD40" s="9" t="e">
        <f t="shared" si="4"/>
        <v>#DIV/0!</v>
      </c>
      <c r="AE40" s="34"/>
      <c r="AF40" s="34"/>
      <c r="AG40" s="9" t="e">
        <f t="shared" si="5"/>
        <v>#DIV/0!</v>
      </c>
      <c r="AH40" s="34"/>
      <c r="AI40" s="34"/>
      <c r="AJ40" s="9" t="e">
        <f t="shared" si="6"/>
        <v>#DIV/0!</v>
      </c>
      <c r="AK40" s="70">
        <f t="shared" si="15"/>
        <v>0</v>
      </c>
      <c r="AL40" s="70">
        <f t="shared" si="16"/>
        <v>0</v>
      </c>
      <c r="AM40" s="9" t="e">
        <f t="shared" si="34"/>
        <v>#DIV/0!</v>
      </c>
      <c r="AN40" s="34"/>
      <c r="AO40" s="34"/>
      <c r="AP40" s="34"/>
      <c r="AQ40" s="34"/>
      <c r="AR40" s="34"/>
      <c r="AS40" s="34"/>
      <c r="AT40" s="57">
        <f t="shared" si="36"/>
        <v>46.7</v>
      </c>
      <c r="AU40" s="57">
        <f t="shared" si="37"/>
        <v>36</v>
      </c>
      <c r="AV40" s="9">
        <f t="shared" si="7"/>
        <v>77.08779443254818</v>
      </c>
      <c r="AW40" s="57">
        <f t="shared" si="38"/>
        <v>10.700000000000003</v>
      </c>
      <c r="AX40" s="15">
        <f t="shared" si="39"/>
        <v>11.300000000000004</v>
      </c>
      <c r="AY40" s="19">
        <f t="shared" si="9"/>
        <v>46.7</v>
      </c>
      <c r="AZ40" s="19">
        <f t="shared" si="10"/>
        <v>36</v>
      </c>
      <c r="BA40" s="38">
        <f t="shared" si="11"/>
        <v>11.300000000000004</v>
      </c>
    </row>
    <row r="41" spans="1:53" ht="34.5" customHeight="1">
      <c r="A41" s="11" t="s">
        <v>36</v>
      </c>
      <c r="B41" s="58" t="s">
        <v>64</v>
      </c>
      <c r="C41" s="89">
        <v>-4.6</v>
      </c>
      <c r="D41" s="34">
        <v>10.6</v>
      </c>
      <c r="E41" s="34">
        <v>5.8</v>
      </c>
      <c r="F41" s="9">
        <f t="shared" si="40"/>
        <v>54.71698113207547</v>
      </c>
      <c r="G41" s="34">
        <v>10.6</v>
      </c>
      <c r="H41" s="34">
        <v>6.1</v>
      </c>
      <c r="I41" s="9">
        <f t="shared" si="8"/>
        <v>57.54716981132076</v>
      </c>
      <c r="J41" s="34">
        <v>9.81517</v>
      </c>
      <c r="K41" s="34">
        <v>8.37823</v>
      </c>
      <c r="L41" s="59">
        <f t="shared" si="28"/>
        <v>85.36000904721976</v>
      </c>
      <c r="M41" s="70">
        <f t="shared" si="13"/>
        <v>31.015169999999998</v>
      </c>
      <c r="N41" s="70">
        <f t="shared" si="14"/>
        <v>20.27823</v>
      </c>
      <c r="O41" s="9">
        <f t="shared" si="1"/>
        <v>65.3816503343364</v>
      </c>
      <c r="P41" s="34">
        <v>10.234530000000001</v>
      </c>
      <c r="Q41" s="34">
        <v>7.915</v>
      </c>
      <c r="R41" s="9">
        <f t="shared" si="2"/>
        <v>77.33623331994727</v>
      </c>
      <c r="S41" s="34">
        <v>8</v>
      </c>
      <c r="T41" s="34">
        <v>8.2</v>
      </c>
      <c r="U41" s="9">
        <f t="shared" si="3"/>
        <v>102.49999999999999</v>
      </c>
      <c r="V41" s="34">
        <v>9.7</v>
      </c>
      <c r="W41" s="34">
        <v>6.9</v>
      </c>
      <c r="X41" s="101">
        <f t="shared" si="30"/>
        <v>71.13402061855672</v>
      </c>
      <c r="Y41" s="70">
        <f t="shared" si="31"/>
        <v>27.93453</v>
      </c>
      <c r="Z41" s="70">
        <f t="shared" si="32"/>
        <v>23.015</v>
      </c>
      <c r="AA41" s="9">
        <f t="shared" si="33"/>
        <v>82.38907187627643</v>
      </c>
      <c r="AB41" s="34"/>
      <c r="AC41" s="34"/>
      <c r="AD41" s="9" t="e">
        <f t="shared" si="4"/>
        <v>#DIV/0!</v>
      </c>
      <c r="AE41" s="34"/>
      <c r="AF41" s="34"/>
      <c r="AG41" s="9" t="e">
        <f t="shared" si="5"/>
        <v>#DIV/0!</v>
      </c>
      <c r="AH41" s="34"/>
      <c r="AI41" s="34"/>
      <c r="AJ41" s="9" t="e">
        <f t="shared" si="6"/>
        <v>#DIV/0!</v>
      </c>
      <c r="AK41" s="70">
        <f t="shared" si="15"/>
        <v>0</v>
      </c>
      <c r="AL41" s="70">
        <f t="shared" si="16"/>
        <v>0</v>
      </c>
      <c r="AM41" s="9" t="e">
        <f t="shared" si="34"/>
        <v>#DIV/0!</v>
      </c>
      <c r="AN41" s="34"/>
      <c r="AO41" s="34"/>
      <c r="AP41" s="34"/>
      <c r="AQ41" s="34"/>
      <c r="AR41" s="34"/>
      <c r="AS41" s="34"/>
      <c r="AT41" s="57">
        <f t="shared" si="36"/>
        <v>58.94969999999999</v>
      </c>
      <c r="AU41" s="57">
        <f t="shared" si="37"/>
        <v>43.29323</v>
      </c>
      <c r="AV41" s="9">
        <f t="shared" si="7"/>
        <v>73.44096746887601</v>
      </c>
      <c r="AW41" s="57">
        <f t="shared" si="38"/>
        <v>15.656469999999992</v>
      </c>
      <c r="AX41" s="15">
        <f t="shared" si="39"/>
        <v>11.05646999999999</v>
      </c>
      <c r="AY41" s="19">
        <f t="shared" si="9"/>
        <v>58.94969999999999</v>
      </c>
      <c r="AZ41" s="19">
        <f t="shared" si="10"/>
        <v>43.29323</v>
      </c>
      <c r="BA41" s="38">
        <f t="shared" si="11"/>
        <v>11.05646999999999</v>
      </c>
    </row>
    <row r="42" spans="1:53" ht="34.5" customHeight="1">
      <c r="A42" s="11" t="s">
        <v>37</v>
      </c>
      <c r="B42" s="114" t="s">
        <v>48</v>
      </c>
      <c r="C42" s="83">
        <v>234.2</v>
      </c>
      <c r="D42" s="34">
        <v>139.7</v>
      </c>
      <c r="E42" s="34">
        <v>0.5</v>
      </c>
      <c r="F42" s="9">
        <f t="shared" si="40"/>
        <v>0.3579098067287044</v>
      </c>
      <c r="G42" s="34">
        <v>130.7</v>
      </c>
      <c r="H42" s="34">
        <v>10.4</v>
      </c>
      <c r="I42" s="9">
        <f t="shared" si="8"/>
        <v>7.957153787299159</v>
      </c>
      <c r="J42" s="34">
        <v>147.1</v>
      </c>
      <c r="K42" s="34">
        <v>546.9</v>
      </c>
      <c r="L42" s="59">
        <f t="shared" si="28"/>
        <v>371.7878993881713</v>
      </c>
      <c r="M42" s="70">
        <f t="shared" si="13"/>
        <v>417.5</v>
      </c>
      <c r="N42" s="70">
        <f t="shared" si="14"/>
        <v>557.8</v>
      </c>
      <c r="O42" s="9">
        <f t="shared" si="1"/>
        <v>133.60479041916167</v>
      </c>
      <c r="P42" s="34">
        <v>135.1</v>
      </c>
      <c r="Q42" s="34">
        <v>69</v>
      </c>
      <c r="R42" s="9">
        <f t="shared" si="2"/>
        <v>51.073279052553666</v>
      </c>
      <c r="S42" s="34">
        <v>172</v>
      </c>
      <c r="T42" s="34">
        <v>14.5</v>
      </c>
      <c r="U42" s="9">
        <f t="shared" si="3"/>
        <v>8.430232558139535</v>
      </c>
      <c r="V42" s="34">
        <v>169.6</v>
      </c>
      <c r="W42" s="34">
        <v>234.6</v>
      </c>
      <c r="X42" s="101">
        <f t="shared" si="30"/>
        <v>138.3254716981132</v>
      </c>
      <c r="Y42" s="70">
        <f t="shared" si="31"/>
        <v>476.70000000000005</v>
      </c>
      <c r="Z42" s="70">
        <f t="shared" si="32"/>
        <v>318.1</v>
      </c>
      <c r="AA42" s="9">
        <f t="shared" si="33"/>
        <v>66.72959932871827</v>
      </c>
      <c r="AB42" s="34"/>
      <c r="AC42" s="34"/>
      <c r="AD42" s="9" t="e">
        <f t="shared" si="4"/>
        <v>#DIV/0!</v>
      </c>
      <c r="AE42" s="34"/>
      <c r="AF42" s="34"/>
      <c r="AG42" s="9" t="e">
        <f t="shared" si="5"/>
        <v>#DIV/0!</v>
      </c>
      <c r="AH42" s="34"/>
      <c r="AI42" s="34"/>
      <c r="AJ42" s="9" t="e">
        <f t="shared" si="6"/>
        <v>#DIV/0!</v>
      </c>
      <c r="AK42" s="70">
        <f t="shared" si="15"/>
        <v>0</v>
      </c>
      <c r="AL42" s="70">
        <f t="shared" si="16"/>
        <v>0</v>
      </c>
      <c r="AM42" s="9" t="e">
        <f t="shared" si="34"/>
        <v>#DIV/0!</v>
      </c>
      <c r="AN42" s="34"/>
      <c r="AO42" s="34"/>
      <c r="AP42" s="34"/>
      <c r="AQ42" s="34"/>
      <c r="AR42" s="34"/>
      <c r="AS42" s="34"/>
      <c r="AT42" s="57">
        <f t="shared" si="36"/>
        <v>894.2</v>
      </c>
      <c r="AU42" s="57">
        <f t="shared" si="37"/>
        <v>875.9</v>
      </c>
      <c r="AV42" s="9">
        <f t="shared" si="7"/>
        <v>97.95347796913441</v>
      </c>
      <c r="AW42" s="57">
        <f t="shared" si="38"/>
        <v>18.300000000000068</v>
      </c>
      <c r="AX42" s="15">
        <f t="shared" si="39"/>
        <v>252.5000000000001</v>
      </c>
      <c r="AY42" s="19">
        <f t="shared" si="9"/>
        <v>894.2</v>
      </c>
      <c r="AZ42" s="19">
        <f t="shared" si="10"/>
        <v>875.9</v>
      </c>
      <c r="BA42" s="38">
        <f t="shared" si="11"/>
        <v>252.5000000000001</v>
      </c>
    </row>
    <row r="43" spans="1:53" s="10" customFormat="1" ht="34.5" customHeight="1">
      <c r="A43" s="11" t="s">
        <v>38</v>
      </c>
      <c r="B43" s="13" t="s">
        <v>66</v>
      </c>
      <c r="C43" s="66">
        <f>SUM(C44:C44)</f>
        <v>1992.9</v>
      </c>
      <c r="D43" s="15">
        <f>SUM(D44:D44)</f>
        <v>7318.4</v>
      </c>
      <c r="E43" s="15">
        <f>SUM(E44:E44)</f>
        <v>1054.4</v>
      </c>
      <c r="F43" s="9">
        <f t="shared" si="40"/>
        <v>14.40752076956712</v>
      </c>
      <c r="G43" s="15">
        <f>SUM(G44:G44)</f>
        <v>9184.6</v>
      </c>
      <c r="H43" s="15">
        <f>SUM(H44:H44)</f>
        <v>5845</v>
      </c>
      <c r="I43" s="9">
        <f t="shared" si="8"/>
        <v>63.6391350739281</v>
      </c>
      <c r="J43" s="15">
        <f>SUM(J44:J44)</f>
        <v>9324.3</v>
      </c>
      <c r="K43" s="15">
        <f>SUM(K44:K44)</f>
        <v>7729.2</v>
      </c>
      <c r="L43" s="59">
        <f t="shared" si="28"/>
        <v>82.89308580804993</v>
      </c>
      <c r="M43" s="15">
        <f>SUM(M44:M44)</f>
        <v>25827.3</v>
      </c>
      <c r="N43" s="15">
        <f>SUM(N44:N44)</f>
        <v>14628.599999999999</v>
      </c>
      <c r="O43" s="9">
        <f t="shared" si="1"/>
        <v>56.64006690594835</v>
      </c>
      <c r="P43" s="15">
        <f>SUM(P44:P44)</f>
        <v>7865.6</v>
      </c>
      <c r="Q43" s="15">
        <f>SUM(Q44:Q44)</f>
        <v>9882.5</v>
      </c>
      <c r="R43" s="9">
        <f t="shared" si="2"/>
        <v>125.64203620829943</v>
      </c>
      <c r="S43" s="15">
        <f>SUM(S44:S44)</f>
        <v>7706.5</v>
      </c>
      <c r="T43" s="15">
        <f>SUM(T44:T44)</f>
        <v>7234.3</v>
      </c>
      <c r="U43" s="9">
        <f t="shared" si="3"/>
        <v>93.87270485953417</v>
      </c>
      <c r="V43" s="15">
        <f>SUM(V44:V44)</f>
        <v>7818.1</v>
      </c>
      <c r="W43" s="15">
        <f>SUM(W44:W44)</f>
        <v>7438.5</v>
      </c>
      <c r="X43" s="9">
        <f t="shared" si="30"/>
        <v>95.14460035046878</v>
      </c>
      <c r="Y43" s="15">
        <f>SUM(Y44:Y44)</f>
        <v>23390.2</v>
      </c>
      <c r="Z43" s="15">
        <f>SUM(Z44:Z44)</f>
        <v>24555.3</v>
      </c>
      <c r="AA43" s="9">
        <f t="shared" si="33"/>
        <v>104.98114595001324</v>
      </c>
      <c r="AB43" s="15">
        <f>SUM(AB44:AB44)</f>
        <v>0</v>
      </c>
      <c r="AC43" s="15">
        <f>SUM(AC44:AC44)</f>
        <v>0</v>
      </c>
      <c r="AD43" s="9" t="e">
        <f t="shared" si="4"/>
        <v>#DIV/0!</v>
      </c>
      <c r="AE43" s="15">
        <f>SUM(AE44:AE44)</f>
        <v>0</v>
      </c>
      <c r="AF43" s="15">
        <f>SUM(AF44:AF44)</f>
        <v>0</v>
      </c>
      <c r="AG43" s="9" t="e">
        <f t="shared" si="5"/>
        <v>#DIV/0!</v>
      </c>
      <c r="AH43" s="15">
        <f>SUM(AH44:AH44)</f>
        <v>0</v>
      </c>
      <c r="AI43" s="15">
        <f>SUM(AI44:AI44)</f>
        <v>0</v>
      </c>
      <c r="AJ43" s="9" t="e">
        <f t="shared" si="6"/>
        <v>#DIV/0!</v>
      </c>
      <c r="AK43" s="15">
        <f>SUM(AK44:AK44)</f>
        <v>0</v>
      </c>
      <c r="AL43" s="15">
        <f>SUM(AL44:AL44)</f>
        <v>0</v>
      </c>
      <c r="AM43" s="9" t="e">
        <f t="shared" si="34"/>
        <v>#DIV/0!</v>
      </c>
      <c r="AN43" s="15">
        <f aca="true" t="shared" si="41" ref="AN43:AS43">SUM(AN44:AN44)</f>
        <v>0</v>
      </c>
      <c r="AO43" s="15">
        <f t="shared" si="41"/>
        <v>0</v>
      </c>
      <c r="AP43" s="15">
        <f t="shared" si="41"/>
        <v>0</v>
      </c>
      <c r="AQ43" s="15">
        <f t="shared" si="41"/>
        <v>0</v>
      </c>
      <c r="AR43" s="15">
        <f t="shared" si="41"/>
        <v>0</v>
      </c>
      <c r="AS43" s="15">
        <f t="shared" si="41"/>
        <v>0</v>
      </c>
      <c r="AT43" s="101">
        <f>AT44</f>
        <v>49217.5</v>
      </c>
      <c r="AU43" s="101">
        <f>AU44</f>
        <v>39183.899999999994</v>
      </c>
      <c r="AV43" s="9">
        <f t="shared" si="7"/>
        <v>79.6137552699751</v>
      </c>
      <c r="AW43" s="15">
        <f>SUM(AW44:AW44)</f>
        <v>10033.600000000006</v>
      </c>
      <c r="AX43" s="15">
        <f>SUM(AX44:AX44)</f>
        <v>12026.500000000007</v>
      </c>
      <c r="AY43" s="19">
        <f t="shared" si="9"/>
        <v>49217.5</v>
      </c>
      <c r="AZ43" s="19">
        <f t="shared" si="10"/>
        <v>39183.899999999994</v>
      </c>
      <c r="BA43" s="38">
        <f t="shared" si="11"/>
        <v>12026.500000000007</v>
      </c>
    </row>
    <row r="44" spans="1:53" s="10" customFormat="1" ht="34.5" customHeight="1">
      <c r="A44" s="8"/>
      <c r="B44" s="37" t="s">
        <v>67</v>
      </c>
      <c r="C44" s="83">
        <v>1992.9</v>
      </c>
      <c r="D44" s="34">
        <v>7318.4</v>
      </c>
      <c r="E44" s="65">
        <v>1054.4</v>
      </c>
      <c r="F44" s="9">
        <f t="shared" si="40"/>
        <v>14.40752076956712</v>
      </c>
      <c r="G44" s="34">
        <v>9184.6</v>
      </c>
      <c r="H44" s="34">
        <v>5845</v>
      </c>
      <c r="I44" s="9">
        <f t="shared" si="8"/>
        <v>63.6391350739281</v>
      </c>
      <c r="J44" s="34">
        <v>9324.3</v>
      </c>
      <c r="K44" s="34">
        <v>7729.2</v>
      </c>
      <c r="L44" s="9">
        <f t="shared" si="28"/>
        <v>82.89308580804993</v>
      </c>
      <c r="M44" s="70">
        <f t="shared" si="13"/>
        <v>25827.3</v>
      </c>
      <c r="N44" s="70">
        <f t="shared" si="14"/>
        <v>14628.599999999999</v>
      </c>
      <c r="O44" s="9">
        <f t="shared" si="1"/>
        <v>56.64006690594835</v>
      </c>
      <c r="P44" s="34">
        <v>7865.6</v>
      </c>
      <c r="Q44" s="34">
        <v>9882.5</v>
      </c>
      <c r="R44" s="9">
        <f t="shared" si="2"/>
        <v>125.64203620829943</v>
      </c>
      <c r="S44" s="34">
        <v>7706.5</v>
      </c>
      <c r="T44" s="34">
        <v>7234.3</v>
      </c>
      <c r="U44" s="9">
        <f t="shared" si="3"/>
        <v>93.87270485953417</v>
      </c>
      <c r="V44" s="34">
        <v>7818.1</v>
      </c>
      <c r="W44" s="34">
        <v>7438.5</v>
      </c>
      <c r="X44" s="9">
        <f t="shared" si="30"/>
        <v>95.14460035046878</v>
      </c>
      <c r="Y44" s="70">
        <f>P44+S44+V44</f>
        <v>23390.2</v>
      </c>
      <c r="Z44" s="70">
        <f>Q44+T44+W44</f>
        <v>24555.3</v>
      </c>
      <c r="AA44" s="9">
        <f t="shared" si="33"/>
        <v>104.98114595001324</v>
      </c>
      <c r="AB44" s="34"/>
      <c r="AC44" s="34"/>
      <c r="AD44" s="9" t="e">
        <f t="shared" si="4"/>
        <v>#DIV/0!</v>
      </c>
      <c r="AE44" s="34"/>
      <c r="AF44" s="34"/>
      <c r="AG44" s="9" t="e">
        <f t="shared" si="5"/>
        <v>#DIV/0!</v>
      </c>
      <c r="AH44" s="34"/>
      <c r="AI44" s="34"/>
      <c r="AJ44" s="9" t="e">
        <f t="shared" si="6"/>
        <v>#DIV/0!</v>
      </c>
      <c r="AK44" s="70">
        <f>AB44+AE44+AH44</f>
        <v>0</v>
      </c>
      <c r="AL44" s="70">
        <f>AC44+AF44+AI44</f>
        <v>0</v>
      </c>
      <c r="AM44" s="9" t="e">
        <f t="shared" si="34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49217.5</v>
      </c>
      <c r="AU44" s="57">
        <f>N44+Z44+AL44+AO44+AQ44+AS44</f>
        <v>39183.899999999994</v>
      </c>
      <c r="AV44" s="9">
        <f t="shared" si="7"/>
        <v>79.6137552699751</v>
      </c>
      <c r="AW44" s="57">
        <f>AT44-AU44</f>
        <v>10033.600000000006</v>
      </c>
      <c r="AX44" s="12">
        <f>C44+AT44-AU44</f>
        <v>12026.500000000007</v>
      </c>
      <c r="AY44" s="19">
        <f t="shared" si="9"/>
        <v>49217.5</v>
      </c>
      <c r="AZ44" s="19">
        <f t="shared" si="10"/>
        <v>39183.899999999994</v>
      </c>
      <c r="BA44" s="38">
        <f t="shared" si="11"/>
        <v>12026.500000000007</v>
      </c>
    </row>
    <row r="45" spans="1:53" ht="34.5" customHeight="1">
      <c r="A45" s="11"/>
      <c r="B45" s="13" t="s">
        <v>90</v>
      </c>
      <c r="C45" s="66">
        <f>C43+C7</f>
        <v>2195.6</v>
      </c>
      <c r="D45" s="15">
        <f>D43+D7</f>
        <v>8033.099999999999</v>
      </c>
      <c r="E45" s="15">
        <f>E43+E7</f>
        <v>1109.1000000000001</v>
      </c>
      <c r="F45" s="9">
        <f>E45/D45*100</f>
        <v>13.806625088695526</v>
      </c>
      <c r="G45" s="15">
        <f>G7+G43</f>
        <v>9920.800000000001</v>
      </c>
      <c r="H45" s="15">
        <f>H7+H43</f>
        <v>6337.7</v>
      </c>
      <c r="I45" s="9">
        <f t="shared" si="8"/>
        <v>63.88295298766228</v>
      </c>
      <c r="J45" s="15">
        <f>J7+J43</f>
        <v>10014.149669999999</v>
      </c>
      <c r="K45" s="15">
        <f>K7+K43</f>
        <v>8842.97604</v>
      </c>
      <c r="L45" s="9">
        <f t="shared" si="28"/>
        <v>88.30481200507162</v>
      </c>
      <c r="M45" s="15">
        <f>M7+M43</f>
        <v>27968.04967</v>
      </c>
      <c r="N45" s="15">
        <f>N7+N43</f>
        <v>16289.776039999997</v>
      </c>
      <c r="O45" s="9">
        <f t="shared" si="1"/>
        <v>58.24423308813438</v>
      </c>
      <c r="P45" s="15">
        <f>P7+P43</f>
        <v>8446.41194</v>
      </c>
      <c r="Q45" s="15">
        <f>Q7+Q43</f>
        <v>10538.95006</v>
      </c>
      <c r="R45" s="9">
        <f t="shared" si="2"/>
        <v>124.77428445196101</v>
      </c>
      <c r="S45" s="15">
        <f>S7+S43</f>
        <v>8315.3</v>
      </c>
      <c r="T45" s="15">
        <f>T7+T43</f>
        <v>7508.2</v>
      </c>
      <c r="U45" s="9">
        <f t="shared" si="3"/>
        <v>90.29379577405507</v>
      </c>
      <c r="V45" s="15">
        <f>V7+V43</f>
        <v>8464.7</v>
      </c>
      <c r="W45" s="15">
        <f>W7+W43</f>
        <v>8347.9</v>
      </c>
      <c r="X45" s="9">
        <f t="shared" si="30"/>
        <v>98.62015192505345</v>
      </c>
      <c r="Y45" s="15">
        <f>Y7+Y43</f>
        <v>25226.41194</v>
      </c>
      <c r="Z45" s="15">
        <f>Z7+Z43</f>
        <v>26395.05006</v>
      </c>
      <c r="AA45" s="9">
        <f t="shared" si="33"/>
        <v>104.63259746482996</v>
      </c>
      <c r="AB45" s="15">
        <f>AB7+AB43</f>
        <v>0</v>
      </c>
      <c r="AC45" s="15">
        <f>AC7+AC43</f>
        <v>0</v>
      </c>
      <c r="AD45" s="9" t="e">
        <f t="shared" si="4"/>
        <v>#DIV/0!</v>
      </c>
      <c r="AE45" s="15">
        <f>AE43+AE7</f>
        <v>0</v>
      </c>
      <c r="AF45" s="15">
        <f>AF43+AF7</f>
        <v>0</v>
      </c>
      <c r="AG45" s="9" t="e">
        <f t="shared" si="5"/>
        <v>#DIV/0!</v>
      </c>
      <c r="AH45" s="15">
        <f>AH43+AH7</f>
        <v>0</v>
      </c>
      <c r="AI45" s="15">
        <f>AI43+AI7</f>
        <v>0</v>
      </c>
      <c r="AJ45" s="9" t="e">
        <f t="shared" si="6"/>
        <v>#DIV/0!</v>
      </c>
      <c r="AK45" s="15">
        <f>AK7+AK43</f>
        <v>0</v>
      </c>
      <c r="AL45" s="15">
        <f>AL7+AL43</f>
        <v>0</v>
      </c>
      <c r="AM45" s="9" t="e">
        <f t="shared" si="34"/>
        <v>#DIV/0!</v>
      </c>
      <c r="AN45" s="15">
        <f aca="true" t="shared" si="42" ref="AN45:AS45">AN43+AN7</f>
        <v>0</v>
      </c>
      <c r="AO45" s="15">
        <f t="shared" si="42"/>
        <v>0</v>
      </c>
      <c r="AP45" s="15">
        <f t="shared" si="42"/>
        <v>0</v>
      </c>
      <c r="AQ45" s="15">
        <f t="shared" si="42"/>
        <v>0</v>
      </c>
      <c r="AR45" s="15">
        <f t="shared" si="42"/>
        <v>0</v>
      </c>
      <c r="AS45" s="15">
        <f t="shared" si="42"/>
        <v>0</v>
      </c>
      <c r="AT45" s="66">
        <f>AT7+AT43</f>
        <v>53194.46161</v>
      </c>
      <c r="AU45" s="66">
        <f>AU7+AU43</f>
        <v>42684.82609999999</v>
      </c>
      <c r="AV45" s="9">
        <f>AU45/AT45*100</f>
        <v>80.24298922874274</v>
      </c>
      <c r="AW45" s="15">
        <f>AW7+AW43</f>
        <v>10509.635510000006</v>
      </c>
      <c r="AX45" s="15">
        <f>AX7+AX43</f>
        <v>12705.235510000008</v>
      </c>
      <c r="AY45" s="19">
        <f t="shared" si="9"/>
        <v>53194.46161</v>
      </c>
      <c r="AZ45" s="19">
        <f t="shared" si="10"/>
        <v>42684.8261</v>
      </c>
      <c r="BA45" s="38">
        <f t="shared" si="11"/>
        <v>12705.235509999999</v>
      </c>
    </row>
    <row r="46" spans="1:62" s="110" customFormat="1" ht="87" customHeight="1">
      <c r="A46" s="242" t="s">
        <v>95</v>
      </c>
      <c r="B46" s="242"/>
      <c r="C46" s="24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20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250" t="s">
        <v>75</v>
      </c>
      <c r="AX47" s="251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16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0" s="28" customFormat="1" ht="58.5" customHeight="1">
      <c r="A51" s="25"/>
      <c r="B51" s="233" t="s">
        <v>76</v>
      </c>
      <c r="C51" s="233"/>
      <c r="D51" s="233"/>
      <c r="E51" s="233"/>
      <c r="F51" s="233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</row>
    <row r="52" spans="1:50" ht="73.5" customHeight="1" hidden="1">
      <c r="A52" s="243" t="s">
        <v>72</v>
      </c>
      <c r="B52" s="243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24.75" customHeight="1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2:50" ht="24.75" customHeight="1">
      <c r="B54" s="93"/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7:50" ht="18.75"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24.75" customHeight="1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24.75" customHeight="1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7:50" ht="24.75" customHeight="1"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7:50" ht="24.75" customHeight="1"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24.75" customHeight="1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24.75" customHeight="1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24.75" customHeight="1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24.75" customHeight="1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24.75" customHeight="1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24.75" customHeight="1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24.75" customHeight="1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24.75" customHeight="1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24.75" customHeight="1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24.75" customHeight="1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24.75" customHeight="1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24.75" customHeight="1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24.75" customHeight="1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24.75" customHeight="1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24.75" customHeight="1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24.75" customHeight="1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24.75" customHeight="1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24.75" customHeight="1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24.75" customHeight="1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24.75" customHeight="1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24.75" customHeight="1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24.75" customHeight="1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24.75" customHeight="1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24.75" customHeight="1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24.75" customHeight="1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24.75" customHeight="1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24.75" customHeight="1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24.75" customHeight="1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24.75" customHeight="1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24.75" customHeight="1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24.75" customHeight="1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24.75" customHeight="1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24.75" customHeight="1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24.75" customHeight="1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24.75" customHeight="1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24.75" customHeight="1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24.75" customHeight="1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24.75" customHeight="1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2:AX3"/>
    <mergeCell ref="I1:AX1"/>
    <mergeCell ref="D5:F5"/>
    <mergeCell ref="G5:I5"/>
    <mergeCell ref="P5:R5"/>
    <mergeCell ref="AE5:AG5"/>
    <mergeCell ref="AW5:AW6"/>
    <mergeCell ref="AX5:AX6"/>
    <mergeCell ref="AT5:AV5"/>
    <mergeCell ref="AN5:AO5"/>
    <mergeCell ref="AK5:AM5"/>
    <mergeCell ref="AW47:AX47"/>
    <mergeCell ref="V5:X5"/>
    <mergeCell ref="Y5:AA5"/>
    <mergeCell ref="AB5:AD5"/>
    <mergeCell ref="AP5:AQ5"/>
    <mergeCell ref="AR5:AS5"/>
    <mergeCell ref="AH5:AJ5"/>
    <mergeCell ref="A52:B52"/>
    <mergeCell ref="S5:U5"/>
    <mergeCell ref="B4:F4"/>
    <mergeCell ref="B51:F51"/>
    <mergeCell ref="J5:L5"/>
    <mergeCell ref="M5:O5"/>
    <mergeCell ref="A46:C46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S3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39" sqref="A39:IV39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2" customWidth="1"/>
    <col min="4" max="4" width="21.125" style="2" hidden="1" customWidth="1"/>
    <col min="5" max="5" width="21.00390625" style="2" hidden="1" customWidth="1"/>
    <col min="6" max="6" width="14.00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4.00390625" style="10" customWidth="1"/>
    <col min="14" max="14" width="12.7539062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1.125" style="10" customWidth="1"/>
    <col min="22" max="22" width="14.00390625" style="10" customWidth="1"/>
    <col min="23" max="23" width="14.25390625" style="10" customWidth="1"/>
    <col min="24" max="24" width="11.125" style="10" customWidth="1"/>
    <col min="25" max="25" width="14.00390625" style="10" hidden="1" customWidth="1"/>
    <col min="26" max="26" width="12.75390625" style="10" hidden="1" customWidth="1"/>
    <col min="27" max="27" width="11.125" style="10" hidden="1" customWidth="1"/>
    <col min="28" max="28" width="14.00390625" style="10" hidden="1" customWidth="1"/>
    <col min="29" max="29" width="14.2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125" style="10" hidden="1" customWidth="1"/>
    <col min="35" max="36" width="11.00390625" style="10" hidden="1" customWidth="1"/>
    <col min="37" max="37" width="14.00390625" style="10" hidden="1" customWidth="1"/>
    <col min="38" max="38" width="12.75390625" style="10" hidden="1" customWidth="1"/>
    <col min="39" max="39" width="11.125" style="10" hidden="1" customWidth="1"/>
    <col min="40" max="40" width="13.125" style="10" hidden="1" customWidth="1"/>
    <col min="41" max="41" width="11.00390625" style="10" hidden="1" customWidth="1"/>
    <col min="42" max="42" width="13.125" style="10" hidden="1" customWidth="1"/>
    <col min="43" max="43" width="11.00390625" style="10" hidden="1" customWidth="1"/>
    <col min="44" max="44" width="13.125" style="10" hidden="1" customWidth="1"/>
    <col min="45" max="45" width="11.00390625" style="10" hidden="1" customWidth="1"/>
    <col min="46" max="47" width="14.75390625" style="2" customWidth="1"/>
    <col min="48" max="48" width="11.125" style="10" customWidth="1"/>
    <col min="49" max="49" width="20.00390625" style="2" customWidth="1"/>
    <col min="50" max="50" width="27.125" style="2" customWidth="1"/>
    <col min="51" max="51" width="13.625" style="2" customWidth="1"/>
    <col min="52" max="52" width="11.125" style="2" customWidth="1"/>
    <col min="53" max="53" width="10.375" style="2" customWidth="1"/>
    <col min="54" max="54" width="7.625" style="2" customWidth="1"/>
    <col min="55" max="16384" width="6.75390625" style="2" customWidth="1"/>
  </cols>
  <sheetData>
    <row r="1" spans="9:50" ht="19.5" customHeight="1">
      <c r="I1" s="245" t="s">
        <v>42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</row>
    <row r="2" spans="1:50" s="50" customFormat="1" ht="60" customHeight="1">
      <c r="A2" s="252" t="s">
        <v>120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</row>
    <row r="3" spans="1:50" s="50" customFormat="1" ht="60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</row>
    <row r="4" spans="2:50" ht="49.5" customHeight="1">
      <c r="B4" s="246"/>
      <c r="C4" s="246"/>
      <c r="D4" s="246"/>
      <c r="E4" s="246"/>
      <c r="F4" s="246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5"/>
      <c r="AJ5" s="236"/>
      <c r="AK5" s="234" t="s">
        <v>107</v>
      </c>
      <c r="AL5" s="235"/>
      <c r="AM5" s="236"/>
      <c r="AN5" s="234" t="s">
        <v>108</v>
      </c>
      <c r="AO5" s="236"/>
      <c r="AP5" s="234" t="s">
        <v>109</v>
      </c>
      <c r="AQ5" s="236"/>
      <c r="AR5" s="234" t="s">
        <v>110</v>
      </c>
      <c r="AS5" s="236"/>
      <c r="AT5" s="239" t="s">
        <v>111</v>
      </c>
      <c r="AU5" s="240"/>
      <c r="AV5" s="241"/>
      <c r="AW5" s="237" t="s">
        <v>123</v>
      </c>
      <c r="AX5" s="237" t="s">
        <v>124</v>
      </c>
    </row>
    <row r="6" spans="1:50" ht="57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105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238"/>
      <c r="AX6" s="238"/>
    </row>
    <row r="7" spans="1:53" s="10" customFormat="1" ht="36" customHeight="1">
      <c r="A7" s="8"/>
      <c r="B7" s="111" t="s">
        <v>92</v>
      </c>
      <c r="C7" s="53">
        <f>SUM(C8:C42)-C33-C34</f>
        <v>-6.099999999999991</v>
      </c>
      <c r="D7" s="53">
        <f aca="true" t="shared" si="0" ref="D7:AS7">SUM(D8:D42)-D33-D34</f>
        <v>2692.3000000000006</v>
      </c>
      <c r="E7" s="53">
        <f t="shared" si="0"/>
        <v>1497.2999999999997</v>
      </c>
      <c r="F7" s="53">
        <f t="shared" si="0"/>
        <v>1725.8278724866093</v>
      </c>
      <c r="G7" s="53">
        <f t="shared" si="0"/>
        <v>3414.1000000000013</v>
      </c>
      <c r="H7" s="53">
        <f t="shared" si="0"/>
        <v>3453.9000000000005</v>
      </c>
      <c r="I7" s="53" t="e">
        <f t="shared" si="0"/>
        <v>#DIV/0!</v>
      </c>
      <c r="J7" s="53">
        <f t="shared" si="0"/>
        <v>3049.5879899999995</v>
      </c>
      <c r="K7" s="53">
        <f t="shared" si="0"/>
        <v>3416.25844</v>
      </c>
      <c r="L7" s="9">
        <f aca="true" t="shared" si="1" ref="L7:L28">K7/J7*100</f>
        <v>112.02360617901046</v>
      </c>
      <c r="M7" s="53">
        <f t="shared" si="0"/>
        <v>9155.98799</v>
      </c>
      <c r="N7" s="53">
        <f t="shared" si="0"/>
        <v>8367.45844</v>
      </c>
      <c r="O7" s="9">
        <f aca="true" t="shared" si="2" ref="O7:O45">N7/M7*100</f>
        <v>91.38782673304927</v>
      </c>
      <c r="P7" s="53">
        <f t="shared" si="0"/>
        <v>2150.7941</v>
      </c>
      <c r="Q7" s="53">
        <f t="shared" si="0"/>
        <v>2157.87717</v>
      </c>
      <c r="R7" s="9">
        <f aca="true" t="shared" si="3" ref="R7:R45">Q7/P7*100</f>
        <v>100.3293234810343</v>
      </c>
      <c r="S7" s="53">
        <f t="shared" si="0"/>
        <v>1649.3999999999999</v>
      </c>
      <c r="T7" s="53">
        <f t="shared" si="0"/>
        <v>1585.6999999999998</v>
      </c>
      <c r="U7" s="9">
        <f aca="true" t="shared" si="4" ref="U7:U45">T7/S7*100</f>
        <v>96.13798957196556</v>
      </c>
      <c r="V7" s="53">
        <f t="shared" si="0"/>
        <v>2051.4999999999995</v>
      </c>
      <c r="W7" s="53">
        <f t="shared" si="0"/>
        <v>2245.999999999999</v>
      </c>
      <c r="X7" s="53" t="e">
        <f t="shared" si="0"/>
        <v>#DIV/0!</v>
      </c>
      <c r="Y7" s="53">
        <f t="shared" si="0"/>
        <v>5851.694099999999</v>
      </c>
      <c r="Z7" s="53">
        <f t="shared" si="0"/>
        <v>5989.57717</v>
      </c>
      <c r="AA7" s="9">
        <f aca="true" t="shared" si="5" ref="AA7:AA28">Z7/Y7*100</f>
        <v>102.35629319721275</v>
      </c>
      <c r="AB7" s="53">
        <f t="shared" si="0"/>
        <v>0</v>
      </c>
      <c r="AC7" s="53">
        <f t="shared" si="0"/>
        <v>0</v>
      </c>
      <c r="AD7" s="53" t="e">
        <f t="shared" si="0"/>
        <v>#DIV/0!</v>
      </c>
      <c r="AE7" s="53">
        <f t="shared" si="0"/>
        <v>0</v>
      </c>
      <c r="AF7" s="53">
        <f t="shared" si="0"/>
        <v>0</v>
      </c>
      <c r="AG7" s="53" t="e">
        <f t="shared" si="0"/>
        <v>#DIV/0!</v>
      </c>
      <c r="AH7" s="53">
        <f t="shared" si="0"/>
        <v>0</v>
      </c>
      <c r="AI7" s="53">
        <f t="shared" si="0"/>
        <v>0</v>
      </c>
      <c r="AJ7" s="53" t="e">
        <f t="shared" si="0"/>
        <v>#DIV/0!</v>
      </c>
      <c r="AK7" s="53">
        <f t="shared" si="0"/>
        <v>0</v>
      </c>
      <c r="AL7" s="53">
        <f t="shared" si="0"/>
        <v>0</v>
      </c>
      <c r="AM7" s="9" t="e">
        <f>AL7/AK7*100</f>
        <v>#DIV/0!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0</v>
      </c>
      <c r="AT7" s="53">
        <f>SUM(AT8:AT42)-AT33-AT34</f>
        <v>15007.682090000002</v>
      </c>
      <c r="AU7" s="53">
        <f>SUM(AU8:AU42)-AU33-AU34</f>
        <v>14357.03561</v>
      </c>
      <c r="AV7" s="9">
        <f aca="true" t="shared" si="6" ref="AV7:AV44">AU7/AT7*100</f>
        <v>95.66457714057293</v>
      </c>
      <c r="AW7" s="53">
        <f>SUM(AW8:AW42)-AW33-AW34</f>
        <v>650.6464799999997</v>
      </c>
      <c r="AX7" s="53">
        <f>SUM(AX8:AX42)-AX33-AX34</f>
        <v>644.5464799999994</v>
      </c>
      <c r="AY7" s="19">
        <f>M7+Y7+AK7+AN7+AP7+AR7</f>
        <v>15007.682089999998</v>
      </c>
      <c r="AZ7" s="19">
        <f>N7+Z7+AL7+AO7+AQ7+AS7</f>
        <v>14357.035609999999</v>
      </c>
      <c r="BA7" s="38">
        <f>C7+AY7-AZ7</f>
        <v>644.5464799999991</v>
      </c>
    </row>
    <row r="8" spans="1:53" ht="34.5" customHeight="1">
      <c r="A8" s="11" t="s">
        <v>5</v>
      </c>
      <c r="B8" s="56" t="s">
        <v>49</v>
      </c>
      <c r="C8" s="83">
        <f>48.3+(-23.6)</f>
        <v>24.699999999999996</v>
      </c>
      <c r="D8" s="34">
        <f>84.9+363</f>
        <v>447.9</v>
      </c>
      <c r="E8" s="34">
        <f>82.6+288.9</f>
        <v>371.5</v>
      </c>
      <c r="F8" s="9">
        <f>E8/D8*100</f>
        <v>82.9426211207859</v>
      </c>
      <c r="G8" s="34">
        <f>98.2+389.2</f>
        <v>487.4</v>
      </c>
      <c r="H8" s="34">
        <f>92.1+433.6</f>
        <v>525.7</v>
      </c>
      <c r="I8" s="9">
        <f aca="true" t="shared" si="7" ref="I8:I45">H8/G8*100</f>
        <v>107.85802215839149</v>
      </c>
      <c r="J8" s="34">
        <v>422</v>
      </c>
      <c r="K8" s="34">
        <v>414.9</v>
      </c>
      <c r="L8" s="9">
        <f t="shared" si="1"/>
        <v>98.31753554502369</v>
      </c>
      <c r="M8" s="70">
        <f>D8+G8+J8</f>
        <v>1357.3</v>
      </c>
      <c r="N8" s="70">
        <f>E8+H8+K8</f>
        <v>1312.1</v>
      </c>
      <c r="O8" s="9">
        <f t="shared" si="2"/>
        <v>96.66985927945186</v>
      </c>
      <c r="P8" s="34">
        <v>319.40000000000003</v>
      </c>
      <c r="Q8" s="34">
        <v>322.3</v>
      </c>
      <c r="R8" s="9">
        <f t="shared" si="3"/>
        <v>100.90795241077019</v>
      </c>
      <c r="S8" s="34">
        <f>32.7+208.5</f>
        <v>241.2</v>
      </c>
      <c r="T8" s="34">
        <f>49.3+208.3</f>
        <v>257.6</v>
      </c>
      <c r="U8" s="9">
        <f t="shared" si="4"/>
        <v>106.79933665008295</v>
      </c>
      <c r="V8" s="34">
        <f>57.6+253.6</f>
        <v>311.2</v>
      </c>
      <c r="W8" s="34">
        <f>82.9+255.5</f>
        <v>338.4</v>
      </c>
      <c r="X8" s="9">
        <f aca="true" t="shared" si="8" ref="X8:X28">W8/V8*100</f>
        <v>108.74035989717224</v>
      </c>
      <c r="Y8" s="70">
        <f>P8+S8+V8</f>
        <v>871.8</v>
      </c>
      <c r="Z8" s="70">
        <f>Q8+T8+W8</f>
        <v>918.3000000000001</v>
      </c>
      <c r="AA8" s="9">
        <f t="shared" si="5"/>
        <v>105.3337921541638</v>
      </c>
      <c r="AB8" s="34"/>
      <c r="AC8" s="34"/>
      <c r="AD8" s="9" t="e">
        <f aca="true" t="shared" si="9" ref="AD8:AD45">AC8/AB8*100</f>
        <v>#DIV/0!</v>
      </c>
      <c r="AE8" s="34"/>
      <c r="AF8" s="34"/>
      <c r="AG8" s="9" t="e">
        <f aca="true" t="shared" si="10" ref="AG8:AG45">AF8/AE8*100</f>
        <v>#DIV/0!</v>
      </c>
      <c r="AH8" s="34"/>
      <c r="AI8" s="34"/>
      <c r="AJ8" s="9" t="e">
        <f aca="true" t="shared" si="11" ref="AJ8:AJ45">AI8/AH8*100</f>
        <v>#DIV/0!</v>
      </c>
      <c r="AK8" s="70">
        <f>AB8+AE8+AH8</f>
        <v>0</v>
      </c>
      <c r="AL8" s="70">
        <f>AC8+AF8+AI8</f>
        <v>0</v>
      </c>
      <c r="AM8" s="9" t="e">
        <f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2229.1</v>
      </c>
      <c r="AU8" s="57">
        <f>N8+Z8+AL8+AO8+AQ8+AS8</f>
        <v>2230.4</v>
      </c>
      <c r="AV8" s="9">
        <f t="shared" si="6"/>
        <v>100.05831950114397</v>
      </c>
      <c r="AW8" s="57">
        <f>AT8-AU8</f>
        <v>-1.300000000000182</v>
      </c>
      <c r="AX8" s="15">
        <f aca="true" t="shared" si="12" ref="AX8:AX28">C8+AT8-AU8</f>
        <v>23.399999999999636</v>
      </c>
      <c r="AY8" s="19">
        <f aca="true" t="shared" si="13" ref="AY8:AY45">M8+Y8+AK8+AN8+AP8+AR8</f>
        <v>2229.1</v>
      </c>
      <c r="AZ8" s="19">
        <f aca="true" t="shared" si="14" ref="AZ8:AZ45">N8+Z8+AL8+AO8+AQ8+AS8</f>
        <v>2230.4</v>
      </c>
      <c r="BA8" s="38">
        <f aca="true" t="shared" si="15" ref="BA8:BA45">C8+AY8-AZ8</f>
        <v>23.399999999999636</v>
      </c>
    </row>
    <row r="9" spans="1:53" ht="34.5" customHeight="1">
      <c r="A9" s="11" t="s">
        <v>6</v>
      </c>
      <c r="B9" s="58" t="s">
        <v>65</v>
      </c>
      <c r="C9" s="83">
        <v>0.2</v>
      </c>
      <c r="D9" s="34">
        <v>37.4</v>
      </c>
      <c r="E9" s="34">
        <v>2.9</v>
      </c>
      <c r="F9" s="9">
        <f>E9/D9*100</f>
        <v>7.754010695187167</v>
      </c>
      <c r="G9" s="34">
        <v>47.1</v>
      </c>
      <c r="H9" s="34">
        <v>40.7</v>
      </c>
      <c r="I9" s="9">
        <f t="shared" si="7"/>
        <v>86.41188959660298</v>
      </c>
      <c r="J9" s="34">
        <v>37.74216</v>
      </c>
      <c r="K9" s="34">
        <v>72.50145</v>
      </c>
      <c r="L9" s="9">
        <f t="shared" si="1"/>
        <v>192.09671624517517</v>
      </c>
      <c r="M9" s="70">
        <f aca="true" t="shared" si="16" ref="M9:M44">D9+G9+J9</f>
        <v>122.24216</v>
      </c>
      <c r="N9" s="70">
        <f aca="true" t="shared" si="17" ref="N9:N44">E9+H9+K9</f>
        <v>116.10145</v>
      </c>
      <c r="O9" s="9">
        <f t="shared" si="2"/>
        <v>94.97660218045885</v>
      </c>
      <c r="P9" s="34">
        <v>33</v>
      </c>
      <c r="Q9" s="34">
        <v>37.3</v>
      </c>
      <c r="R9" s="9">
        <f t="shared" si="3"/>
        <v>113.03030303030302</v>
      </c>
      <c r="S9" s="34">
        <v>35.3</v>
      </c>
      <c r="T9" s="34">
        <v>5.8</v>
      </c>
      <c r="U9" s="9">
        <f t="shared" si="4"/>
        <v>16.43059490084986</v>
      </c>
      <c r="V9" s="34">
        <v>37.1</v>
      </c>
      <c r="W9" s="34">
        <v>36.2</v>
      </c>
      <c r="X9" s="9">
        <f t="shared" si="8"/>
        <v>97.57412398921834</v>
      </c>
      <c r="Y9" s="70">
        <f aca="true" t="shared" si="18" ref="Y9:Y28">P9+S9+V9</f>
        <v>105.4</v>
      </c>
      <c r="Z9" s="70">
        <f aca="true" t="shared" si="19" ref="Z9:Z28">Q9+T9+W9</f>
        <v>79.3</v>
      </c>
      <c r="AA9" s="9">
        <f t="shared" si="5"/>
        <v>75.23719165085389</v>
      </c>
      <c r="AB9" s="34"/>
      <c r="AC9" s="34"/>
      <c r="AD9" s="9" t="e">
        <f t="shared" si="9"/>
        <v>#DIV/0!</v>
      </c>
      <c r="AE9" s="34"/>
      <c r="AF9" s="34"/>
      <c r="AG9" s="9" t="e">
        <f t="shared" si="10"/>
        <v>#DIV/0!</v>
      </c>
      <c r="AH9" s="34"/>
      <c r="AI9" s="34"/>
      <c r="AJ9" s="9" t="e">
        <f t="shared" si="11"/>
        <v>#DIV/0!</v>
      </c>
      <c r="AK9" s="70">
        <f aca="true" t="shared" si="20" ref="AK9:AK42">AB9+AE9+AH9</f>
        <v>0</v>
      </c>
      <c r="AL9" s="70">
        <f aca="true" t="shared" si="21" ref="AL9:AL42">AC9+AF9+AI9</f>
        <v>0</v>
      </c>
      <c r="AM9" s="9" t="e">
        <f>AL9/AK9*100</f>
        <v>#DIV/0!</v>
      </c>
      <c r="AN9" s="34"/>
      <c r="AO9" s="34"/>
      <c r="AP9" s="34"/>
      <c r="AQ9" s="34"/>
      <c r="AR9" s="34"/>
      <c r="AS9" s="34"/>
      <c r="AT9" s="57">
        <f aca="true" t="shared" si="22" ref="AT9:AT42">M9+Y9+AK9+AN9+AP9+AR9</f>
        <v>227.64216</v>
      </c>
      <c r="AU9" s="57">
        <f aca="true" t="shared" si="23" ref="AU9:AU42">N9+Z9+AL9+AO9+AQ9+AS9</f>
        <v>195.40145</v>
      </c>
      <c r="AV9" s="9">
        <f t="shared" si="6"/>
        <v>85.83710943526455</v>
      </c>
      <c r="AW9" s="57">
        <f aca="true" t="shared" si="24" ref="AW9:AW44">AT9-AU9</f>
        <v>32.24070999999998</v>
      </c>
      <c r="AX9" s="15">
        <f t="shared" si="12"/>
        <v>32.44070999999997</v>
      </c>
      <c r="AY9" s="19">
        <f t="shared" si="13"/>
        <v>227.64216</v>
      </c>
      <c r="AZ9" s="19">
        <f t="shared" si="14"/>
        <v>195.40145</v>
      </c>
      <c r="BA9" s="38">
        <f t="shared" si="15"/>
        <v>32.44070999999997</v>
      </c>
    </row>
    <row r="10" spans="1:53" ht="34.5" customHeight="1">
      <c r="A10" s="11" t="s">
        <v>7</v>
      </c>
      <c r="B10" s="60" t="s">
        <v>81</v>
      </c>
      <c r="C10" s="83">
        <v>0</v>
      </c>
      <c r="D10" s="34">
        <v>333.7</v>
      </c>
      <c r="E10" s="34">
        <v>333.7</v>
      </c>
      <c r="F10" s="101">
        <f>E10/D10*100</f>
        <v>100</v>
      </c>
      <c r="G10" s="34">
        <v>333.7</v>
      </c>
      <c r="H10" s="34">
        <v>333.7</v>
      </c>
      <c r="I10" s="9">
        <f t="shared" si="7"/>
        <v>100</v>
      </c>
      <c r="J10" s="34">
        <v>321.6</v>
      </c>
      <c r="K10" s="34">
        <v>321.6</v>
      </c>
      <c r="L10" s="9">
        <f t="shared" si="1"/>
        <v>100</v>
      </c>
      <c r="M10" s="70">
        <f t="shared" si="16"/>
        <v>989</v>
      </c>
      <c r="N10" s="70">
        <f t="shared" si="17"/>
        <v>989</v>
      </c>
      <c r="O10" s="9">
        <f t="shared" si="2"/>
        <v>100</v>
      </c>
      <c r="P10" s="34">
        <v>321.6</v>
      </c>
      <c r="Q10" s="34">
        <v>321.6</v>
      </c>
      <c r="R10" s="9">
        <f t="shared" si="3"/>
        <v>100</v>
      </c>
      <c r="S10" s="34">
        <v>93.2</v>
      </c>
      <c r="T10" s="34">
        <v>93.2</v>
      </c>
      <c r="U10" s="9">
        <f t="shared" si="4"/>
        <v>100</v>
      </c>
      <c r="V10" s="34">
        <v>58.2</v>
      </c>
      <c r="W10" s="34">
        <v>58.2</v>
      </c>
      <c r="X10" s="9">
        <f t="shared" si="8"/>
        <v>100</v>
      </c>
      <c r="Y10" s="70">
        <f t="shared" si="18"/>
        <v>473</v>
      </c>
      <c r="Z10" s="70">
        <f t="shared" si="19"/>
        <v>473</v>
      </c>
      <c r="AA10" s="9">
        <f t="shared" si="5"/>
        <v>100</v>
      </c>
      <c r="AB10" s="34"/>
      <c r="AC10" s="34"/>
      <c r="AD10" s="9" t="e">
        <f t="shared" si="9"/>
        <v>#DIV/0!</v>
      </c>
      <c r="AE10" s="34"/>
      <c r="AF10" s="34"/>
      <c r="AG10" s="9" t="e">
        <f t="shared" si="10"/>
        <v>#DIV/0!</v>
      </c>
      <c r="AH10" s="34"/>
      <c r="AI10" s="34"/>
      <c r="AJ10" s="9" t="e">
        <f t="shared" si="11"/>
        <v>#DIV/0!</v>
      </c>
      <c r="AK10" s="70">
        <f t="shared" si="20"/>
        <v>0</v>
      </c>
      <c r="AL10" s="70">
        <f t="shared" si="21"/>
        <v>0</v>
      </c>
      <c r="AM10" s="106">
        <v>0</v>
      </c>
      <c r="AN10" s="34"/>
      <c r="AO10" s="34"/>
      <c r="AP10" s="34"/>
      <c r="AQ10" s="34"/>
      <c r="AR10" s="34"/>
      <c r="AS10" s="34"/>
      <c r="AT10" s="57">
        <f t="shared" si="22"/>
        <v>1462</v>
      </c>
      <c r="AU10" s="57">
        <f t="shared" si="23"/>
        <v>1462</v>
      </c>
      <c r="AV10" s="101">
        <f t="shared" si="6"/>
        <v>100</v>
      </c>
      <c r="AW10" s="57">
        <f t="shared" si="24"/>
        <v>0</v>
      </c>
      <c r="AX10" s="15">
        <f t="shared" si="12"/>
        <v>0</v>
      </c>
      <c r="AY10" s="19">
        <f t="shared" si="13"/>
        <v>1462</v>
      </c>
      <c r="AZ10" s="19">
        <f t="shared" si="14"/>
        <v>1462</v>
      </c>
      <c r="BA10" s="38">
        <f t="shared" si="15"/>
        <v>0</v>
      </c>
    </row>
    <row r="11" spans="1:53" ht="34.5" customHeight="1">
      <c r="A11" s="11" t="s">
        <v>8</v>
      </c>
      <c r="B11" s="56" t="s">
        <v>50</v>
      </c>
      <c r="C11" s="83">
        <v>-3.2</v>
      </c>
      <c r="D11" s="34">
        <f>9.2+83.8</f>
        <v>93</v>
      </c>
      <c r="E11" s="34">
        <f>9.2+21.2</f>
        <v>30.4</v>
      </c>
      <c r="F11" s="9">
        <f>E11/D11*100</f>
        <v>32.68817204301075</v>
      </c>
      <c r="G11" s="34">
        <f>16.4+123.2</f>
        <v>139.6</v>
      </c>
      <c r="H11" s="34">
        <f>17.4+172.6</f>
        <v>190</v>
      </c>
      <c r="I11" s="9">
        <f t="shared" si="7"/>
        <v>136.1031518624642</v>
      </c>
      <c r="J11" s="34">
        <v>145.4</v>
      </c>
      <c r="K11" s="34">
        <v>137.6</v>
      </c>
      <c r="L11" s="9">
        <f t="shared" si="1"/>
        <v>94.63548830811554</v>
      </c>
      <c r="M11" s="70">
        <f t="shared" si="16"/>
        <v>378</v>
      </c>
      <c r="N11" s="70">
        <f t="shared" si="17"/>
        <v>358</v>
      </c>
      <c r="O11" s="9">
        <f t="shared" si="2"/>
        <v>94.70899470899471</v>
      </c>
      <c r="P11" s="34">
        <v>87.3</v>
      </c>
      <c r="Q11" s="34">
        <v>102.3</v>
      </c>
      <c r="R11" s="9">
        <f t="shared" si="3"/>
        <v>117.18213058419245</v>
      </c>
      <c r="S11" s="34">
        <f>6+70.9</f>
        <v>76.9</v>
      </c>
      <c r="T11" s="34">
        <f>3.5+68.9</f>
        <v>72.4</v>
      </c>
      <c r="U11" s="9">
        <f t="shared" si="4"/>
        <v>94.148244473342</v>
      </c>
      <c r="V11" s="34">
        <v>77.4</v>
      </c>
      <c r="W11" s="34">
        <v>89.9</v>
      </c>
      <c r="X11" s="9">
        <f t="shared" si="8"/>
        <v>116.14987080103359</v>
      </c>
      <c r="Y11" s="70">
        <f t="shared" si="18"/>
        <v>241.6</v>
      </c>
      <c r="Z11" s="70">
        <f t="shared" si="19"/>
        <v>264.6</v>
      </c>
      <c r="AA11" s="9">
        <f t="shared" si="5"/>
        <v>109.51986754966889</v>
      </c>
      <c r="AB11" s="34"/>
      <c r="AC11" s="34"/>
      <c r="AD11" s="9" t="e">
        <f t="shared" si="9"/>
        <v>#DIV/0!</v>
      </c>
      <c r="AE11" s="34"/>
      <c r="AF11" s="34"/>
      <c r="AG11" s="9" t="e">
        <f t="shared" si="10"/>
        <v>#DIV/0!</v>
      </c>
      <c r="AH11" s="34"/>
      <c r="AI11" s="34"/>
      <c r="AJ11" s="9" t="e">
        <f t="shared" si="11"/>
        <v>#DIV/0!</v>
      </c>
      <c r="AK11" s="70">
        <f t="shared" si="20"/>
        <v>0</v>
      </c>
      <c r="AL11" s="70">
        <f t="shared" si="21"/>
        <v>0</v>
      </c>
      <c r="AM11" s="9" t="e">
        <f aca="true" t="shared" si="25" ref="AM11:AM28">AL11/AK11*100</f>
        <v>#DIV/0!</v>
      </c>
      <c r="AN11" s="34"/>
      <c r="AO11" s="34"/>
      <c r="AP11" s="34"/>
      <c r="AQ11" s="34"/>
      <c r="AR11" s="34"/>
      <c r="AS11" s="34"/>
      <c r="AT11" s="57">
        <f t="shared" si="22"/>
        <v>619.6</v>
      </c>
      <c r="AU11" s="57">
        <f t="shared" si="23"/>
        <v>622.6</v>
      </c>
      <c r="AV11" s="9">
        <f t="shared" si="6"/>
        <v>100.48418334409297</v>
      </c>
      <c r="AW11" s="57">
        <f t="shared" si="24"/>
        <v>-3</v>
      </c>
      <c r="AX11" s="15">
        <f t="shared" si="12"/>
        <v>-6.2000000000000455</v>
      </c>
      <c r="AY11" s="19">
        <f t="shared" si="13"/>
        <v>619.6</v>
      </c>
      <c r="AZ11" s="19">
        <f t="shared" si="14"/>
        <v>622.6</v>
      </c>
      <c r="BA11" s="38">
        <f t="shared" si="15"/>
        <v>-6.2000000000000455</v>
      </c>
    </row>
    <row r="12" spans="1:53" ht="34.5" customHeight="1">
      <c r="A12" s="11" t="s">
        <v>9</v>
      </c>
      <c r="B12" s="56" t="s">
        <v>51</v>
      </c>
      <c r="C12" s="83">
        <v>-4.6</v>
      </c>
      <c r="D12" s="34">
        <v>43.2</v>
      </c>
      <c r="E12" s="34">
        <v>40.2</v>
      </c>
      <c r="F12" s="53">
        <f>E12/D12*100</f>
        <v>93.05555555555556</v>
      </c>
      <c r="G12" s="34">
        <v>137.2</v>
      </c>
      <c r="H12" s="34">
        <v>136.2</v>
      </c>
      <c r="I12" s="9">
        <f t="shared" si="7"/>
        <v>99.27113702623906</v>
      </c>
      <c r="J12" s="34">
        <v>117.5</v>
      </c>
      <c r="K12" s="34">
        <v>103</v>
      </c>
      <c r="L12" s="9">
        <f t="shared" si="1"/>
        <v>87.65957446808511</v>
      </c>
      <c r="M12" s="70">
        <f t="shared" si="16"/>
        <v>297.9</v>
      </c>
      <c r="N12" s="70">
        <f t="shared" si="17"/>
        <v>279.4</v>
      </c>
      <c r="O12" s="9">
        <f t="shared" si="2"/>
        <v>93.78986236992279</v>
      </c>
      <c r="P12" s="34">
        <v>74.1</v>
      </c>
      <c r="Q12" s="34">
        <v>66</v>
      </c>
      <c r="R12" s="9">
        <f t="shared" si="3"/>
        <v>89.06882591093118</v>
      </c>
      <c r="S12" s="34">
        <v>95.4</v>
      </c>
      <c r="T12" s="34">
        <v>40.6</v>
      </c>
      <c r="U12" s="9">
        <f t="shared" si="4"/>
        <v>42.55765199161425</v>
      </c>
      <c r="V12" s="34">
        <v>78.8</v>
      </c>
      <c r="W12" s="34">
        <v>85.5</v>
      </c>
      <c r="X12" s="9">
        <f t="shared" si="8"/>
        <v>108.502538071066</v>
      </c>
      <c r="Y12" s="70">
        <f t="shared" si="18"/>
        <v>248.3</v>
      </c>
      <c r="Z12" s="70">
        <f t="shared" si="19"/>
        <v>192.1</v>
      </c>
      <c r="AA12" s="9">
        <f t="shared" si="5"/>
        <v>77.36608940797421</v>
      </c>
      <c r="AB12" s="34"/>
      <c r="AC12" s="34"/>
      <c r="AD12" s="9" t="e">
        <f t="shared" si="9"/>
        <v>#DIV/0!</v>
      </c>
      <c r="AE12" s="34"/>
      <c r="AF12" s="34"/>
      <c r="AG12" s="9" t="e">
        <f t="shared" si="10"/>
        <v>#DIV/0!</v>
      </c>
      <c r="AH12" s="34"/>
      <c r="AI12" s="34"/>
      <c r="AJ12" s="9" t="e">
        <f t="shared" si="11"/>
        <v>#DIV/0!</v>
      </c>
      <c r="AK12" s="70">
        <f t="shared" si="20"/>
        <v>0</v>
      </c>
      <c r="AL12" s="70">
        <f t="shared" si="21"/>
        <v>0</v>
      </c>
      <c r="AM12" s="9" t="e">
        <f t="shared" si="25"/>
        <v>#DIV/0!</v>
      </c>
      <c r="AN12" s="34"/>
      <c r="AO12" s="34"/>
      <c r="AP12" s="34"/>
      <c r="AQ12" s="34"/>
      <c r="AR12" s="34"/>
      <c r="AS12" s="34"/>
      <c r="AT12" s="57">
        <f t="shared" si="22"/>
        <v>546.2</v>
      </c>
      <c r="AU12" s="57">
        <f t="shared" si="23"/>
        <v>471.5</v>
      </c>
      <c r="AV12" s="9">
        <f t="shared" si="6"/>
        <v>86.32369095569388</v>
      </c>
      <c r="AW12" s="57">
        <f t="shared" si="24"/>
        <v>74.70000000000005</v>
      </c>
      <c r="AX12" s="15">
        <f t="shared" si="12"/>
        <v>70.10000000000002</v>
      </c>
      <c r="AY12" s="19">
        <f t="shared" si="13"/>
        <v>546.2</v>
      </c>
      <c r="AZ12" s="19">
        <f t="shared" si="14"/>
        <v>471.5</v>
      </c>
      <c r="BA12" s="38">
        <f t="shared" si="15"/>
        <v>70.10000000000002</v>
      </c>
    </row>
    <row r="13" spans="1:53" ht="34.5" customHeight="1">
      <c r="A13" s="11" t="s">
        <v>10</v>
      </c>
      <c r="B13" s="56" t="s">
        <v>52</v>
      </c>
      <c r="C13" s="83">
        <v>-3.2</v>
      </c>
      <c r="D13" s="34">
        <v>98.4</v>
      </c>
      <c r="E13" s="34">
        <v>88.8</v>
      </c>
      <c r="F13" s="9">
        <f aca="true" t="shared" si="26" ref="F13:F23">E13/D13*100</f>
        <v>90.24390243902438</v>
      </c>
      <c r="G13" s="34">
        <v>115.5</v>
      </c>
      <c r="H13" s="34">
        <v>112.8</v>
      </c>
      <c r="I13" s="9">
        <f t="shared" si="7"/>
        <v>97.66233766233766</v>
      </c>
      <c r="J13" s="34">
        <v>113.18</v>
      </c>
      <c r="K13" s="34">
        <v>115.44</v>
      </c>
      <c r="L13" s="9">
        <f t="shared" si="1"/>
        <v>101.99681922601165</v>
      </c>
      <c r="M13" s="70">
        <f t="shared" si="16"/>
        <v>327.08000000000004</v>
      </c>
      <c r="N13" s="70">
        <f t="shared" si="17"/>
        <v>317.03999999999996</v>
      </c>
      <c r="O13" s="9">
        <f t="shared" si="2"/>
        <v>96.93041457747339</v>
      </c>
      <c r="P13" s="34">
        <v>69.6</v>
      </c>
      <c r="Q13" s="34">
        <v>18.3</v>
      </c>
      <c r="R13" s="9">
        <f t="shared" si="3"/>
        <v>26.29310344827587</v>
      </c>
      <c r="S13" s="34">
        <v>69.6</v>
      </c>
      <c r="T13" s="34">
        <v>59.9</v>
      </c>
      <c r="U13" s="9">
        <f t="shared" si="4"/>
        <v>86.06321839080461</v>
      </c>
      <c r="V13" s="34">
        <v>83.4</v>
      </c>
      <c r="W13" s="34">
        <v>149.9</v>
      </c>
      <c r="X13" s="9">
        <f t="shared" si="8"/>
        <v>179.73621103117506</v>
      </c>
      <c r="Y13" s="70">
        <f t="shared" si="18"/>
        <v>222.6</v>
      </c>
      <c r="Z13" s="70">
        <f t="shared" si="19"/>
        <v>228.10000000000002</v>
      </c>
      <c r="AA13" s="9">
        <f t="shared" si="5"/>
        <v>102.47079964061096</v>
      </c>
      <c r="AB13" s="34"/>
      <c r="AC13" s="34"/>
      <c r="AD13" s="9" t="e">
        <f t="shared" si="9"/>
        <v>#DIV/0!</v>
      </c>
      <c r="AE13" s="34"/>
      <c r="AF13" s="34"/>
      <c r="AG13" s="9" t="e">
        <f t="shared" si="10"/>
        <v>#DIV/0!</v>
      </c>
      <c r="AH13" s="34"/>
      <c r="AI13" s="34"/>
      <c r="AJ13" s="9" t="e">
        <f t="shared" si="11"/>
        <v>#DIV/0!</v>
      </c>
      <c r="AK13" s="70">
        <f t="shared" si="20"/>
        <v>0</v>
      </c>
      <c r="AL13" s="70">
        <f t="shared" si="21"/>
        <v>0</v>
      </c>
      <c r="AM13" s="9" t="e">
        <f t="shared" si="25"/>
        <v>#DIV/0!</v>
      </c>
      <c r="AN13" s="34"/>
      <c r="AO13" s="34"/>
      <c r="AP13" s="34"/>
      <c r="AQ13" s="34"/>
      <c r="AR13" s="34"/>
      <c r="AS13" s="34"/>
      <c r="AT13" s="57">
        <f t="shared" si="22"/>
        <v>549.6800000000001</v>
      </c>
      <c r="AU13" s="57">
        <f t="shared" si="23"/>
        <v>545.14</v>
      </c>
      <c r="AV13" s="9">
        <f t="shared" si="6"/>
        <v>99.17406491049337</v>
      </c>
      <c r="AW13" s="57">
        <f t="shared" si="24"/>
        <v>4.540000000000077</v>
      </c>
      <c r="AX13" s="15">
        <f t="shared" si="12"/>
        <v>1.3400000000000318</v>
      </c>
      <c r="AY13" s="19">
        <f t="shared" si="13"/>
        <v>549.6800000000001</v>
      </c>
      <c r="AZ13" s="19">
        <f t="shared" si="14"/>
        <v>545.14</v>
      </c>
      <c r="BA13" s="38">
        <f t="shared" si="15"/>
        <v>1.3400000000000318</v>
      </c>
    </row>
    <row r="14" spans="1:53" ht="34.5" customHeight="1">
      <c r="A14" s="11" t="s">
        <v>11</v>
      </c>
      <c r="B14" s="56" t="s">
        <v>82</v>
      </c>
      <c r="C14" s="83">
        <v>-33.2</v>
      </c>
      <c r="D14" s="34">
        <v>25.9</v>
      </c>
      <c r="E14" s="34">
        <v>15</v>
      </c>
      <c r="F14" s="9">
        <f t="shared" si="26"/>
        <v>57.91505791505792</v>
      </c>
      <c r="G14" s="34">
        <v>22.7</v>
      </c>
      <c r="H14" s="34">
        <v>20</v>
      </c>
      <c r="I14" s="9">
        <f t="shared" si="7"/>
        <v>88.1057268722467</v>
      </c>
      <c r="J14" s="34">
        <v>23.6</v>
      </c>
      <c r="K14" s="34">
        <v>20</v>
      </c>
      <c r="L14" s="9">
        <f t="shared" si="1"/>
        <v>84.7457627118644</v>
      </c>
      <c r="M14" s="70">
        <f t="shared" si="16"/>
        <v>72.19999999999999</v>
      </c>
      <c r="N14" s="70">
        <f t="shared" si="17"/>
        <v>55</v>
      </c>
      <c r="O14" s="9">
        <f t="shared" si="2"/>
        <v>76.17728531855957</v>
      </c>
      <c r="P14" s="34">
        <v>21.1</v>
      </c>
      <c r="Q14" s="34">
        <v>17.5</v>
      </c>
      <c r="R14" s="9">
        <f t="shared" si="3"/>
        <v>82.93838862559241</v>
      </c>
      <c r="S14" s="34">
        <v>12.8</v>
      </c>
      <c r="T14" s="34">
        <v>10.7</v>
      </c>
      <c r="U14" s="9">
        <f t="shared" si="4"/>
        <v>83.59374999999999</v>
      </c>
      <c r="V14" s="34">
        <v>15.2</v>
      </c>
      <c r="W14" s="34">
        <v>14.5</v>
      </c>
      <c r="X14" s="9">
        <f t="shared" si="8"/>
        <v>95.39473684210526</v>
      </c>
      <c r="Y14" s="70">
        <f t="shared" si="18"/>
        <v>49.10000000000001</v>
      </c>
      <c r="Z14" s="70">
        <f t="shared" si="19"/>
        <v>42.7</v>
      </c>
      <c r="AA14" s="9">
        <f t="shared" si="5"/>
        <v>86.96537678207739</v>
      </c>
      <c r="AB14" s="34"/>
      <c r="AC14" s="34"/>
      <c r="AD14" s="9" t="e">
        <f t="shared" si="9"/>
        <v>#DIV/0!</v>
      </c>
      <c r="AE14" s="34"/>
      <c r="AF14" s="34"/>
      <c r="AG14" s="9" t="e">
        <f t="shared" si="10"/>
        <v>#DIV/0!</v>
      </c>
      <c r="AH14" s="34"/>
      <c r="AI14" s="34"/>
      <c r="AJ14" s="9" t="e">
        <f t="shared" si="11"/>
        <v>#DIV/0!</v>
      </c>
      <c r="AK14" s="70">
        <f t="shared" si="20"/>
        <v>0</v>
      </c>
      <c r="AL14" s="70">
        <f t="shared" si="21"/>
        <v>0</v>
      </c>
      <c r="AM14" s="9" t="e">
        <f t="shared" si="25"/>
        <v>#DIV/0!</v>
      </c>
      <c r="AN14" s="34"/>
      <c r="AO14" s="34"/>
      <c r="AP14" s="34"/>
      <c r="AQ14" s="34"/>
      <c r="AR14" s="34"/>
      <c r="AS14" s="34"/>
      <c r="AT14" s="57">
        <f t="shared" si="22"/>
        <v>121.3</v>
      </c>
      <c r="AU14" s="57">
        <f t="shared" si="23"/>
        <v>97.7</v>
      </c>
      <c r="AV14" s="9">
        <f t="shared" si="6"/>
        <v>80.54410552349547</v>
      </c>
      <c r="AW14" s="57">
        <f t="shared" si="24"/>
        <v>23.599999999999994</v>
      </c>
      <c r="AX14" s="15">
        <f t="shared" si="12"/>
        <v>-9.600000000000009</v>
      </c>
      <c r="AY14" s="19">
        <f t="shared" si="13"/>
        <v>121.3</v>
      </c>
      <c r="AZ14" s="19">
        <f t="shared" si="14"/>
        <v>97.7</v>
      </c>
      <c r="BA14" s="38">
        <f t="shared" si="15"/>
        <v>-9.600000000000009</v>
      </c>
    </row>
    <row r="15" spans="1:53" ht="34.5" customHeight="1">
      <c r="A15" s="11" t="s">
        <v>12</v>
      </c>
      <c r="B15" s="56" t="s">
        <v>53</v>
      </c>
      <c r="C15" s="83">
        <f>7.8+(-21.1)</f>
        <v>-13.3</v>
      </c>
      <c r="D15" s="34">
        <f>48.4+44.8</f>
        <v>93.19999999999999</v>
      </c>
      <c r="E15" s="34">
        <f>41.9+5.2</f>
        <v>47.1</v>
      </c>
      <c r="F15" s="9">
        <f t="shared" si="26"/>
        <v>50.536480686695285</v>
      </c>
      <c r="G15" s="34">
        <f>42.5+48.8</f>
        <v>91.3</v>
      </c>
      <c r="H15" s="34">
        <f>40+56.5</f>
        <v>96.5</v>
      </c>
      <c r="I15" s="9">
        <f t="shared" si="7"/>
        <v>105.69550930996714</v>
      </c>
      <c r="J15" s="34">
        <v>77.7</v>
      </c>
      <c r="K15" s="34">
        <v>80.4</v>
      </c>
      <c r="L15" s="9">
        <f t="shared" si="1"/>
        <v>103.47490347490347</v>
      </c>
      <c r="M15" s="70">
        <f t="shared" si="16"/>
        <v>262.2</v>
      </c>
      <c r="N15" s="70">
        <f t="shared" si="17"/>
        <v>224</v>
      </c>
      <c r="O15" s="9">
        <f t="shared" si="2"/>
        <v>85.43096872616324</v>
      </c>
      <c r="P15" s="34">
        <f>8.5+36.6</f>
        <v>45.1</v>
      </c>
      <c r="Q15" s="34">
        <f>15.4+46.9</f>
        <v>62.3</v>
      </c>
      <c r="R15" s="9">
        <f t="shared" si="3"/>
        <v>138.13747228381374</v>
      </c>
      <c r="S15" s="34">
        <f>6.9+40.2</f>
        <v>47.1</v>
      </c>
      <c r="T15" s="34">
        <f>7.4+39.3</f>
        <v>46.699999999999996</v>
      </c>
      <c r="U15" s="9">
        <f t="shared" si="4"/>
        <v>99.15074309978768</v>
      </c>
      <c r="V15" s="34">
        <v>50.4</v>
      </c>
      <c r="W15" s="34">
        <v>52.8</v>
      </c>
      <c r="X15" s="9">
        <f t="shared" si="8"/>
        <v>104.76190476190477</v>
      </c>
      <c r="Y15" s="70">
        <f t="shared" si="18"/>
        <v>142.6</v>
      </c>
      <c r="Z15" s="70">
        <f t="shared" si="19"/>
        <v>161.8</v>
      </c>
      <c r="AA15" s="9">
        <f t="shared" si="5"/>
        <v>113.46423562412345</v>
      </c>
      <c r="AB15" s="34"/>
      <c r="AC15" s="34"/>
      <c r="AD15" s="9" t="e">
        <f t="shared" si="9"/>
        <v>#DIV/0!</v>
      </c>
      <c r="AE15" s="34"/>
      <c r="AF15" s="34"/>
      <c r="AG15" s="9" t="e">
        <f t="shared" si="10"/>
        <v>#DIV/0!</v>
      </c>
      <c r="AH15" s="34"/>
      <c r="AI15" s="34"/>
      <c r="AJ15" s="9" t="e">
        <f t="shared" si="11"/>
        <v>#DIV/0!</v>
      </c>
      <c r="AK15" s="70">
        <f t="shared" si="20"/>
        <v>0</v>
      </c>
      <c r="AL15" s="70">
        <f t="shared" si="21"/>
        <v>0</v>
      </c>
      <c r="AM15" s="9" t="e">
        <f t="shared" si="25"/>
        <v>#DIV/0!</v>
      </c>
      <c r="AN15" s="34"/>
      <c r="AO15" s="34"/>
      <c r="AP15" s="34"/>
      <c r="AQ15" s="34"/>
      <c r="AR15" s="34"/>
      <c r="AS15" s="34"/>
      <c r="AT15" s="57">
        <f t="shared" si="22"/>
        <v>404.79999999999995</v>
      </c>
      <c r="AU15" s="57">
        <f t="shared" si="23"/>
        <v>385.8</v>
      </c>
      <c r="AV15" s="9">
        <f t="shared" si="6"/>
        <v>95.30632411067195</v>
      </c>
      <c r="AW15" s="57">
        <f t="shared" si="24"/>
        <v>18.999999999999943</v>
      </c>
      <c r="AX15" s="15">
        <f t="shared" si="12"/>
        <v>5.699999999999932</v>
      </c>
      <c r="AY15" s="19">
        <f t="shared" si="13"/>
        <v>404.79999999999995</v>
      </c>
      <c r="AZ15" s="19">
        <f t="shared" si="14"/>
        <v>385.8</v>
      </c>
      <c r="BA15" s="38">
        <f t="shared" si="15"/>
        <v>5.699999999999932</v>
      </c>
    </row>
    <row r="16" spans="1:53" ht="34.5" customHeight="1">
      <c r="A16" s="11" t="s">
        <v>13</v>
      </c>
      <c r="B16" s="56" t="s">
        <v>54</v>
      </c>
      <c r="C16" s="89">
        <v>-6.4</v>
      </c>
      <c r="D16" s="34">
        <v>10.5</v>
      </c>
      <c r="E16" s="34">
        <v>7.4</v>
      </c>
      <c r="F16" s="9">
        <f t="shared" si="26"/>
        <v>70.47619047619048</v>
      </c>
      <c r="G16" s="34">
        <v>13.9</v>
      </c>
      <c r="H16" s="34">
        <v>16.2</v>
      </c>
      <c r="I16" s="9">
        <f t="shared" si="7"/>
        <v>116.54676258992805</v>
      </c>
      <c r="J16" s="34">
        <v>15.5</v>
      </c>
      <c r="K16" s="34">
        <v>15.3</v>
      </c>
      <c r="L16" s="9">
        <f t="shared" si="1"/>
        <v>98.70967741935485</v>
      </c>
      <c r="M16" s="70">
        <f t="shared" si="16"/>
        <v>39.9</v>
      </c>
      <c r="N16" s="70">
        <f t="shared" si="17"/>
        <v>38.900000000000006</v>
      </c>
      <c r="O16" s="9">
        <f t="shared" si="2"/>
        <v>97.49373433583962</v>
      </c>
      <c r="P16" s="34">
        <v>10.991</v>
      </c>
      <c r="Q16" s="34">
        <v>5.927</v>
      </c>
      <c r="R16" s="9">
        <f t="shared" si="3"/>
        <v>53.92593940496771</v>
      </c>
      <c r="S16" s="34">
        <v>6</v>
      </c>
      <c r="T16" s="34">
        <v>5.4</v>
      </c>
      <c r="U16" s="9">
        <f t="shared" si="4"/>
        <v>90</v>
      </c>
      <c r="V16" s="34">
        <v>7.6</v>
      </c>
      <c r="W16" s="34">
        <v>9.8</v>
      </c>
      <c r="X16" s="9">
        <f t="shared" si="8"/>
        <v>128.94736842105266</v>
      </c>
      <c r="Y16" s="70">
        <f t="shared" si="18"/>
        <v>24.591</v>
      </c>
      <c r="Z16" s="70">
        <f t="shared" si="19"/>
        <v>21.127000000000002</v>
      </c>
      <c r="AA16" s="9">
        <f t="shared" si="5"/>
        <v>85.91354560611606</v>
      </c>
      <c r="AB16" s="34"/>
      <c r="AC16" s="34"/>
      <c r="AD16" s="9" t="e">
        <f t="shared" si="9"/>
        <v>#DIV/0!</v>
      </c>
      <c r="AE16" s="34"/>
      <c r="AF16" s="34"/>
      <c r="AG16" s="9" t="e">
        <f t="shared" si="10"/>
        <v>#DIV/0!</v>
      </c>
      <c r="AH16" s="34"/>
      <c r="AI16" s="34"/>
      <c r="AJ16" s="9" t="e">
        <f t="shared" si="11"/>
        <v>#DIV/0!</v>
      </c>
      <c r="AK16" s="70">
        <f t="shared" si="20"/>
        <v>0</v>
      </c>
      <c r="AL16" s="70">
        <f t="shared" si="21"/>
        <v>0</v>
      </c>
      <c r="AM16" s="9" t="e">
        <f t="shared" si="25"/>
        <v>#DIV/0!</v>
      </c>
      <c r="AN16" s="34"/>
      <c r="AO16" s="34"/>
      <c r="AP16" s="34"/>
      <c r="AQ16" s="34"/>
      <c r="AR16" s="34"/>
      <c r="AS16" s="34"/>
      <c r="AT16" s="57">
        <f t="shared" si="22"/>
        <v>64.491</v>
      </c>
      <c r="AU16" s="57">
        <f t="shared" si="23"/>
        <v>60.02700000000001</v>
      </c>
      <c r="AV16" s="9">
        <f t="shared" si="6"/>
        <v>93.07810392147744</v>
      </c>
      <c r="AW16" s="57">
        <f t="shared" si="24"/>
        <v>4.4639999999999915</v>
      </c>
      <c r="AX16" s="15">
        <f t="shared" si="12"/>
        <v>-1.936000000000007</v>
      </c>
      <c r="AY16" s="19">
        <f t="shared" si="13"/>
        <v>64.491</v>
      </c>
      <c r="AZ16" s="19">
        <f t="shared" si="14"/>
        <v>60.02700000000001</v>
      </c>
      <c r="BA16" s="38">
        <f t="shared" si="15"/>
        <v>-1.936000000000007</v>
      </c>
    </row>
    <row r="17" spans="1:53" ht="34.5" customHeight="1">
      <c r="A17" s="11" t="s">
        <v>14</v>
      </c>
      <c r="B17" s="60" t="s">
        <v>83</v>
      </c>
      <c r="C17" s="89">
        <v>12.3</v>
      </c>
      <c r="D17" s="34">
        <f>17.1+0.6</f>
        <v>17.700000000000003</v>
      </c>
      <c r="E17" s="34">
        <v>0.6</v>
      </c>
      <c r="F17" s="9">
        <f t="shared" si="26"/>
        <v>3.3898305084745757</v>
      </c>
      <c r="G17" s="34">
        <f>17.4+16.4</f>
        <v>33.8</v>
      </c>
      <c r="H17" s="34">
        <f>17.4+3.5</f>
        <v>20.9</v>
      </c>
      <c r="I17" s="9">
        <f t="shared" si="7"/>
        <v>61.834319526627226</v>
      </c>
      <c r="J17" s="34">
        <f>16.4+87.2</f>
        <v>103.6</v>
      </c>
      <c r="K17" s="34">
        <f>28.6+87.2</f>
        <v>115.80000000000001</v>
      </c>
      <c r="L17" s="9">
        <f t="shared" si="1"/>
        <v>111.77606177606178</v>
      </c>
      <c r="M17" s="70">
        <f t="shared" si="16"/>
        <v>155.1</v>
      </c>
      <c r="N17" s="70">
        <f t="shared" si="17"/>
        <v>137.3</v>
      </c>
      <c r="O17" s="9">
        <f t="shared" si="2"/>
        <v>88.52353320438428</v>
      </c>
      <c r="P17" s="34">
        <f>6.3+28.3</f>
        <v>34.6</v>
      </c>
      <c r="Q17" s="34">
        <f>4.3+28.3</f>
        <v>32.6</v>
      </c>
      <c r="R17" s="9">
        <f t="shared" si="3"/>
        <v>94.21965317919076</v>
      </c>
      <c r="S17" s="34">
        <f>24.4+3.7</f>
        <v>28.099999999999998</v>
      </c>
      <c r="T17" s="34">
        <f>24.4+2.7</f>
        <v>27.099999999999998</v>
      </c>
      <c r="U17" s="9">
        <f t="shared" si="4"/>
        <v>96.44128113879003</v>
      </c>
      <c r="V17" s="34">
        <f>45.1+7.6</f>
        <v>52.7</v>
      </c>
      <c r="W17" s="34">
        <f>45.1+30.1</f>
        <v>75.2</v>
      </c>
      <c r="X17" s="9">
        <f t="shared" si="8"/>
        <v>142.69449715370018</v>
      </c>
      <c r="Y17" s="70">
        <f t="shared" si="18"/>
        <v>115.4</v>
      </c>
      <c r="Z17" s="70">
        <f t="shared" si="19"/>
        <v>134.9</v>
      </c>
      <c r="AA17" s="9">
        <f t="shared" si="5"/>
        <v>116.89774696707104</v>
      </c>
      <c r="AB17" s="34"/>
      <c r="AC17" s="34"/>
      <c r="AD17" s="9" t="e">
        <f t="shared" si="9"/>
        <v>#DIV/0!</v>
      </c>
      <c r="AE17" s="34"/>
      <c r="AF17" s="34"/>
      <c r="AG17" s="9" t="e">
        <f t="shared" si="10"/>
        <v>#DIV/0!</v>
      </c>
      <c r="AH17" s="34"/>
      <c r="AI17" s="34"/>
      <c r="AJ17" s="9" t="e">
        <f t="shared" si="11"/>
        <v>#DIV/0!</v>
      </c>
      <c r="AK17" s="70">
        <f t="shared" si="20"/>
        <v>0</v>
      </c>
      <c r="AL17" s="70">
        <f t="shared" si="21"/>
        <v>0</v>
      </c>
      <c r="AM17" s="9" t="e">
        <f t="shared" si="25"/>
        <v>#DIV/0!</v>
      </c>
      <c r="AN17" s="34"/>
      <c r="AO17" s="34"/>
      <c r="AP17" s="34"/>
      <c r="AQ17" s="34"/>
      <c r="AR17" s="34"/>
      <c r="AS17" s="34"/>
      <c r="AT17" s="57">
        <f>M17+Y17+AK17+AN17+AP17+AR17</f>
        <v>270.5</v>
      </c>
      <c r="AU17" s="57">
        <f t="shared" si="23"/>
        <v>272.20000000000005</v>
      </c>
      <c r="AV17" s="9">
        <f t="shared" si="6"/>
        <v>100.62846580406656</v>
      </c>
      <c r="AW17" s="57">
        <f t="shared" si="24"/>
        <v>-1.7000000000000455</v>
      </c>
      <c r="AX17" s="15">
        <f t="shared" si="12"/>
        <v>10.599999999999966</v>
      </c>
      <c r="AY17" s="19">
        <f t="shared" si="13"/>
        <v>270.5</v>
      </c>
      <c r="AZ17" s="19">
        <f t="shared" si="14"/>
        <v>272.20000000000005</v>
      </c>
      <c r="BA17" s="38">
        <f t="shared" si="15"/>
        <v>10.599999999999966</v>
      </c>
    </row>
    <row r="18" spans="1:53" ht="34.5" customHeight="1">
      <c r="A18" s="11" t="s">
        <v>15</v>
      </c>
      <c r="B18" s="60" t="s">
        <v>55</v>
      </c>
      <c r="C18" s="83">
        <v>0</v>
      </c>
      <c r="D18" s="34">
        <v>36.3</v>
      </c>
      <c r="E18" s="34">
        <v>34.8</v>
      </c>
      <c r="F18" s="9">
        <f t="shared" si="26"/>
        <v>95.86776859504133</v>
      </c>
      <c r="G18" s="34">
        <v>66.4</v>
      </c>
      <c r="H18" s="34">
        <v>65.4</v>
      </c>
      <c r="I18" s="9">
        <f t="shared" si="7"/>
        <v>98.49397590361446</v>
      </c>
      <c r="J18" s="34">
        <v>46.9</v>
      </c>
      <c r="K18" s="34">
        <v>48.4</v>
      </c>
      <c r="L18" s="9">
        <f t="shared" si="1"/>
        <v>103.19829424307036</v>
      </c>
      <c r="M18" s="70">
        <f t="shared" si="16"/>
        <v>149.6</v>
      </c>
      <c r="N18" s="70">
        <f t="shared" si="17"/>
        <v>148.6</v>
      </c>
      <c r="O18" s="9">
        <f t="shared" si="2"/>
        <v>99.33155080213903</v>
      </c>
      <c r="P18" s="34">
        <v>34.6</v>
      </c>
      <c r="Q18" s="34">
        <v>20.9</v>
      </c>
      <c r="R18" s="9">
        <f t="shared" si="3"/>
        <v>60.40462427745664</v>
      </c>
      <c r="S18" s="34">
        <v>16.4</v>
      </c>
      <c r="T18" s="34">
        <v>30.8</v>
      </c>
      <c r="U18" s="9">
        <f t="shared" si="4"/>
        <v>187.8048780487805</v>
      </c>
      <c r="V18" s="34">
        <v>24.6</v>
      </c>
      <c r="W18" s="34">
        <v>24.9</v>
      </c>
      <c r="X18" s="9">
        <f t="shared" si="8"/>
        <v>101.21951219512194</v>
      </c>
      <c r="Y18" s="70">
        <f t="shared" si="18"/>
        <v>75.6</v>
      </c>
      <c r="Z18" s="70">
        <f t="shared" si="19"/>
        <v>76.6</v>
      </c>
      <c r="AA18" s="9">
        <f t="shared" si="5"/>
        <v>101.32275132275133</v>
      </c>
      <c r="AB18" s="34"/>
      <c r="AC18" s="34"/>
      <c r="AD18" s="9" t="e">
        <f t="shared" si="9"/>
        <v>#DIV/0!</v>
      </c>
      <c r="AE18" s="34"/>
      <c r="AF18" s="34"/>
      <c r="AG18" s="84" t="e">
        <f t="shared" si="10"/>
        <v>#DIV/0!</v>
      </c>
      <c r="AH18" s="34"/>
      <c r="AI18" s="34"/>
      <c r="AJ18" s="9" t="e">
        <f t="shared" si="11"/>
        <v>#DIV/0!</v>
      </c>
      <c r="AK18" s="70">
        <f t="shared" si="20"/>
        <v>0</v>
      </c>
      <c r="AL18" s="70">
        <f t="shared" si="21"/>
        <v>0</v>
      </c>
      <c r="AM18" s="9" t="e">
        <f t="shared" si="25"/>
        <v>#DIV/0!</v>
      </c>
      <c r="AN18" s="34"/>
      <c r="AO18" s="34"/>
      <c r="AP18" s="34"/>
      <c r="AQ18" s="34"/>
      <c r="AR18" s="34"/>
      <c r="AS18" s="34"/>
      <c r="AT18" s="57">
        <f t="shared" si="22"/>
        <v>225.2</v>
      </c>
      <c r="AU18" s="57">
        <f t="shared" si="23"/>
        <v>225.2</v>
      </c>
      <c r="AV18" s="9">
        <f t="shared" si="6"/>
        <v>100</v>
      </c>
      <c r="AW18" s="57">
        <f t="shared" si="24"/>
        <v>0</v>
      </c>
      <c r="AX18" s="15">
        <f t="shared" si="12"/>
        <v>0</v>
      </c>
      <c r="AY18" s="19">
        <f t="shared" si="13"/>
        <v>225.2</v>
      </c>
      <c r="AZ18" s="19">
        <f t="shared" si="14"/>
        <v>225.2</v>
      </c>
      <c r="BA18" s="38">
        <f t="shared" si="15"/>
        <v>0</v>
      </c>
    </row>
    <row r="19" spans="1:53" ht="34.5" customHeight="1">
      <c r="A19" s="11" t="s">
        <v>16</v>
      </c>
      <c r="B19" s="56" t="s">
        <v>56</v>
      </c>
      <c r="C19" s="83">
        <v>0</v>
      </c>
      <c r="D19" s="34">
        <v>119.3</v>
      </c>
      <c r="E19" s="34">
        <v>26.8</v>
      </c>
      <c r="F19" s="53">
        <f t="shared" si="26"/>
        <v>22.464375523889355</v>
      </c>
      <c r="G19" s="34">
        <v>154.4</v>
      </c>
      <c r="H19" s="34">
        <v>246.3</v>
      </c>
      <c r="I19" s="9">
        <f t="shared" si="7"/>
        <v>159.52072538860105</v>
      </c>
      <c r="J19" s="34">
        <v>144</v>
      </c>
      <c r="K19" s="34">
        <v>144.6</v>
      </c>
      <c r="L19" s="9">
        <f t="shared" si="1"/>
        <v>100.41666666666667</v>
      </c>
      <c r="M19" s="70">
        <f t="shared" si="16"/>
        <v>417.7</v>
      </c>
      <c r="N19" s="70">
        <f t="shared" si="17"/>
        <v>417.70000000000005</v>
      </c>
      <c r="O19" s="9">
        <f t="shared" si="2"/>
        <v>100.00000000000003</v>
      </c>
      <c r="P19" s="34">
        <v>117.886</v>
      </c>
      <c r="Q19" s="34">
        <v>117.083</v>
      </c>
      <c r="R19" s="9">
        <f t="shared" si="3"/>
        <v>99.31883344926455</v>
      </c>
      <c r="S19" s="34">
        <v>97.8</v>
      </c>
      <c r="T19" s="34">
        <v>97.4</v>
      </c>
      <c r="U19" s="9">
        <f t="shared" si="4"/>
        <v>99.59100204498978</v>
      </c>
      <c r="V19" s="34">
        <v>103</v>
      </c>
      <c r="W19" s="34">
        <v>103.9</v>
      </c>
      <c r="X19" s="9">
        <f t="shared" si="8"/>
        <v>100.87378640776699</v>
      </c>
      <c r="Y19" s="70">
        <f t="shared" si="18"/>
        <v>318.686</v>
      </c>
      <c r="Z19" s="70">
        <f t="shared" si="19"/>
        <v>318.38300000000004</v>
      </c>
      <c r="AA19" s="9">
        <f t="shared" si="5"/>
        <v>99.90492208631696</v>
      </c>
      <c r="AB19" s="34"/>
      <c r="AC19" s="34"/>
      <c r="AD19" s="9" t="e">
        <f t="shared" si="9"/>
        <v>#DIV/0!</v>
      </c>
      <c r="AE19" s="34"/>
      <c r="AF19" s="34"/>
      <c r="AG19" s="9" t="e">
        <f t="shared" si="10"/>
        <v>#DIV/0!</v>
      </c>
      <c r="AH19" s="34"/>
      <c r="AI19" s="34"/>
      <c r="AJ19" s="9" t="e">
        <f t="shared" si="11"/>
        <v>#DIV/0!</v>
      </c>
      <c r="AK19" s="70">
        <f t="shared" si="20"/>
        <v>0</v>
      </c>
      <c r="AL19" s="70">
        <f t="shared" si="21"/>
        <v>0</v>
      </c>
      <c r="AM19" s="9" t="e">
        <f t="shared" si="25"/>
        <v>#DIV/0!</v>
      </c>
      <c r="AN19" s="34"/>
      <c r="AO19" s="34"/>
      <c r="AP19" s="34"/>
      <c r="AQ19" s="34"/>
      <c r="AR19" s="34"/>
      <c r="AS19" s="34"/>
      <c r="AT19" s="57">
        <f t="shared" si="22"/>
        <v>736.386</v>
      </c>
      <c r="AU19" s="57">
        <f t="shared" si="23"/>
        <v>736.0830000000001</v>
      </c>
      <c r="AV19" s="9">
        <f t="shared" si="6"/>
        <v>99.95885310149842</v>
      </c>
      <c r="AW19" s="57">
        <f t="shared" si="24"/>
        <v>0.3029999999998836</v>
      </c>
      <c r="AX19" s="15">
        <f t="shared" si="12"/>
        <v>0.3029999999998836</v>
      </c>
      <c r="AY19" s="19">
        <f t="shared" si="13"/>
        <v>736.386</v>
      </c>
      <c r="AZ19" s="19">
        <f t="shared" si="14"/>
        <v>736.0830000000001</v>
      </c>
      <c r="BA19" s="38">
        <f t="shared" si="15"/>
        <v>0.3029999999998836</v>
      </c>
    </row>
    <row r="20" spans="1:53" ht="34.5" customHeight="1">
      <c r="A20" s="11" t="s">
        <v>17</v>
      </c>
      <c r="B20" s="60" t="s">
        <v>57</v>
      </c>
      <c r="C20" s="90">
        <v>6</v>
      </c>
      <c r="D20" s="34">
        <v>19.3</v>
      </c>
      <c r="E20" s="34">
        <v>7.9</v>
      </c>
      <c r="F20" s="9">
        <f t="shared" si="26"/>
        <v>40.932642487046635</v>
      </c>
      <c r="G20" s="34">
        <v>46.5</v>
      </c>
      <c r="H20" s="34">
        <v>22.7</v>
      </c>
      <c r="I20" s="9">
        <f t="shared" si="7"/>
        <v>48.817204301075265</v>
      </c>
      <c r="J20" s="34">
        <v>30.3</v>
      </c>
      <c r="K20" s="34">
        <v>51</v>
      </c>
      <c r="L20" s="9">
        <f t="shared" si="1"/>
        <v>168.31683168316832</v>
      </c>
      <c r="M20" s="70">
        <f t="shared" si="16"/>
        <v>96.1</v>
      </c>
      <c r="N20" s="70">
        <f t="shared" si="17"/>
        <v>81.6</v>
      </c>
      <c r="O20" s="9">
        <f t="shared" si="2"/>
        <v>84.91155046826223</v>
      </c>
      <c r="P20" s="34">
        <v>22.2</v>
      </c>
      <c r="Q20" s="34">
        <v>19.53</v>
      </c>
      <c r="R20" s="9">
        <f t="shared" si="3"/>
        <v>87.97297297297298</v>
      </c>
      <c r="S20" s="34">
        <v>17.8</v>
      </c>
      <c r="T20" s="34">
        <v>20.8</v>
      </c>
      <c r="U20" s="9">
        <f t="shared" si="4"/>
        <v>116.85393258426966</v>
      </c>
      <c r="V20" s="34">
        <v>20.2</v>
      </c>
      <c r="W20" s="34">
        <v>29.1</v>
      </c>
      <c r="X20" s="9">
        <f t="shared" si="8"/>
        <v>144.05940594059408</v>
      </c>
      <c r="Y20" s="70">
        <f t="shared" si="18"/>
        <v>60.2</v>
      </c>
      <c r="Z20" s="70">
        <f t="shared" si="19"/>
        <v>69.43</v>
      </c>
      <c r="AA20" s="9">
        <f t="shared" si="5"/>
        <v>115.33222591362127</v>
      </c>
      <c r="AB20" s="34"/>
      <c r="AC20" s="34"/>
      <c r="AD20" s="9" t="e">
        <f t="shared" si="9"/>
        <v>#DIV/0!</v>
      </c>
      <c r="AE20" s="34"/>
      <c r="AF20" s="34"/>
      <c r="AG20" s="9" t="e">
        <f t="shared" si="10"/>
        <v>#DIV/0!</v>
      </c>
      <c r="AH20" s="34"/>
      <c r="AI20" s="34"/>
      <c r="AJ20" s="9" t="e">
        <f t="shared" si="11"/>
        <v>#DIV/0!</v>
      </c>
      <c r="AK20" s="70">
        <f t="shared" si="20"/>
        <v>0</v>
      </c>
      <c r="AL20" s="70">
        <f t="shared" si="21"/>
        <v>0</v>
      </c>
      <c r="AM20" s="9" t="e">
        <f t="shared" si="25"/>
        <v>#DIV/0!</v>
      </c>
      <c r="AN20" s="34"/>
      <c r="AO20" s="34"/>
      <c r="AP20" s="34"/>
      <c r="AQ20" s="34"/>
      <c r="AR20" s="34"/>
      <c r="AS20" s="34"/>
      <c r="AT20" s="57">
        <f t="shared" si="22"/>
        <v>156.3</v>
      </c>
      <c r="AU20" s="57">
        <f t="shared" si="23"/>
        <v>151.03</v>
      </c>
      <c r="AV20" s="9">
        <f t="shared" si="6"/>
        <v>96.62827895073576</v>
      </c>
      <c r="AW20" s="57">
        <f t="shared" si="24"/>
        <v>5.27000000000001</v>
      </c>
      <c r="AX20" s="15">
        <f t="shared" si="12"/>
        <v>11.27000000000001</v>
      </c>
      <c r="AY20" s="19">
        <f t="shared" si="13"/>
        <v>156.3</v>
      </c>
      <c r="AZ20" s="19">
        <f t="shared" si="14"/>
        <v>151.03</v>
      </c>
      <c r="BA20" s="38">
        <f t="shared" si="15"/>
        <v>11.27000000000001</v>
      </c>
    </row>
    <row r="21" spans="1:53" ht="34.5" customHeight="1">
      <c r="A21" s="11" t="s">
        <v>18</v>
      </c>
      <c r="B21" s="60" t="s">
        <v>58</v>
      </c>
      <c r="C21" s="87">
        <v>0</v>
      </c>
      <c r="D21" s="34">
        <v>1.3</v>
      </c>
      <c r="E21" s="34">
        <v>1.3</v>
      </c>
      <c r="F21" s="74">
        <f t="shared" si="26"/>
        <v>100</v>
      </c>
      <c r="G21" s="34">
        <v>1.3</v>
      </c>
      <c r="H21" s="34">
        <v>1.3</v>
      </c>
      <c r="I21" s="9">
        <f t="shared" si="7"/>
        <v>100</v>
      </c>
      <c r="J21" s="34">
        <v>1.129</v>
      </c>
      <c r="K21" s="34">
        <v>1.129</v>
      </c>
      <c r="L21" s="9">
        <f t="shared" si="1"/>
        <v>100</v>
      </c>
      <c r="M21" s="70">
        <f t="shared" si="16"/>
        <v>3.729</v>
      </c>
      <c r="N21" s="70">
        <f t="shared" si="17"/>
        <v>3.729</v>
      </c>
      <c r="O21" s="9">
        <f t="shared" si="2"/>
        <v>100</v>
      </c>
      <c r="P21" s="34">
        <v>0.815</v>
      </c>
      <c r="Q21" s="34">
        <v>0.815</v>
      </c>
      <c r="R21" s="9">
        <f t="shared" si="3"/>
        <v>100</v>
      </c>
      <c r="S21" s="34">
        <v>0.9</v>
      </c>
      <c r="T21" s="34">
        <v>0.9</v>
      </c>
      <c r="U21" s="9">
        <f t="shared" si="4"/>
        <v>100</v>
      </c>
      <c r="V21" s="34"/>
      <c r="W21" s="34"/>
      <c r="X21" s="9" t="e">
        <f t="shared" si="8"/>
        <v>#DIV/0!</v>
      </c>
      <c r="Y21" s="70">
        <f t="shared" si="18"/>
        <v>1.7149999999999999</v>
      </c>
      <c r="Z21" s="70">
        <f t="shared" si="19"/>
        <v>1.7149999999999999</v>
      </c>
      <c r="AA21" s="9">
        <f t="shared" si="5"/>
        <v>100</v>
      </c>
      <c r="AB21" s="34"/>
      <c r="AC21" s="34"/>
      <c r="AD21" s="9" t="e">
        <f t="shared" si="9"/>
        <v>#DIV/0!</v>
      </c>
      <c r="AE21" s="34"/>
      <c r="AF21" s="34"/>
      <c r="AG21" s="9" t="e">
        <f t="shared" si="10"/>
        <v>#DIV/0!</v>
      </c>
      <c r="AH21" s="34"/>
      <c r="AI21" s="34"/>
      <c r="AJ21" s="9" t="e">
        <f t="shared" si="11"/>
        <v>#DIV/0!</v>
      </c>
      <c r="AK21" s="70">
        <f t="shared" si="20"/>
        <v>0</v>
      </c>
      <c r="AL21" s="70">
        <f t="shared" si="21"/>
        <v>0</v>
      </c>
      <c r="AM21" s="9" t="e">
        <f t="shared" si="25"/>
        <v>#DIV/0!</v>
      </c>
      <c r="AN21" s="34"/>
      <c r="AO21" s="34"/>
      <c r="AP21" s="34"/>
      <c r="AQ21" s="34"/>
      <c r="AR21" s="34"/>
      <c r="AS21" s="34"/>
      <c r="AT21" s="57">
        <f t="shared" si="22"/>
        <v>5.444</v>
      </c>
      <c r="AU21" s="57">
        <f t="shared" si="23"/>
        <v>5.444</v>
      </c>
      <c r="AV21" s="9">
        <f t="shared" si="6"/>
        <v>100</v>
      </c>
      <c r="AW21" s="57">
        <f t="shared" si="24"/>
        <v>0</v>
      </c>
      <c r="AX21" s="15">
        <f t="shared" si="12"/>
        <v>0</v>
      </c>
      <c r="AY21" s="19">
        <f t="shared" si="13"/>
        <v>5.444</v>
      </c>
      <c r="AZ21" s="19">
        <f t="shared" si="14"/>
        <v>5.444</v>
      </c>
      <c r="BA21" s="38">
        <f t="shared" si="15"/>
        <v>0</v>
      </c>
    </row>
    <row r="22" spans="1:53" ht="34.5" customHeight="1">
      <c r="A22" s="11" t="s">
        <v>19</v>
      </c>
      <c r="B22" s="60" t="s">
        <v>41</v>
      </c>
      <c r="C22" s="91">
        <v>0</v>
      </c>
      <c r="D22" s="34">
        <v>13.9</v>
      </c>
      <c r="E22" s="34">
        <v>5.8</v>
      </c>
      <c r="F22" s="9">
        <f t="shared" si="26"/>
        <v>41.72661870503597</v>
      </c>
      <c r="G22" s="34">
        <v>10</v>
      </c>
      <c r="H22" s="34">
        <v>8.5</v>
      </c>
      <c r="I22" s="9">
        <f t="shared" si="7"/>
        <v>85</v>
      </c>
      <c r="J22" s="34">
        <v>3.5</v>
      </c>
      <c r="K22" s="34">
        <v>12.899999999999999</v>
      </c>
      <c r="L22" s="9">
        <f t="shared" si="1"/>
        <v>368.57142857142856</v>
      </c>
      <c r="M22" s="70">
        <f t="shared" si="16"/>
        <v>27.4</v>
      </c>
      <c r="N22" s="70">
        <f t="shared" si="17"/>
        <v>27.2</v>
      </c>
      <c r="O22" s="9">
        <f t="shared" si="2"/>
        <v>99.27007299270073</v>
      </c>
      <c r="P22" s="34">
        <v>24.6</v>
      </c>
      <c r="Q22" s="34">
        <v>19.7</v>
      </c>
      <c r="R22" s="9">
        <f t="shared" si="3"/>
        <v>80.08130081300813</v>
      </c>
      <c r="S22" s="34">
        <v>5.8</v>
      </c>
      <c r="T22" s="34">
        <v>10.9</v>
      </c>
      <c r="U22" s="9">
        <f t="shared" si="4"/>
        <v>187.93103448275863</v>
      </c>
      <c r="V22" s="34">
        <v>7.8</v>
      </c>
      <c r="W22" s="34">
        <v>7.1</v>
      </c>
      <c r="X22" s="9">
        <f t="shared" si="8"/>
        <v>91.02564102564102</v>
      </c>
      <c r="Y22" s="70">
        <f t="shared" si="18"/>
        <v>38.2</v>
      </c>
      <c r="Z22" s="70">
        <f t="shared" si="19"/>
        <v>37.7</v>
      </c>
      <c r="AA22" s="9">
        <f t="shared" si="5"/>
        <v>98.69109947643979</v>
      </c>
      <c r="AB22" s="34"/>
      <c r="AC22" s="34"/>
      <c r="AD22" s="9" t="e">
        <f t="shared" si="9"/>
        <v>#DIV/0!</v>
      </c>
      <c r="AE22" s="34"/>
      <c r="AF22" s="34"/>
      <c r="AG22" s="9" t="e">
        <f t="shared" si="10"/>
        <v>#DIV/0!</v>
      </c>
      <c r="AH22" s="34"/>
      <c r="AI22" s="34"/>
      <c r="AJ22" s="9" t="e">
        <f t="shared" si="11"/>
        <v>#DIV/0!</v>
      </c>
      <c r="AK22" s="70">
        <f t="shared" si="20"/>
        <v>0</v>
      </c>
      <c r="AL22" s="70">
        <f t="shared" si="21"/>
        <v>0</v>
      </c>
      <c r="AM22" s="9" t="e">
        <f t="shared" si="25"/>
        <v>#DIV/0!</v>
      </c>
      <c r="AN22" s="34"/>
      <c r="AO22" s="34"/>
      <c r="AP22" s="34"/>
      <c r="AQ22" s="34"/>
      <c r="AR22" s="34"/>
      <c r="AS22" s="34"/>
      <c r="AT22" s="57">
        <f t="shared" si="22"/>
        <v>65.6</v>
      </c>
      <c r="AU22" s="57">
        <f t="shared" si="23"/>
        <v>64.9</v>
      </c>
      <c r="AV22" s="9">
        <f t="shared" si="6"/>
        <v>98.93292682926831</v>
      </c>
      <c r="AW22" s="57">
        <f t="shared" si="24"/>
        <v>0.6999999999999886</v>
      </c>
      <c r="AX22" s="15">
        <f t="shared" si="12"/>
        <v>0.6999999999999886</v>
      </c>
      <c r="AY22" s="19">
        <f t="shared" si="13"/>
        <v>65.6</v>
      </c>
      <c r="AZ22" s="19">
        <f t="shared" si="14"/>
        <v>64.9</v>
      </c>
      <c r="BA22" s="38">
        <f t="shared" si="15"/>
        <v>0.6999999999999886</v>
      </c>
    </row>
    <row r="23" spans="1:53" ht="34.5" customHeight="1">
      <c r="A23" s="11" t="s">
        <v>20</v>
      </c>
      <c r="B23" s="60" t="s">
        <v>84</v>
      </c>
      <c r="C23" s="83">
        <v>-0.2</v>
      </c>
      <c r="D23" s="34">
        <v>2.4</v>
      </c>
      <c r="E23" s="34">
        <v>2.4</v>
      </c>
      <c r="F23" s="9">
        <f t="shared" si="26"/>
        <v>100</v>
      </c>
      <c r="G23" s="34">
        <v>2.6</v>
      </c>
      <c r="H23" s="34">
        <v>0</v>
      </c>
      <c r="I23" s="9">
        <f t="shared" si="7"/>
        <v>0</v>
      </c>
      <c r="J23" s="34">
        <v>2.6</v>
      </c>
      <c r="K23" s="34">
        <v>3.4</v>
      </c>
      <c r="L23" s="9">
        <f t="shared" si="1"/>
        <v>130.76923076923077</v>
      </c>
      <c r="M23" s="70">
        <f t="shared" si="16"/>
        <v>7.6</v>
      </c>
      <c r="N23" s="70">
        <f t="shared" si="17"/>
        <v>5.8</v>
      </c>
      <c r="O23" s="9">
        <f t="shared" si="2"/>
        <v>76.31578947368422</v>
      </c>
      <c r="P23" s="34">
        <v>0.6</v>
      </c>
      <c r="Q23" s="34">
        <v>2.1</v>
      </c>
      <c r="R23" s="9">
        <f t="shared" si="3"/>
        <v>350.00000000000006</v>
      </c>
      <c r="S23" s="34">
        <v>0.8</v>
      </c>
      <c r="T23" s="34">
        <v>0.7</v>
      </c>
      <c r="U23" s="9">
        <f t="shared" si="4"/>
        <v>87.49999999999999</v>
      </c>
      <c r="V23" s="34">
        <v>1.2</v>
      </c>
      <c r="W23" s="34">
        <v>0.7</v>
      </c>
      <c r="X23" s="9">
        <f t="shared" si="8"/>
        <v>58.333333333333336</v>
      </c>
      <c r="Y23" s="70">
        <f t="shared" si="18"/>
        <v>2.5999999999999996</v>
      </c>
      <c r="Z23" s="70">
        <f t="shared" si="19"/>
        <v>3.5</v>
      </c>
      <c r="AA23" s="9">
        <f t="shared" si="5"/>
        <v>134.6153846153846</v>
      </c>
      <c r="AB23" s="34"/>
      <c r="AC23" s="34"/>
      <c r="AD23" s="9" t="e">
        <f t="shared" si="9"/>
        <v>#DIV/0!</v>
      </c>
      <c r="AE23" s="34"/>
      <c r="AF23" s="34"/>
      <c r="AG23" s="9" t="e">
        <f t="shared" si="10"/>
        <v>#DIV/0!</v>
      </c>
      <c r="AH23" s="34"/>
      <c r="AI23" s="34"/>
      <c r="AJ23" s="9" t="e">
        <f t="shared" si="11"/>
        <v>#DIV/0!</v>
      </c>
      <c r="AK23" s="70">
        <f t="shared" si="20"/>
        <v>0</v>
      </c>
      <c r="AL23" s="70">
        <f t="shared" si="21"/>
        <v>0</v>
      </c>
      <c r="AM23" s="9" t="e">
        <f t="shared" si="25"/>
        <v>#DIV/0!</v>
      </c>
      <c r="AN23" s="34"/>
      <c r="AO23" s="34"/>
      <c r="AP23" s="34"/>
      <c r="AQ23" s="34"/>
      <c r="AR23" s="34"/>
      <c r="AS23" s="34"/>
      <c r="AT23" s="57">
        <f t="shared" si="22"/>
        <v>10.2</v>
      </c>
      <c r="AU23" s="57">
        <f t="shared" si="23"/>
        <v>9.3</v>
      </c>
      <c r="AV23" s="9">
        <f t="shared" si="6"/>
        <v>91.1764705882353</v>
      </c>
      <c r="AW23" s="57">
        <f t="shared" si="24"/>
        <v>0.8999999999999986</v>
      </c>
      <c r="AX23" s="15">
        <f t="shared" si="12"/>
        <v>0.6999999999999993</v>
      </c>
      <c r="AY23" s="19">
        <f t="shared" si="13"/>
        <v>10.2</v>
      </c>
      <c r="AZ23" s="19">
        <f t="shared" si="14"/>
        <v>9.3</v>
      </c>
      <c r="BA23" s="38">
        <f t="shared" si="15"/>
        <v>0.6999999999999993</v>
      </c>
    </row>
    <row r="24" spans="1:53" ht="34.5" customHeight="1">
      <c r="A24" s="11" t="s">
        <v>21</v>
      </c>
      <c r="B24" s="60" t="s">
        <v>40</v>
      </c>
      <c r="C24" s="83">
        <v>0</v>
      </c>
      <c r="D24" s="34">
        <v>100.4</v>
      </c>
      <c r="E24" s="34">
        <v>68.7</v>
      </c>
      <c r="F24" s="9">
        <f>E24/D24*100</f>
        <v>68.42629482071713</v>
      </c>
      <c r="G24" s="34">
        <v>121.7</v>
      </c>
      <c r="H24" s="34">
        <v>152.7</v>
      </c>
      <c r="I24" s="9">
        <f t="shared" si="7"/>
        <v>125.47247329498765</v>
      </c>
      <c r="J24" s="34">
        <v>101.4</v>
      </c>
      <c r="K24" s="34">
        <v>102.1</v>
      </c>
      <c r="L24" s="9">
        <f t="shared" si="1"/>
        <v>100.69033530571991</v>
      </c>
      <c r="M24" s="70">
        <f t="shared" si="16"/>
        <v>323.5</v>
      </c>
      <c r="N24" s="70">
        <f t="shared" si="17"/>
        <v>323.5</v>
      </c>
      <c r="O24" s="9">
        <f t="shared" si="2"/>
        <v>100</v>
      </c>
      <c r="P24" s="34">
        <v>74.4</v>
      </c>
      <c r="Q24" s="34">
        <v>74.4</v>
      </c>
      <c r="R24" s="9">
        <f t="shared" si="3"/>
        <v>100</v>
      </c>
      <c r="S24" s="34">
        <v>71.4</v>
      </c>
      <c r="T24" s="34">
        <v>27</v>
      </c>
      <c r="U24" s="9">
        <f t="shared" si="4"/>
        <v>37.81512605042017</v>
      </c>
      <c r="V24" s="34">
        <v>76.9</v>
      </c>
      <c r="W24" s="34">
        <v>121.3</v>
      </c>
      <c r="X24" s="9">
        <f t="shared" si="8"/>
        <v>157.7373211963589</v>
      </c>
      <c r="Y24" s="70">
        <f t="shared" si="18"/>
        <v>222.70000000000002</v>
      </c>
      <c r="Z24" s="70">
        <f t="shared" si="19"/>
        <v>222.7</v>
      </c>
      <c r="AA24" s="9">
        <f t="shared" si="5"/>
        <v>99.99999999999999</v>
      </c>
      <c r="AB24" s="34"/>
      <c r="AC24" s="34"/>
      <c r="AD24" s="9" t="e">
        <f t="shared" si="9"/>
        <v>#DIV/0!</v>
      </c>
      <c r="AE24" s="34"/>
      <c r="AF24" s="34"/>
      <c r="AG24" s="9" t="e">
        <f t="shared" si="10"/>
        <v>#DIV/0!</v>
      </c>
      <c r="AH24" s="34"/>
      <c r="AI24" s="34"/>
      <c r="AJ24" s="9" t="e">
        <f t="shared" si="11"/>
        <v>#DIV/0!</v>
      </c>
      <c r="AK24" s="70">
        <f t="shared" si="20"/>
        <v>0</v>
      </c>
      <c r="AL24" s="70">
        <f t="shared" si="21"/>
        <v>0</v>
      </c>
      <c r="AM24" s="9" t="e">
        <f t="shared" si="25"/>
        <v>#DIV/0!</v>
      </c>
      <c r="AN24" s="34"/>
      <c r="AO24" s="34"/>
      <c r="AP24" s="34"/>
      <c r="AQ24" s="34"/>
      <c r="AR24" s="34"/>
      <c r="AS24" s="34"/>
      <c r="AT24" s="57">
        <f t="shared" si="22"/>
        <v>546.2</v>
      </c>
      <c r="AU24" s="57">
        <f t="shared" si="23"/>
        <v>546.2</v>
      </c>
      <c r="AV24" s="9">
        <f t="shared" si="6"/>
        <v>100</v>
      </c>
      <c r="AW24" s="57">
        <f t="shared" si="24"/>
        <v>0</v>
      </c>
      <c r="AX24" s="15">
        <f t="shared" si="12"/>
        <v>0</v>
      </c>
      <c r="AY24" s="19">
        <f t="shared" si="13"/>
        <v>546.2</v>
      </c>
      <c r="AZ24" s="19">
        <f t="shared" si="14"/>
        <v>546.2</v>
      </c>
      <c r="BA24" s="38">
        <f t="shared" si="15"/>
        <v>0</v>
      </c>
    </row>
    <row r="25" spans="1:53" ht="34.5" customHeight="1">
      <c r="A25" s="11" t="s">
        <v>22</v>
      </c>
      <c r="B25" s="56" t="s">
        <v>43</v>
      </c>
      <c r="C25" s="83">
        <v>-20.5</v>
      </c>
      <c r="D25" s="34">
        <v>54.2</v>
      </c>
      <c r="E25" s="34">
        <v>15.1</v>
      </c>
      <c r="F25" s="9">
        <f>E25/D25*100</f>
        <v>27.85977859778598</v>
      </c>
      <c r="G25" s="34">
        <v>108.1</v>
      </c>
      <c r="H25" s="34">
        <v>39.2</v>
      </c>
      <c r="I25" s="9">
        <f t="shared" si="7"/>
        <v>36.2627197039778</v>
      </c>
      <c r="J25" s="34">
        <v>91.89364</v>
      </c>
      <c r="K25" s="34">
        <v>110.65014</v>
      </c>
      <c r="L25" s="9">
        <f t="shared" si="1"/>
        <v>120.41109700301347</v>
      </c>
      <c r="M25" s="70">
        <f t="shared" si="16"/>
        <v>254.19364000000002</v>
      </c>
      <c r="N25" s="70">
        <f t="shared" si="17"/>
        <v>164.95014</v>
      </c>
      <c r="O25" s="9">
        <f t="shared" si="2"/>
        <v>64.89152915076868</v>
      </c>
      <c r="P25" s="34">
        <v>54.114</v>
      </c>
      <c r="Q25" s="34">
        <v>78.35554</v>
      </c>
      <c r="R25" s="9">
        <f t="shared" si="3"/>
        <v>144.79716893964596</v>
      </c>
      <c r="S25" s="34">
        <v>51.6</v>
      </c>
      <c r="T25" s="34">
        <v>53.2</v>
      </c>
      <c r="U25" s="9">
        <f t="shared" si="4"/>
        <v>103.10077519379846</v>
      </c>
      <c r="V25" s="34">
        <v>69.1</v>
      </c>
      <c r="W25" s="34">
        <v>56.6</v>
      </c>
      <c r="X25" s="9">
        <f t="shared" si="8"/>
        <v>81.91027496382056</v>
      </c>
      <c r="Y25" s="70">
        <f t="shared" si="18"/>
        <v>174.814</v>
      </c>
      <c r="Z25" s="70">
        <f t="shared" si="19"/>
        <v>188.15554</v>
      </c>
      <c r="AA25" s="9">
        <f t="shared" si="5"/>
        <v>107.63184870776941</v>
      </c>
      <c r="AB25" s="34"/>
      <c r="AC25" s="34"/>
      <c r="AD25" s="9" t="e">
        <f t="shared" si="9"/>
        <v>#DIV/0!</v>
      </c>
      <c r="AE25" s="34"/>
      <c r="AF25" s="34"/>
      <c r="AG25" s="9" t="e">
        <f t="shared" si="10"/>
        <v>#DIV/0!</v>
      </c>
      <c r="AH25" s="34"/>
      <c r="AI25" s="34"/>
      <c r="AJ25" s="9" t="e">
        <f t="shared" si="11"/>
        <v>#DIV/0!</v>
      </c>
      <c r="AK25" s="70">
        <f t="shared" si="20"/>
        <v>0</v>
      </c>
      <c r="AL25" s="70">
        <f t="shared" si="21"/>
        <v>0</v>
      </c>
      <c r="AM25" s="9" t="e">
        <f t="shared" si="25"/>
        <v>#DIV/0!</v>
      </c>
      <c r="AN25" s="34"/>
      <c r="AO25" s="34"/>
      <c r="AP25" s="34"/>
      <c r="AQ25" s="34"/>
      <c r="AR25" s="34"/>
      <c r="AS25" s="34"/>
      <c r="AT25" s="57">
        <f t="shared" si="22"/>
        <v>429.00764000000004</v>
      </c>
      <c r="AU25" s="57">
        <f t="shared" si="23"/>
        <v>353.10568</v>
      </c>
      <c r="AV25" s="9">
        <f t="shared" si="6"/>
        <v>82.30755051355261</v>
      </c>
      <c r="AW25" s="57">
        <f t="shared" si="24"/>
        <v>75.90196000000003</v>
      </c>
      <c r="AX25" s="15">
        <f t="shared" si="12"/>
        <v>55.40196000000003</v>
      </c>
      <c r="AY25" s="19">
        <f t="shared" si="13"/>
        <v>429.00764000000004</v>
      </c>
      <c r="AZ25" s="19">
        <f t="shared" si="14"/>
        <v>353.10568</v>
      </c>
      <c r="BA25" s="38">
        <f t="shared" si="15"/>
        <v>55.40196000000003</v>
      </c>
    </row>
    <row r="26" spans="1:53" ht="34.5" customHeight="1">
      <c r="A26" s="11" t="s">
        <v>23</v>
      </c>
      <c r="B26" s="60" t="s">
        <v>85</v>
      </c>
      <c r="C26" s="83">
        <v>0</v>
      </c>
      <c r="D26" s="34">
        <v>1.8</v>
      </c>
      <c r="E26" s="34">
        <v>1.8</v>
      </c>
      <c r="F26" s="9">
        <f>E26/D26*100</f>
        <v>100</v>
      </c>
      <c r="G26" s="34">
        <v>1.3</v>
      </c>
      <c r="H26" s="34">
        <v>1.3</v>
      </c>
      <c r="I26" s="9">
        <f t="shared" si="7"/>
        <v>100</v>
      </c>
      <c r="J26" s="34">
        <v>1.3</v>
      </c>
      <c r="K26" s="34">
        <v>1.3</v>
      </c>
      <c r="L26" s="9">
        <f t="shared" si="1"/>
        <v>100</v>
      </c>
      <c r="M26" s="70">
        <f t="shared" si="16"/>
        <v>4.4</v>
      </c>
      <c r="N26" s="70">
        <f t="shared" si="17"/>
        <v>4.4</v>
      </c>
      <c r="O26" s="9">
        <f t="shared" si="2"/>
        <v>100</v>
      </c>
      <c r="P26" s="34">
        <v>0.2</v>
      </c>
      <c r="Q26" s="34">
        <v>0.2</v>
      </c>
      <c r="R26" s="9">
        <f t="shared" si="3"/>
        <v>100</v>
      </c>
      <c r="S26" s="34">
        <v>0.3</v>
      </c>
      <c r="T26" s="34">
        <v>0.3</v>
      </c>
      <c r="U26" s="9">
        <f t="shared" si="4"/>
        <v>100</v>
      </c>
      <c r="V26" s="34">
        <v>0.5</v>
      </c>
      <c r="W26" s="34">
        <v>0.5</v>
      </c>
      <c r="X26" s="9">
        <f t="shared" si="8"/>
        <v>100</v>
      </c>
      <c r="Y26" s="70">
        <f t="shared" si="18"/>
        <v>1</v>
      </c>
      <c r="Z26" s="70">
        <f t="shared" si="19"/>
        <v>1</v>
      </c>
      <c r="AA26" s="9">
        <f t="shared" si="5"/>
        <v>100</v>
      </c>
      <c r="AB26" s="34"/>
      <c r="AC26" s="34"/>
      <c r="AD26" s="9" t="e">
        <f t="shared" si="9"/>
        <v>#DIV/0!</v>
      </c>
      <c r="AE26" s="34"/>
      <c r="AF26" s="34"/>
      <c r="AG26" s="9" t="e">
        <f t="shared" si="10"/>
        <v>#DIV/0!</v>
      </c>
      <c r="AH26" s="34"/>
      <c r="AI26" s="34"/>
      <c r="AJ26" s="9" t="e">
        <f t="shared" si="11"/>
        <v>#DIV/0!</v>
      </c>
      <c r="AK26" s="70">
        <f t="shared" si="20"/>
        <v>0</v>
      </c>
      <c r="AL26" s="70">
        <f t="shared" si="21"/>
        <v>0</v>
      </c>
      <c r="AM26" s="9" t="e">
        <f t="shared" si="25"/>
        <v>#DIV/0!</v>
      </c>
      <c r="AN26" s="34"/>
      <c r="AO26" s="34"/>
      <c r="AP26" s="34"/>
      <c r="AQ26" s="34"/>
      <c r="AR26" s="34"/>
      <c r="AS26" s="34"/>
      <c r="AT26" s="57">
        <f t="shared" si="22"/>
        <v>5.4</v>
      </c>
      <c r="AU26" s="57">
        <f t="shared" si="23"/>
        <v>5.4</v>
      </c>
      <c r="AV26" s="9">
        <f t="shared" si="6"/>
        <v>100</v>
      </c>
      <c r="AW26" s="57">
        <f t="shared" si="24"/>
        <v>0</v>
      </c>
      <c r="AX26" s="15">
        <f t="shared" si="12"/>
        <v>0</v>
      </c>
      <c r="AY26" s="19">
        <f t="shared" si="13"/>
        <v>5.4</v>
      </c>
      <c r="AZ26" s="19">
        <f t="shared" si="14"/>
        <v>5.4</v>
      </c>
      <c r="BA26" s="38">
        <f t="shared" si="15"/>
        <v>0</v>
      </c>
    </row>
    <row r="27" spans="1:53" ht="34.5" customHeight="1">
      <c r="A27" s="11" t="s">
        <v>24</v>
      </c>
      <c r="B27" s="60" t="s">
        <v>59</v>
      </c>
      <c r="C27" s="83">
        <v>0</v>
      </c>
      <c r="D27" s="34">
        <v>13.4</v>
      </c>
      <c r="E27" s="34">
        <v>12.9</v>
      </c>
      <c r="F27" s="51">
        <f>E27/D27*100</f>
        <v>96.26865671641791</v>
      </c>
      <c r="G27" s="34">
        <v>13</v>
      </c>
      <c r="H27" s="34">
        <v>13.3</v>
      </c>
      <c r="I27" s="9">
        <f t="shared" si="7"/>
        <v>102.30769230769232</v>
      </c>
      <c r="J27" s="34">
        <v>13.7</v>
      </c>
      <c r="K27" s="34">
        <v>13.7</v>
      </c>
      <c r="L27" s="9">
        <f t="shared" si="1"/>
        <v>100</v>
      </c>
      <c r="M27" s="70">
        <f t="shared" si="16"/>
        <v>40.099999999999994</v>
      </c>
      <c r="N27" s="70">
        <f t="shared" si="17"/>
        <v>39.900000000000006</v>
      </c>
      <c r="O27" s="9">
        <f t="shared" si="2"/>
        <v>99.50124688279305</v>
      </c>
      <c r="P27" s="34">
        <v>1.9</v>
      </c>
      <c r="Q27" s="34">
        <v>1.9</v>
      </c>
      <c r="R27" s="9">
        <f t="shared" si="3"/>
        <v>100</v>
      </c>
      <c r="S27" s="34">
        <v>1.7</v>
      </c>
      <c r="T27" s="34">
        <v>2.3</v>
      </c>
      <c r="U27" s="9">
        <f t="shared" si="4"/>
        <v>135.2941176470588</v>
      </c>
      <c r="V27" s="34">
        <v>5.9</v>
      </c>
      <c r="W27" s="34">
        <v>0.7</v>
      </c>
      <c r="X27" s="9">
        <f t="shared" si="8"/>
        <v>11.864406779661016</v>
      </c>
      <c r="Y27" s="70">
        <f t="shared" si="18"/>
        <v>9.5</v>
      </c>
      <c r="Z27" s="70">
        <f t="shared" si="19"/>
        <v>4.8999999999999995</v>
      </c>
      <c r="AA27" s="9">
        <f t="shared" si="5"/>
        <v>51.57894736842105</v>
      </c>
      <c r="AB27" s="34"/>
      <c r="AC27" s="34"/>
      <c r="AD27" s="9" t="e">
        <f t="shared" si="9"/>
        <v>#DIV/0!</v>
      </c>
      <c r="AE27" s="34"/>
      <c r="AF27" s="34"/>
      <c r="AG27" s="9" t="e">
        <f t="shared" si="10"/>
        <v>#DIV/0!</v>
      </c>
      <c r="AH27" s="34"/>
      <c r="AI27" s="34"/>
      <c r="AJ27" s="9" t="e">
        <f t="shared" si="11"/>
        <v>#DIV/0!</v>
      </c>
      <c r="AK27" s="70">
        <f t="shared" si="20"/>
        <v>0</v>
      </c>
      <c r="AL27" s="70">
        <f t="shared" si="21"/>
        <v>0</v>
      </c>
      <c r="AM27" s="9" t="e">
        <f t="shared" si="25"/>
        <v>#DIV/0!</v>
      </c>
      <c r="AN27" s="34"/>
      <c r="AO27" s="34"/>
      <c r="AP27" s="34"/>
      <c r="AQ27" s="34"/>
      <c r="AR27" s="34"/>
      <c r="AS27" s="34"/>
      <c r="AT27" s="57">
        <f t="shared" si="22"/>
        <v>49.599999999999994</v>
      </c>
      <c r="AU27" s="57">
        <f t="shared" si="23"/>
        <v>44.800000000000004</v>
      </c>
      <c r="AV27" s="9">
        <f t="shared" si="6"/>
        <v>90.32258064516131</v>
      </c>
      <c r="AW27" s="57">
        <f t="shared" si="24"/>
        <v>4.79999999999999</v>
      </c>
      <c r="AX27" s="15">
        <f t="shared" si="12"/>
        <v>4.79999999999999</v>
      </c>
      <c r="AY27" s="19">
        <f t="shared" si="13"/>
        <v>49.599999999999994</v>
      </c>
      <c r="AZ27" s="19">
        <f t="shared" si="14"/>
        <v>44.800000000000004</v>
      </c>
      <c r="BA27" s="38">
        <f t="shared" si="15"/>
        <v>4.79999999999999</v>
      </c>
    </row>
    <row r="28" spans="1:53" ht="34.5" customHeight="1">
      <c r="A28" s="11" t="s">
        <v>25</v>
      </c>
      <c r="B28" s="112" t="s">
        <v>86</v>
      </c>
      <c r="C28" s="90">
        <v>6.1</v>
      </c>
      <c r="D28" s="34">
        <v>37.3</v>
      </c>
      <c r="E28" s="34">
        <v>0.2</v>
      </c>
      <c r="F28" s="74">
        <f>E28/D28*100</f>
        <v>0.5361930294906168</v>
      </c>
      <c r="G28" s="34">
        <v>69.4</v>
      </c>
      <c r="H28" s="34">
        <v>61.3</v>
      </c>
      <c r="I28" s="9">
        <f t="shared" si="7"/>
        <v>88.32853025936598</v>
      </c>
      <c r="J28" s="34">
        <v>91</v>
      </c>
      <c r="K28" s="34">
        <v>102.2</v>
      </c>
      <c r="L28" s="9">
        <f t="shared" si="1"/>
        <v>112.3076923076923</v>
      </c>
      <c r="M28" s="70">
        <f t="shared" si="16"/>
        <v>197.7</v>
      </c>
      <c r="N28" s="70">
        <f t="shared" si="17"/>
        <v>163.7</v>
      </c>
      <c r="O28" s="9">
        <f t="shared" si="2"/>
        <v>82.80222559433486</v>
      </c>
      <c r="P28" s="34">
        <v>68.5</v>
      </c>
      <c r="Q28" s="34">
        <v>81.6</v>
      </c>
      <c r="R28" s="9">
        <f t="shared" si="3"/>
        <v>119.12408759124087</v>
      </c>
      <c r="S28" s="34">
        <v>59.3</v>
      </c>
      <c r="T28" s="34">
        <v>66.8</v>
      </c>
      <c r="U28" s="9">
        <f t="shared" si="4"/>
        <v>112.64755480607083</v>
      </c>
      <c r="V28" s="34">
        <v>97.7</v>
      </c>
      <c r="W28" s="34">
        <v>77</v>
      </c>
      <c r="X28" s="9">
        <f t="shared" si="8"/>
        <v>78.81269191402251</v>
      </c>
      <c r="Y28" s="70">
        <f t="shared" si="18"/>
        <v>225.5</v>
      </c>
      <c r="Z28" s="70">
        <f t="shared" si="19"/>
        <v>225.39999999999998</v>
      </c>
      <c r="AA28" s="9">
        <f t="shared" si="5"/>
        <v>99.95565410199555</v>
      </c>
      <c r="AB28" s="34"/>
      <c r="AC28" s="34"/>
      <c r="AD28" s="9" t="e">
        <f t="shared" si="9"/>
        <v>#DIV/0!</v>
      </c>
      <c r="AE28" s="34"/>
      <c r="AF28" s="78"/>
      <c r="AG28" s="9" t="e">
        <f t="shared" si="10"/>
        <v>#DIV/0!</v>
      </c>
      <c r="AH28" s="34"/>
      <c r="AI28" s="78"/>
      <c r="AJ28" s="9" t="e">
        <f t="shared" si="11"/>
        <v>#DIV/0!</v>
      </c>
      <c r="AK28" s="70">
        <f t="shared" si="20"/>
        <v>0</v>
      </c>
      <c r="AL28" s="70">
        <f t="shared" si="21"/>
        <v>0</v>
      </c>
      <c r="AM28" s="9" t="e">
        <f t="shared" si="25"/>
        <v>#DIV/0!</v>
      </c>
      <c r="AN28" s="34"/>
      <c r="AO28" s="78"/>
      <c r="AP28" s="34"/>
      <c r="AQ28" s="78"/>
      <c r="AR28" s="34"/>
      <c r="AS28" s="78"/>
      <c r="AT28" s="57">
        <f t="shared" si="22"/>
        <v>423.2</v>
      </c>
      <c r="AU28" s="57">
        <f t="shared" si="23"/>
        <v>389.09999999999997</v>
      </c>
      <c r="AV28" s="9">
        <f t="shared" si="6"/>
        <v>91.94234404536861</v>
      </c>
      <c r="AW28" s="57">
        <f t="shared" si="24"/>
        <v>34.10000000000002</v>
      </c>
      <c r="AX28" s="15">
        <f t="shared" si="12"/>
        <v>40.200000000000045</v>
      </c>
      <c r="AY28" s="19">
        <f t="shared" si="13"/>
        <v>423.2</v>
      </c>
      <c r="AZ28" s="19">
        <f t="shared" si="14"/>
        <v>389.09999999999997</v>
      </c>
      <c r="BA28" s="38">
        <f t="shared" si="15"/>
        <v>40.200000000000045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61"/>
      <c r="G29" s="61"/>
      <c r="H29" s="61"/>
      <c r="I29" s="84" t="e">
        <f t="shared" si="7"/>
        <v>#DIV/0!</v>
      </c>
      <c r="J29" s="61"/>
      <c r="K29" s="61"/>
      <c r="L29" s="61"/>
      <c r="M29" s="70"/>
      <c r="N29" s="70"/>
      <c r="O29" s="9"/>
      <c r="P29" s="61"/>
      <c r="Q29" s="61"/>
      <c r="R29" s="84" t="e">
        <f t="shared" si="3"/>
        <v>#DIV/0!</v>
      </c>
      <c r="S29" s="61"/>
      <c r="T29" s="61"/>
      <c r="U29" s="84" t="e">
        <f t="shared" si="4"/>
        <v>#DIV/0!</v>
      </c>
      <c r="V29" s="61"/>
      <c r="W29" s="61"/>
      <c r="X29" s="61"/>
      <c r="Y29" s="70"/>
      <c r="Z29" s="70"/>
      <c r="AA29" s="9"/>
      <c r="AB29" s="61"/>
      <c r="AC29" s="61"/>
      <c r="AD29" s="84" t="e">
        <f t="shared" si="9"/>
        <v>#DIV/0!</v>
      </c>
      <c r="AE29" s="52"/>
      <c r="AF29" s="52"/>
      <c r="AG29" s="84" t="e">
        <f t="shared" si="10"/>
        <v>#DIV/0!</v>
      </c>
      <c r="AH29" s="52"/>
      <c r="AI29" s="52"/>
      <c r="AJ29" s="9"/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13"/>
        <v>0</v>
      </c>
      <c r="AZ29" s="19">
        <f t="shared" si="14"/>
        <v>0</v>
      </c>
      <c r="BA29" s="38">
        <f t="shared" si="15"/>
        <v>0</v>
      </c>
    </row>
    <row r="30" spans="1:53" ht="34.5" customHeight="1">
      <c r="A30" s="11" t="s">
        <v>27</v>
      </c>
      <c r="B30" s="60" t="s">
        <v>39</v>
      </c>
      <c r="C30" s="92">
        <v>0</v>
      </c>
      <c r="D30" s="34">
        <v>47.1</v>
      </c>
      <c r="E30" s="34">
        <v>47.1</v>
      </c>
      <c r="F30" s="76">
        <f aca="true" t="shared" si="27" ref="F30:F36">E30/D30*100</f>
        <v>100</v>
      </c>
      <c r="G30" s="34">
        <v>49.8</v>
      </c>
      <c r="H30" s="34">
        <v>49.8</v>
      </c>
      <c r="I30" s="9">
        <f t="shared" si="7"/>
        <v>100</v>
      </c>
      <c r="J30" s="34">
        <v>44.2</v>
      </c>
      <c r="K30" s="34">
        <v>44.2</v>
      </c>
      <c r="L30" s="59">
        <f aca="true" t="shared" si="28" ref="L30:L45">K30/J30*100</f>
        <v>100</v>
      </c>
      <c r="M30" s="70">
        <f t="shared" si="16"/>
        <v>141.10000000000002</v>
      </c>
      <c r="N30" s="70">
        <f t="shared" si="17"/>
        <v>141.10000000000002</v>
      </c>
      <c r="O30" s="9">
        <f t="shared" si="2"/>
        <v>100</v>
      </c>
      <c r="P30" s="34">
        <v>24.9</v>
      </c>
      <c r="Q30" s="34">
        <v>24.9</v>
      </c>
      <c r="R30" s="9">
        <f t="shared" si="3"/>
        <v>100</v>
      </c>
      <c r="S30" s="34">
        <v>17.1</v>
      </c>
      <c r="T30" s="34">
        <v>17.1</v>
      </c>
      <c r="U30" s="9">
        <f t="shared" si="4"/>
        <v>100</v>
      </c>
      <c r="V30" s="34">
        <v>17.6</v>
      </c>
      <c r="W30" s="34">
        <v>17.6</v>
      </c>
      <c r="X30" s="101">
        <f aca="true" t="shared" si="29" ref="X30:X43">W30/V30*100</f>
        <v>100</v>
      </c>
      <c r="Y30" s="70">
        <f aca="true" t="shared" si="30" ref="Y30:Y42">P30+S30+V30</f>
        <v>59.6</v>
      </c>
      <c r="Z30" s="70">
        <f aca="true" t="shared" si="31" ref="Z30:Z42">Q30+T30+W30</f>
        <v>59.6</v>
      </c>
      <c r="AA30" s="9">
        <f aca="true" t="shared" si="32" ref="AA30:AA45">Z30/Y30*100</f>
        <v>100</v>
      </c>
      <c r="AB30" s="34"/>
      <c r="AC30" s="34"/>
      <c r="AD30" s="9" t="e">
        <f t="shared" si="9"/>
        <v>#DIV/0!</v>
      </c>
      <c r="AE30" s="34"/>
      <c r="AF30" s="34"/>
      <c r="AG30" s="9" t="e">
        <f t="shared" si="10"/>
        <v>#DIV/0!</v>
      </c>
      <c r="AH30" s="34"/>
      <c r="AI30" s="34"/>
      <c r="AJ30" s="9" t="e">
        <f t="shared" si="11"/>
        <v>#DIV/0!</v>
      </c>
      <c r="AK30" s="70">
        <f t="shared" si="20"/>
        <v>0</v>
      </c>
      <c r="AL30" s="70">
        <f t="shared" si="21"/>
        <v>0</v>
      </c>
      <c r="AM30" s="9" t="e">
        <f aca="true" t="shared" si="33" ref="AM30:AM45">AL30/AK30*100</f>
        <v>#DIV/0!</v>
      </c>
      <c r="AN30" s="34"/>
      <c r="AO30" s="34"/>
      <c r="AP30" s="34"/>
      <c r="AQ30" s="34"/>
      <c r="AR30" s="34"/>
      <c r="AS30" s="34"/>
      <c r="AT30" s="57">
        <f t="shared" si="22"/>
        <v>200.70000000000002</v>
      </c>
      <c r="AU30" s="57">
        <f t="shared" si="23"/>
        <v>200.70000000000002</v>
      </c>
      <c r="AV30" s="9">
        <f t="shared" si="6"/>
        <v>100</v>
      </c>
      <c r="AW30" s="57">
        <f t="shared" si="24"/>
        <v>0</v>
      </c>
      <c r="AX30" s="15">
        <f aca="true" t="shared" si="34" ref="AX30:AX42">C30+AT30-AU30</f>
        <v>0</v>
      </c>
      <c r="AY30" s="19">
        <f t="shared" si="13"/>
        <v>200.70000000000002</v>
      </c>
      <c r="AZ30" s="19">
        <f t="shared" si="14"/>
        <v>200.70000000000002</v>
      </c>
      <c r="BA30" s="38">
        <f t="shared" si="15"/>
        <v>0</v>
      </c>
    </row>
    <row r="31" spans="1:53" ht="34.5" customHeight="1">
      <c r="A31" s="11" t="s">
        <v>28</v>
      </c>
      <c r="B31" s="60" t="s">
        <v>3</v>
      </c>
      <c r="C31" s="83">
        <v>-1.8</v>
      </c>
      <c r="D31" s="34">
        <v>30.7</v>
      </c>
      <c r="E31" s="34">
        <v>1.7</v>
      </c>
      <c r="F31" s="9">
        <f t="shared" si="27"/>
        <v>5.537459283387622</v>
      </c>
      <c r="G31" s="34">
        <v>32.5</v>
      </c>
      <c r="H31" s="34">
        <v>28.2</v>
      </c>
      <c r="I31" s="9">
        <f t="shared" si="7"/>
        <v>86.76923076923076</v>
      </c>
      <c r="J31" s="34">
        <v>29.6</v>
      </c>
      <c r="K31" s="34">
        <v>29.2</v>
      </c>
      <c r="L31" s="9">
        <f t="shared" si="28"/>
        <v>98.64864864864865</v>
      </c>
      <c r="M31" s="70">
        <f t="shared" si="16"/>
        <v>92.80000000000001</v>
      </c>
      <c r="N31" s="70">
        <f t="shared" si="17"/>
        <v>59.099999999999994</v>
      </c>
      <c r="O31" s="9">
        <f t="shared" si="2"/>
        <v>63.685344827586185</v>
      </c>
      <c r="P31" s="34">
        <v>22.2</v>
      </c>
      <c r="Q31" s="34">
        <v>9.4</v>
      </c>
      <c r="R31" s="9">
        <f t="shared" si="3"/>
        <v>42.34234234234234</v>
      </c>
      <c r="S31" s="34">
        <v>15.1</v>
      </c>
      <c r="T31" s="34">
        <v>45.5</v>
      </c>
      <c r="U31" s="9">
        <f t="shared" si="4"/>
        <v>301.3245033112583</v>
      </c>
      <c r="V31" s="34">
        <v>9.7</v>
      </c>
      <c r="W31" s="34">
        <v>16.3</v>
      </c>
      <c r="X31" s="9">
        <f t="shared" si="29"/>
        <v>168.04123711340208</v>
      </c>
      <c r="Y31" s="70">
        <f t="shared" si="30"/>
        <v>47</v>
      </c>
      <c r="Z31" s="70">
        <f t="shared" si="31"/>
        <v>71.2</v>
      </c>
      <c r="AA31" s="9">
        <f t="shared" si="32"/>
        <v>151.48936170212767</v>
      </c>
      <c r="AB31" s="34"/>
      <c r="AC31" s="34"/>
      <c r="AD31" s="9" t="e">
        <f t="shared" si="9"/>
        <v>#DIV/0!</v>
      </c>
      <c r="AE31" s="34"/>
      <c r="AF31" s="34"/>
      <c r="AG31" s="9" t="e">
        <f t="shared" si="10"/>
        <v>#DIV/0!</v>
      </c>
      <c r="AH31" s="34"/>
      <c r="AI31" s="34"/>
      <c r="AJ31" s="9" t="e">
        <f t="shared" si="11"/>
        <v>#DIV/0!</v>
      </c>
      <c r="AK31" s="70">
        <f t="shared" si="20"/>
        <v>0</v>
      </c>
      <c r="AL31" s="70">
        <f t="shared" si="21"/>
        <v>0</v>
      </c>
      <c r="AM31" s="9" t="e">
        <f t="shared" si="33"/>
        <v>#DIV/0!</v>
      </c>
      <c r="AN31" s="34"/>
      <c r="AO31" s="34"/>
      <c r="AP31" s="34"/>
      <c r="AQ31" s="34"/>
      <c r="AR31" s="34"/>
      <c r="AS31" s="34"/>
      <c r="AT31" s="57">
        <f t="shared" si="22"/>
        <v>139.8</v>
      </c>
      <c r="AU31" s="57">
        <f t="shared" si="23"/>
        <v>130.3</v>
      </c>
      <c r="AV31" s="9">
        <f t="shared" si="6"/>
        <v>93.20457796852646</v>
      </c>
      <c r="AW31" s="57">
        <f t="shared" si="24"/>
        <v>9.5</v>
      </c>
      <c r="AX31" s="15">
        <f t="shared" si="34"/>
        <v>7.699999999999989</v>
      </c>
      <c r="AY31" s="19">
        <f t="shared" si="13"/>
        <v>139.8</v>
      </c>
      <c r="AZ31" s="19">
        <f t="shared" si="14"/>
        <v>130.3</v>
      </c>
      <c r="BA31" s="38">
        <f t="shared" si="15"/>
        <v>7.699999999999989</v>
      </c>
    </row>
    <row r="32" spans="1:53" ht="34.5" customHeight="1">
      <c r="A32" s="11" t="s">
        <v>29</v>
      </c>
      <c r="B32" s="60" t="s">
        <v>87</v>
      </c>
      <c r="C32" s="66">
        <f>SUM(C33:C34)</f>
        <v>-6.5</v>
      </c>
      <c r="D32" s="66">
        <f aca="true" t="shared" si="35" ref="D32:AS32">SUM(D33:D34)</f>
        <v>56</v>
      </c>
      <c r="E32" s="66">
        <f t="shared" si="35"/>
        <v>6.3</v>
      </c>
      <c r="F32" s="66">
        <f t="shared" si="35"/>
        <v>14.549653579676674</v>
      </c>
      <c r="G32" s="66">
        <f t="shared" si="35"/>
        <v>86.80000000000001</v>
      </c>
      <c r="H32" s="66">
        <f t="shared" si="35"/>
        <v>49.8</v>
      </c>
      <c r="I32" s="66">
        <f t="shared" si="35"/>
        <v>123.58993902439025</v>
      </c>
      <c r="J32" s="66">
        <f t="shared" si="35"/>
        <v>62</v>
      </c>
      <c r="K32" s="66">
        <f t="shared" si="35"/>
        <v>80.1</v>
      </c>
      <c r="L32" s="66">
        <f t="shared" si="35"/>
        <v>286.4945023148148</v>
      </c>
      <c r="M32" s="66">
        <f t="shared" si="35"/>
        <v>204.8</v>
      </c>
      <c r="N32" s="66">
        <f t="shared" si="35"/>
        <v>136.2</v>
      </c>
      <c r="O32" s="9">
        <f t="shared" si="2"/>
        <v>66.50390624999999</v>
      </c>
      <c r="P32" s="66">
        <f t="shared" si="35"/>
        <v>67</v>
      </c>
      <c r="Q32" s="66">
        <f t="shared" si="35"/>
        <v>67.89999999999999</v>
      </c>
      <c r="R32" s="9">
        <f t="shared" si="3"/>
        <v>101.34328358208955</v>
      </c>
      <c r="S32" s="66">
        <f t="shared" si="35"/>
        <v>63.7</v>
      </c>
      <c r="T32" s="66">
        <f t="shared" si="35"/>
        <v>58.699999999999996</v>
      </c>
      <c r="U32" s="66">
        <f t="shared" si="35"/>
        <v>157.81716536433515</v>
      </c>
      <c r="V32" s="66">
        <f t="shared" si="35"/>
        <v>58.599999999999994</v>
      </c>
      <c r="W32" s="66">
        <f t="shared" si="35"/>
        <v>71.7</v>
      </c>
      <c r="X32" s="66">
        <f t="shared" si="35"/>
        <v>212.51419486713607</v>
      </c>
      <c r="Y32" s="66">
        <f t="shared" si="35"/>
        <v>189.3</v>
      </c>
      <c r="Z32" s="66">
        <f t="shared" si="35"/>
        <v>198.3</v>
      </c>
      <c r="AA32" s="9">
        <f t="shared" si="32"/>
        <v>104.75435816164817</v>
      </c>
      <c r="AB32" s="66">
        <f t="shared" si="35"/>
        <v>0</v>
      </c>
      <c r="AC32" s="66">
        <f t="shared" si="35"/>
        <v>0</v>
      </c>
      <c r="AD32" s="66" t="e">
        <f t="shared" si="35"/>
        <v>#DIV/0!</v>
      </c>
      <c r="AE32" s="66">
        <f t="shared" si="35"/>
        <v>0</v>
      </c>
      <c r="AF32" s="66">
        <f t="shared" si="35"/>
        <v>0</v>
      </c>
      <c r="AG32" s="66" t="e">
        <f t="shared" si="35"/>
        <v>#DIV/0!</v>
      </c>
      <c r="AH32" s="66">
        <f t="shared" si="35"/>
        <v>0</v>
      </c>
      <c r="AI32" s="66">
        <f t="shared" si="35"/>
        <v>0</v>
      </c>
      <c r="AJ32" s="66" t="e">
        <f t="shared" si="35"/>
        <v>#DIV/0!</v>
      </c>
      <c r="AK32" s="66">
        <f t="shared" si="35"/>
        <v>0</v>
      </c>
      <c r="AL32" s="66">
        <f t="shared" si="35"/>
        <v>0</v>
      </c>
      <c r="AM32" s="9" t="e">
        <f t="shared" si="33"/>
        <v>#DIV/0!</v>
      </c>
      <c r="AN32" s="66">
        <f t="shared" si="35"/>
        <v>0</v>
      </c>
      <c r="AO32" s="66">
        <f t="shared" si="35"/>
        <v>0</v>
      </c>
      <c r="AP32" s="66">
        <f t="shared" si="35"/>
        <v>0</v>
      </c>
      <c r="AQ32" s="66">
        <f t="shared" si="35"/>
        <v>0</v>
      </c>
      <c r="AR32" s="66">
        <f t="shared" si="35"/>
        <v>0</v>
      </c>
      <c r="AS32" s="66">
        <f t="shared" si="35"/>
        <v>0</v>
      </c>
      <c r="AT32" s="66">
        <f>SUM(AT33:AT34)</f>
        <v>394.1</v>
      </c>
      <c r="AU32" s="66">
        <f>SUM(AU33:AU34)</f>
        <v>334.5</v>
      </c>
      <c r="AV32" s="9">
        <f t="shared" si="6"/>
        <v>84.87693478812484</v>
      </c>
      <c r="AW32" s="66">
        <f>SUM(AW33:AW34)</f>
        <v>59.600000000000065</v>
      </c>
      <c r="AX32" s="66">
        <f>SUM(AX33:AX34)</f>
        <v>53.100000000000065</v>
      </c>
      <c r="AY32" s="19">
        <f t="shared" si="13"/>
        <v>394.1</v>
      </c>
      <c r="AZ32" s="19">
        <f t="shared" si="14"/>
        <v>334.5</v>
      </c>
      <c r="BA32" s="38">
        <f t="shared" si="15"/>
        <v>53.10000000000002</v>
      </c>
    </row>
    <row r="33" spans="1:53" ht="34.5" customHeight="1">
      <c r="A33" s="11"/>
      <c r="B33" s="60" t="s">
        <v>100</v>
      </c>
      <c r="C33" s="83">
        <f>4+(-10.5)</f>
        <v>-6.5</v>
      </c>
      <c r="D33" s="34">
        <f>18.5+24.8</f>
        <v>43.3</v>
      </c>
      <c r="E33" s="34">
        <v>6.3</v>
      </c>
      <c r="F33" s="53">
        <f t="shared" si="27"/>
        <v>14.549653579676674</v>
      </c>
      <c r="G33" s="34">
        <v>70.4</v>
      </c>
      <c r="H33" s="34">
        <f>24.3+14.2</f>
        <v>38.5</v>
      </c>
      <c r="I33" s="9">
        <f t="shared" si="7"/>
        <v>54.6875</v>
      </c>
      <c r="J33" s="34">
        <v>51.2</v>
      </c>
      <c r="K33" s="34">
        <v>62.3</v>
      </c>
      <c r="L33" s="9">
        <f>K33/J33*100</f>
        <v>121.67968749999997</v>
      </c>
      <c r="M33" s="70">
        <f t="shared" si="16"/>
        <v>164.9</v>
      </c>
      <c r="N33" s="70">
        <f t="shared" si="17"/>
        <v>107.1</v>
      </c>
      <c r="O33" s="9">
        <f t="shared" si="2"/>
        <v>64.94845360824742</v>
      </c>
      <c r="P33" s="34">
        <f>14.5+48.7</f>
        <v>63.2</v>
      </c>
      <c r="Q33" s="34">
        <f>18.7+38.4</f>
        <v>57.099999999999994</v>
      </c>
      <c r="R33" s="9">
        <f t="shared" si="3"/>
        <v>90.34810126582276</v>
      </c>
      <c r="S33" s="34">
        <f>18.1+40.2</f>
        <v>58.300000000000004</v>
      </c>
      <c r="T33" s="34">
        <f>14.4+40.9</f>
        <v>55.3</v>
      </c>
      <c r="U33" s="9">
        <f t="shared" si="4"/>
        <v>94.8542024013722</v>
      </c>
      <c r="V33" s="34">
        <f>4.8+47</f>
        <v>51.8</v>
      </c>
      <c r="W33" s="34">
        <f>17.9+48</f>
        <v>65.9</v>
      </c>
      <c r="X33" s="9">
        <f t="shared" si="29"/>
        <v>127.22007722007724</v>
      </c>
      <c r="Y33" s="70">
        <f t="shared" si="30"/>
        <v>173.3</v>
      </c>
      <c r="Z33" s="70">
        <f t="shared" si="31"/>
        <v>178.3</v>
      </c>
      <c r="AA33" s="9">
        <f t="shared" si="32"/>
        <v>102.88517022504328</v>
      </c>
      <c r="AB33" s="34"/>
      <c r="AC33" s="34"/>
      <c r="AD33" s="9" t="e">
        <f t="shared" si="9"/>
        <v>#DIV/0!</v>
      </c>
      <c r="AE33" s="34"/>
      <c r="AF33" s="34"/>
      <c r="AG33" s="9" t="e">
        <f t="shared" si="10"/>
        <v>#DIV/0!</v>
      </c>
      <c r="AH33" s="34"/>
      <c r="AI33" s="34"/>
      <c r="AJ33" s="9" t="e">
        <f t="shared" si="11"/>
        <v>#DIV/0!</v>
      </c>
      <c r="AK33" s="70">
        <f t="shared" si="20"/>
        <v>0</v>
      </c>
      <c r="AL33" s="70">
        <f t="shared" si="21"/>
        <v>0</v>
      </c>
      <c r="AM33" s="9" t="e">
        <f t="shared" si="33"/>
        <v>#DIV/0!</v>
      </c>
      <c r="AN33" s="34"/>
      <c r="AO33" s="34"/>
      <c r="AP33" s="34"/>
      <c r="AQ33" s="34"/>
      <c r="AR33" s="34"/>
      <c r="AS33" s="34"/>
      <c r="AT33" s="57">
        <f t="shared" si="22"/>
        <v>338.20000000000005</v>
      </c>
      <c r="AU33" s="57">
        <f t="shared" si="23"/>
        <v>285.4</v>
      </c>
      <c r="AV33" s="9">
        <f t="shared" si="6"/>
        <v>84.38793613246598</v>
      </c>
      <c r="AW33" s="57">
        <f t="shared" si="24"/>
        <v>52.80000000000007</v>
      </c>
      <c r="AX33" s="15">
        <f t="shared" si="34"/>
        <v>46.30000000000007</v>
      </c>
      <c r="AY33" s="19">
        <f t="shared" si="13"/>
        <v>338.20000000000005</v>
      </c>
      <c r="AZ33" s="19">
        <f t="shared" si="14"/>
        <v>285.4</v>
      </c>
      <c r="BA33" s="38">
        <f t="shared" si="15"/>
        <v>46.30000000000007</v>
      </c>
    </row>
    <row r="34" spans="1:53" ht="37.5" customHeight="1">
      <c r="A34" s="11"/>
      <c r="B34" s="60" t="s">
        <v>88</v>
      </c>
      <c r="C34" s="87">
        <v>0</v>
      </c>
      <c r="D34" s="34">
        <v>12.7</v>
      </c>
      <c r="E34" s="34">
        <v>0</v>
      </c>
      <c r="F34" s="53">
        <f t="shared" si="27"/>
        <v>0</v>
      </c>
      <c r="G34" s="34">
        <f>15.1+1.3</f>
        <v>16.4</v>
      </c>
      <c r="H34" s="34">
        <f>11.3+0</f>
        <v>11.3</v>
      </c>
      <c r="I34" s="9">
        <f t="shared" si="7"/>
        <v>68.90243902439025</v>
      </c>
      <c r="J34" s="34">
        <v>10.8</v>
      </c>
      <c r="K34" s="34">
        <v>17.8</v>
      </c>
      <c r="L34" s="9">
        <f>K34/J34*100</f>
        <v>164.8148148148148</v>
      </c>
      <c r="M34" s="70">
        <f t="shared" si="16"/>
        <v>39.9</v>
      </c>
      <c r="N34" s="70">
        <f t="shared" si="17"/>
        <v>29.1</v>
      </c>
      <c r="O34" s="9">
        <f t="shared" si="2"/>
        <v>72.93233082706767</v>
      </c>
      <c r="P34" s="34">
        <f>3.8</f>
        <v>3.8</v>
      </c>
      <c r="Q34" s="34">
        <v>10.8</v>
      </c>
      <c r="R34" s="9">
        <f t="shared" si="3"/>
        <v>284.21052631578954</v>
      </c>
      <c r="S34" s="34">
        <f>4.8+0.6</f>
        <v>5.3999999999999995</v>
      </c>
      <c r="T34" s="34">
        <v>3.4</v>
      </c>
      <c r="U34" s="9">
        <f t="shared" si="4"/>
        <v>62.96296296296296</v>
      </c>
      <c r="V34" s="34">
        <v>6.8</v>
      </c>
      <c r="W34" s="34">
        <v>5.8</v>
      </c>
      <c r="X34" s="9">
        <f t="shared" si="29"/>
        <v>85.29411764705883</v>
      </c>
      <c r="Y34" s="70">
        <f>P34+S34+V34</f>
        <v>16</v>
      </c>
      <c r="Z34" s="70">
        <f>Q34+T34+W34</f>
        <v>20</v>
      </c>
      <c r="AA34" s="9">
        <f>Z34/Y34*100</f>
        <v>125</v>
      </c>
      <c r="AB34" s="34"/>
      <c r="AC34" s="34"/>
      <c r="AD34" s="9" t="e">
        <f t="shared" si="9"/>
        <v>#DIV/0!</v>
      </c>
      <c r="AE34" s="34"/>
      <c r="AF34" s="34"/>
      <c r="AG34" s="9" t="e">
        <f t="shared" si="10"/>
        <v>#DIV/0!</v>
      </c>
      <c r="AH34" s="34"/>
      <c r="AI34" s="34"/>
      <c r="AJ34" s="9" t="e">
        <f t="shared" si="11"/>
        <v>#DIV/0!</v>
      </c>
      <c r="AK34" s="70">
        <f t="shared" si="20"/>
        <v>0</v>
      </c>
      <c r="AL34" s="70">
        <f t="shared" si="21"/>
        <v>0</v>
      </c>
      <c r="AM34" s="9" t="e">
        <f t="shared" si="33"/>
        <v>#DIV/0!</v>
      </c>
      <c r="AN34" s="34"/>
      <c r="AO34" s="34"/>
      <c r="AP34" s="34"/>
      <c r="AQ34" s="34"/>
      <c r="AR34" s="34"/>
      <c r="AS34" s="34"/>
      <c r="AT34" s="57">
        <f t="shared" si="22"/>
        <v>55.9</v>
      </c>
      <c r="AU34" s="57">
        <f t="shared" si="23"/>
        <v>49.1</v>
      </c>
      <c r="AV34" s="9">
        <f t="shared" si="6"/>
        <v>87.83542039355994</v>
      </c>
      <c r="AW34" s="57">
        <f t="shared" si="24"/>
        <v>6.799999999999997</v>
      </c>
      <c r="AX34" s="15">
        <f t="shared" si="34"/>
        <v>6.799999999999997</v>
      </c>
      <c r="AY34" s="19">
        <f t="shared" si="13"/>
        <v>55.9</v>
      </c>
      <c r="AZ34" s="19">
        <f t="shared" si="14"/>
        <v>49.1</v>
      </c>
      <c r="BA34" s="38">
        <f t="shared" si="15"/>
        <v>6.799999999999997</v>
      </c>
    </row>
    <row r="35" spans="1:53" ht="34.5" customHeight="1">
      <c r="A35" s="11" t="s">
        <v>30</v>
      </c>
      <c r="B35" s="60" t="s">
        <v>60</v>
      </c>
      <c r="C35" s="87">
        <f>-6.1+2.2</f>
        <v>-3.8999999999999995</v>
      </c>
      <c r="D35" s="33">
        <f>80.6+2.2</f>
        <v>82.8</v>
      </c>
      <c r="E35" s="33">
        <f>11.4</f>
        <v>11.4</v>
      </c>
      <c r="F35" s="9">
        <f t="shared" si="27"/>
        <v>13.768115942028986</v>
      </c>
      <c r="G35" s="34">
        <f>77.4+3.4</f>
        <v>80.80000000000001</v>
      </c>
      <c r="H35" s="34">
        <f>44.9+0</f>
        <v>44.9</v>
      </c>
      <c r="I35" s="9">
        <f t="shared" si="7"/>
        <v>55.56930693069306</v>
      </c>
      <c r="J35" s="34">
        <v>62.5</v>
      </c>
      <c r="K35" s="34">
        <v>89.9</v>
      </c>
      <c r="L35" s="9">
        <f t="shared" si="28"/>
        <v>143.84</v>
      </c>
      <c r="M35" s="70">
        <f t="shared" si="16"/>
        <v>226.10000000000002</v>
      </c>
      <c r="N35" s="70">
        <f t="shared" si="17"/>
        <v>146.2</v>
      </c>
      <c r="O35" s="9">
        <f t="shared" si="2"/>
        <v>64.66165413533832</v>
      </c>
      <c r="P35" s="34">
        <v>31.7</v>
      </c>
      <c r="Q35" s="34">
        <v>28.4</v>
      </c>
      <c r="R35" s="9">
        <f t="shared" si="3"/>
        <v>89.58990536277602</v>
      </c>
      <c r="S35" s="34">
        <f>19.2+0.4</f>
        <v>19.599999999999998</v>
      </c>
      <c r="T35" s="34">
        <f>68.2+2.3</f>
        <v>70.5</v>
      </c>
      <c r="U35" s="9">
        <f t="shared" si="4"/>
        <v>359.6938775510205</v>
      </c>
      <c r="V35" s="34">
        <v>46.2</v>
      </c>
      <c r="W35" s="34">
        <v>29.2</v>
      </c>
      <c r="X35" s="9">
        <f t="shared" si="29"/>
        <v>63.203463203463194</v>
      </c>
      <c r="Y35" s="70">
        <f t="shared" si="30"/>
        <v>97.5</v>
      </c>
      <c r="Z35" s="70">
        <f t="shared" si="31"/>
        <v>128.1</v>
      </c>
      <c r="AA35" s="9">
        <f t="shared" si="32"/>
        <v>131.3846153846154</v>
      </c>
      <c r="AB35" s="34"/>
      <c r="AC35" s="34"/>
      <c r="AD35" s="9" t="e">
        <f t="shared" si="9"/>
        <v>#DIV/0!</v>
      </c>
      <c r="AE35" s="34"/>
      <c r="AF35" s="34"/>
      <c r="AG35" s="9" t="e">
        <f t="shared" si="10"/>
        <v>#DIV/0!</v>
      </c>
      <c r="AH35" s="34"/>
      <c r="AI35" s="34"/>
      <c r="AJ35" s="9" t="e">
        <f t="shared" si="11"/>
        <v>#DIV/0!</v>
      </c>
      <c r="AK35" s="70">
        <f t="shared" si="20"/>
        <v>0</v>
      </c>
      <c r="AL35" s="70">
        <f t="shared" si="21"/>
        <v>0</v>
      </c>
      <c r="AM35" s="9" t="e">
        <f t="shared" si="33"/>
        <v>#DIV/0!</v>
      </c>
      <c r="AN35" s="34"/>
      <c r="AO35" s="34"/>
      <c r="AP35" s="34"/>
      <c r="AQ35" s="34"/>
      <c r="AR35" s="34"/>
      <c r="AS35" s="34"/>
      <c r="AT35" s="57">
        <f t="shared" si="22"/>
        <v>323.6</v>
      </c>
      <c r="AU35" s="57">
        <f t="shared" si="23"/>
        <v>274.29999999999995</v>
      </c>
      <c r="AV35" s="9">
        <f t="shared" si="6"/>
        <v>84.76514215080344</v>
      </c>
      <c r="AW35" s="57">
        <f t="shared" si="24"/>
        <v>49.30000000000007</v>
      </c>
      <c r="AX35" s="15">
        <f t="shared" si="34"/>
        <v>45.40000000000009</v>
      </c>
      <c r="AY35" s="19">
        <f t="shared" si="13"/>
        <v>323.6</v>
      </c>
      <c r="AZ35" s="19">
        <f t="shared" si="14"/>
        <v>274.29999999999995</v>
      </c>
      <c r="BA35" s="38">
        <f t="shared" si="15"/>
        <v>45.40000000000009</v>
      </c>
    </row>
    <row r="36" spans="1:53" ht="34.5" customHeight="1">
      <c r="A36" s="11" t="s">
        <v>31</v>
      </c>
      <c r="B36" s="113" t="s">
        <v>61</v>
      </c>
      <c r="C36" s="89">
        <v>0.1</v>
      </c>
      <c r="D36" s="63">
        <v>28</v>
      </c>
      <c r="E36" s="63">
        <v>28</v>
      </c>
      <c r="F36" s="9">
        <f t="shared" si="27"/>
        <v>100</v>
      </c>
      <c r="G36" s="34">
        <v>41.2</v>
      </c>
      <c r="H36" s="34">
        <v>36.5</v>
      </c>
      <c r="I36" s="9">
        <f t="shared" si="7"/>
        <v>88.59223300970874</v>
      </c>
      <c r="J36" s="34">
        <v>35.7</v>
      </c>
      <c r="K36" s="34">
        <v>36.3</v>
      </c>
      <c r="L36" s="9">
        <f t="shared" si="28"/>
        <v>101.68067226890756</v>
      </c>
      <c r="M36" s="70">
        <f t="shared" si="16"/>
        <v>104.9</v>
      </c>
      <c r="N36" s="70">
        <f t="shared" si="17"/>
        <v>100.8</v>
      </c>
      <c r="O36" s="9">
        <f t="shared" si="2"/>
        <v>96.09151572926596</v>
      </c>
      <c r="P36" s="34">
        <v>22.4</v>
      </c>
      <c r="Q36" s="34">
        <v>25.3</v>
      </c>
      <c r="R36" s="9">
        <f t="shared" si="3"/>
        <v>112.94642857142858</v>
      </c>
      <c r="S36" s="34">
        <v>25</v>
      </c>
      <c r="T36" s="34">
        <v>23.9</v>
      </c>
      <c r="U36" s="9">
        <f t="shared" si="4"/>
        <v>95.6</v>
      </c>
      <c r="V36" s="34">
        <v>37.8</v>
      </c>
      <c r="W36" s="34">
        <v>28</v>
      </c>
      <c r="X36" s="101">
        <f t="shared" si="29"/>
        <v>74.07407407407408</v>
      </c>
      <c r="Y36" s="70">
        <f t="shared" si="30"/>
        <v>85.19999999999999</v>
      </c>
      <c r="Z36" s="70">
        <f t="shared" si="31"/>
        <v>77.2</v>
      </c>
      <c r="AA36" s="9">
        <f t="shared" si="32"/>
        <v>90.61032863849768</v>
      </c>
      <c r="AB36" s="34"/>
      <c r="AC36" s="34"/>
      <c r="AD36" s="9" t="e">
        <f t="shared" si="9"/>
        <v>#DIV/0!</v>
      </c>
      <c r="AE36" s="34"/>
      <c r="AF36" s="34"/>
      <c r="AG36" s="9" t="e">
        <f t="shared" si="10"/>
        <v>#DIV/0!</v>
      </c>
      <c r="AH36" s="34"/>
      <c r="AI36" s="34"/>
      <c r="AJ36" s="9" t="e">
        <f t="shared" si="11"/>
        <v>#DIV/0!</v>
      </c>
      <c r="AK36" s="70">
        <f>AB36+AE36+AH36</f>
        <v>0</v>
      </c>
      <c r="AL36" s="70">
        <f>AC36+AF36+AI36</f>
        <v>0</v>
      </c>
      <c r="AM36" s="9" t="e">
        <f t="shared" si="33"/>
        <v>#DIV/0!</v>
      </c>
      <c r="AN36" s="34"/>
      <c r="AO36" s="34"/>
      <c r="AP36" s="34"/>
      <c r="AQ36" s="34"/>
      <c r="AR36" s="34"/>
      <c r="AS36" s="34"/>
      <c r="AT36" s="57">
        <f t="shared" si="22"/>
        <v>190.1</v>
      </c>
      <c r="AU36" s="57">
        <f t="shared" si="23"/>
        <v>178</v>
      </c>
      <c r="AV36" s="9">
        <f t="shared" si="6"/>
        <v>93.63492898474487</v>
      </c>
      <c r="AW36" s="57">
        <f t="shared" si="24"/>
        <v>12.099999999999994</v>
      </c>
      <c r="AX36" s="15">
        <f t="shared" si="34"/>
        <v>12.199999999999989</v>
      </c>
      <c r="AY36" s="19">
        <f t="shared" si="13"/>
        <v>190.1</v>
      </c>
      <c r="AZ36" s="19">
        <f t="shared" si="14"/>
        <v>178</v>
      </c>
      <c r="BA36" s="38">
        <f t="shared" si="15"/>
        <v>12.199999999999989</v>
      </c>
    </row>
    <row r="37" spans="1:53" ht="34.5" customHeight="1">
      <c r="A37" s="11" t="s">
        <v>32</v>
      </c>
      <c r="B37" s="114" t="s">
        <v>62</v>
      </c>
      <c r="C37" s="83">
        <v>-5.3</v>
      </c>
      <c r="D37" s="34">
        <f>95.9+6.7</f>
        <v>102.60000000000001</v>
      </c>
      <c r="E37" s="34">
        <f>93.5+5.4</f>
        <v>98.9</v>
      </c>
      <c r="F37" s="9">
        <f aca="true" t="shared" si="36" ref="F37:F44">E37/D37*100</f>
        <v>96.39376218323586</v>
      </c>
      <c r="G37" s="34">
        <f>122.5+10.3</f>
        <v>132.8</v>
      </c>
      <c r="H37" s="34">
        <f>115.3+7.4</f>
        <v>122.7</v>
      </c>
      <c r="I37" s="9">
        <f t="shared" si="7"/>
        <v>92.394578313253</v>
      </c>
      <c r="J37" s="34">
        <f>106.5+8.2</f>
        <v>114.7</v>
      </c>
      <c r="K37" s="34">
        <f>112.1+11.8</f>
        <v>123.89999999999999</v>
      </c>
      <c r="L37" s="9">
        <f t="shared" si="28"/>
        <v>108.02092414995639</v>
      </c>
      <c r="M37" s="70">
        <f t="shared" si="16"/>
        <v>350.1</v>
      </c>
      <c r="N37" s="70">
        <f t="shared" si="17"/>
        <v>345.5</v>
      </c>
      <c r="O37" s="9">
        <f t="shared" si="2"/>
        <v>98.68608968866037</v>
      </c>
      <c r="P37" s="34">
        <v>67.3</v>
      </c>
      <c r="Q37" s="34">
        <v>68.5</v>
      </c>
      <c r="R37" s="9">
        <f t="shared" si="3"/>
        <v>101.78306092124814</v>
      </c>
      <c r="S37" s="34">
        <v>59.4</v>
      </c>
      <c r="T37" s="34">
        <v>57.1</v>
      </c>
      <c r="U37" s="9">
        <f t="shared" si="4"/>
        <v>96.12794612794613</v>
      </c>
      <c r="V37" s="34">
        <v>80.8</v>
      </c>
      <c r="W37" s="34">
        <v>82.6</v>
      </c>
      <c r="X37" s="9">
        <f t="shared" si="29"/>
        <v>102.22772277227723</v>
      </c>
      <c r="Y37" s="70">
        <f t="shared" si="30"/>
        <v>207.5</v>
      </c>
      <c r="Z37" s="70">
        <f t="shared" si="31"/>
        <v>208.2</v>
      </c>
      <c r="AA37" s="9">
        <f t="shared" si="32"/>
        <v>100.33734939759036</v>
      </c>
      <c r="AB37" s="34"/>
      <c r="AC37" s="34"/>
      <c r="AD37" s="9" t="e">
        <f t="shared" si="9"/>
        <v>#DIV/0!</v>
      </c>
      <c r="AE37" s="34"/>
      <c r="AF37" s="34"/>
      <c r="AG37" s="9" t="e">
        <f t="shared" si="10"/>
        <v>#DIV/0!</v>
      </c>
      <c r="AH37" s="34"/>
      <c r="AI37" s="34"/>
      <c r="AJ37" s="9" t="e">
        <f t="shared" si="11"/>
        <v>#DIV/0!</v>
      </c>
      <c r="AK37" s="70">
        <f t="shared" si="20"/>
        <v>0</v>
      </c>
      <c r="AL37" s="70">
        <f t="shared" si="21"/>
        <v>0</v>
      </c>
      <c r="AM37" s="9" t="e">
        <f t="shared" si="33"/>
        <v>#DIV/0!</v>
      </c>
      <c r="AN37" s="34"/>
      <c r="AO37" s="34"/>
      <c r="AP37" s="34"/>
      <c r="AQ37" s="34"/>
      <c r="AR37" s="34"/>
      <c r="AS37" s="34"/>
      <c r="AT37" s="57">
        <f t="shared" si="22"/>
        <v>557.6</v>
      </c>
      <c r="AU37" s="57">
        <f t="shared" si="23"/>
        <v>553.7</v>
      </c>
      <c r="AV37" s="9">
        <f t="shared" si="6"/>
        <v>99.30057388809182</v>
      </c>
      <c r="AW37" s="57">
        <f t="shared" si="24"/>
        <v>3.8999999999999773</v>
      </c>
      <c r="AX37" s="15">
        <f t="shared" si="34"/>
        <v>-1.3999999999999773</v>
      </c>
      <c r="AY37" s="19">
        <f t="shared" si="13"/>
        <v>557.6</v>
      </c>
      <c r="AZ37" s="19">
        <f t="shared" si="14"/>
        <v>553.7</v>
      </c>
      <c r="BA37" s="38">
        <f t="shared" si="15"/>
        <v>-1.3999999999999773</v>
      </c>
    </row>
    <row r="38" spans="1:53" ht="33.75" customHeight="1">
      <c r="A38" s="11" t="s">
        <v>33</v>
      </c>
      <c r="B38" s="114" t="s">
        <v>89</v>
      </c>
      <c r="C38" s="83">
        <v>0</v>
      </c>
      <c r="D38" s="34">
        <f>170.8+4.6</f>
        <v>175.4</v>
      </c>
      <c r="E38" s="34">
        <f>170.8+4.5</f>
        <v>175.3</v>
      </c>
      <c r="F38" s="9">
        <f t="shared" si="36"/>
        <v>99.94298745724059</v>
      </c>
      <c r="G38" s="34">
        <f>196.2+4.7</f>
        <v>200.89999999999998</v>
      </c>
      <c r="H38" s="34">
        <f>196.2+4.7</f>
        <v>200.89999999999998</v>
      </c>
      <c r="I38" s="9">
        <f t="shared" si="7"/>
        <v>100</v>
      </c>
      <c r="J38" s="34">
        <v>172</v>
      </c>
      <c r="K38" s="34">
        <v>172</v>
      </c>
      <c r="L38" s="9">
        <f t="shared" si="28"/>
        <v>100</v>
      </c>
      <c r="M38" s="70">
        <f t="shared" si="16"/>
        <v>548.3</v>
      </c>
      <c r="N38" s="70">
        <f t="shared" si="17"/>
        <v>548.2</v>
      </c>
      <c r="O38" s="9">
        <f t="shared" si="2"/>
        <v>99.98176180922854</v>
      </c>
      <c r="P38" s="34">
        <v>120.1</v>
      </c>
      <c r="Q38" s="34">
        <v>117.4</v>
      </c>
      <c r="R38" s="9">
        <f t="shared" si="3"/>
        <v>97.75187343880101</v>
      </c>
      <c r="S38" s="34">
        <v>94.2</v>
      </c>
      <c r="T38" s="34">
        <v>96.9</v>
      </c>
      <c r="U38" s="9">
        <f t="shared" si="4"/>
        <v>102.86624203821657</v>
      </c>
      <c r="V38" s="34">
        <v>125.2</v>
      </c>
      <c r="W38" s="34">
        <v>125.2</v>
      </c>
      <c r="X38" s="9">
        <f t="shared" si="29"/>
        <v>100</v>
      </c>
      <c r="Y38" s="70">
        <f t="shared" si="30"/>
        <v>339.5</v>
      </c>
      <c r="Z38" s="70">
        <f t="shared" si="31"/>
        <v>339.5</v>
      </c>
      <c r="AA38" s="9">
        <f t="shared" si="32"/>
        <v>100</v>
      </c>
      <c r="AB38" s="34"/>
      <c r="AC38" s="34"/>
      <c r="AD38" s="9" t="e">
        <f t="shared" si="9"/>
        <v>#DIV/0!</v>
      </c>
      <c r="AE38" s="34"/>
      <c r="AF38" s="34"/>
      <c r="AG38" s="9" t="e">
        <f t="shared" si="10"/>
        <v>#DIV/0!</v>
      </c>
      <c r="AH38" s="34"/>
      <c r="AI38" s="34"/>
      <c r="AJ38" s="9" t="e">
        <f t="shared" si="11"/>
        <v>#DIV/0!</v>
      </c>
      <c r="AK38" s="70">
        <f t="shared" si="20"/>
        <v>0</v>
      </c>
      <c r="AL38" s="70">
        <f t="shared" si="21"/>
        <v>0</v>
      </c>
      <c r="AM38" s="9" t="e">
        <f t="shared" si="33"/>
        <v>#DIV/0!</v>
      </c>
      <c r="AN38" s="34"/>
      <c r="AO38" s="34"/>
      <c r="AP38" s="34"/>
      <c r="AQ38" s="34"/>
      <c r="AR38" s="34"/>
      <c r="AS38" s="34"/>
      <c r="AT38" s="57">
        <f t="shared" si="22"/>
        <v>887.8</v>
      </c>
      <c r="AU38" s="57">
        <f t="shared" si="23"/>
        <v>887.7</v>
      </c>
      <c r="AV38" s="9">
        <f t="shared" si="6"/>
        <v>99.98873620184727</v>
      </c>
      <c r="AW38" s="57">
        <f t="shared" si="24"/>
        <v>0.09999999999990905</v>
      </c>
      <c r="AX38" s="15">
        <f t="shared" si="34"/>
        <v>0.09999999999990905</v>
      </c>
      <c r="AY38" s="19">
        <f t="shared" si="13"/>
        <v>887.8</v>
      </c>
      <c r="AZ38" s="19">
        <f t="shared" si="14"/>
        <v>887.7</v>
      </c>
      <c r="BA38" s="38">
        <f t="shared" si="15"/>
        <v>0.09999999999990905</v>
      </c>
    </row>
    <row r="39" spans="1:53" ht="34.5" customHeight="1">
      <c r="A39" s="11" t="s">
        <v>34</v>
      </c>
      <c r="B39" s="114" t="s">
        <v>4</v>
      </c>
      <c r="C39" s="83">
        <f>15.8+0.5</f>
        <v>16.3</v>
      </c>
      <c r="D39" s="34">
        <f>291.2+3.5</f>
        <v>294.7</v>
      </c>
      <c r="E39" s="34">
        <f>0.5</f>
        <v>0.5</v>
      </c>
      <c r="F39" s="9">
        <f t="shared" si="36"/>
        <v>0.16966406515100105</v>
      </c>
      <c r="G39" s="34">
        <f>446.6+4.7</f>
        <v>451.3</v>
      </c>
      <c r="H39" s="34">
        <f>451.6+2.4</f>
        <v>454</v>
      </c>
      <c r="I39" s="9">
        <f t="shared" si="7"/>
        <v>100.5982716596499</v>
      </c>
      <c r="J39" s="34">
        <v>341.8</v>
      </c>
      <c r="K39" s="34">
        <v>615.6</v>
      </c>
      <c r="L39" s="9">
        <f t="shared" si="28"/>
        <v>180.10532475131654</v>
      </c>
      <c r="M39" s="70">
        <f t="shared" si="16"/>
        <v>1087.8</v>
      </c>
      <c r="N39" s="70">
        <f t="shared" si="17"/>
        <v>1070.1</v>
      </c>
      <c r="O39" s="9">
        <f t="shared" si="2"/>
        <v>98.37286265857695</v>
      </c>
      <c r="P39" s="34">
        <v>234.6</v>
      </c>
      <c r="Q39" s="34">
        <v>260.4</v>
      </c>
      <c r="R39" s="9">
        <f t="shared" si="3"/>
        <v>110.99744245524296</v>
      </c>
      <c r="S39" s="34">
        <v>199.9</v>
      </c>
      <c r="T39" s="34">
        <v>143.8</v>
      </c>
      <c r="U39" s="9">
        <f t="shared" si="4"/>
        <v>71.935967983992</v>
      </c>
      <c r="V39" s="34">
        <v>299.4</v>
      </c>
      <c r="W39" s="34">
        <v>325.6</v>
      </c>
      <c r="X39" s="9">
        <f t="shared" si="29"/>
        <v>108.75083500334001</v>
      </c>
      <c r="Y39" s="70">
        <f t="shared" si="30"/>
        <v>733.9</v>
      </c>
      <c r="Z39" s="70">
        <f t="shared" si="31"/>
        <v>729.8</v>
      </c>
      <c r="AA39" s="9">
        <f t="shared" si="32"/>
        <v>99.4413407821229</v>
      </c>
      <c r="AB39" s="34"/>
      <c r="AC39" s="34"/>
      <c r="AD39" s="9" t="e">
        <f t="shared" si="9"/>
        <v>#DIV/0!</v>
      </c>
      <c r="AE39" s="34"/>
      <c r="AF39" s="34"/>
      <c r="AG39" s="9" t="e">
        <f t="shared" si="10"/>
        <v>#DIV/0!</v>
      </c>
      <c r="AH39" s="34"/>
      <c r="AI39" s="34"/>
      <c r="AJ39" s="9" t="e">
        <f t="shared" si="11"/>
        <v>#DIV/0!</v>
      </c>
      <c r="AK39" s="70">
        <f t="shared" si="20"/>
        <v>0</v>
      </c>
      <c r="AL39" s="70">
        <f t="shared" si="21"/>
        <v>0</v>
      </c>
      <c r="AM39" s="9" t="e">
        <f t="shared" si="33"/>
        <v>#DIV/0!</v>
      </c>
      <c r="AN39" s="34"/>
      <c r="AO39" s="34"/>
      <c r="AP39" s="34"/>
      <c r="AQ39" s="34"/>
      <c r="AR39" s="34"/>
      <c r="AS39" s="34"/>
      <c r="AT39" s="57">
        <f t="shared" si="22"/>
        <v>1821.6999999999998</v>
      </c>
      <c r="AU39" s="57">
        <f t="shared" si="23"/>
        <v>1799.8999999999999</v>
      </c>
      <c r="AV39" s="9">
        <f t="shared" si="6"/>
        <v>98.8033155843443</v>
      </c>
      <c r="AW39" s="57">
        <f t="shared" si="24"/>
        <v>21.799999999999955</v>
      </c>
      <c r="AX39" s="15">
        <f t="shared" si="34"/>
        <v>38.09999999999991</v>
      </c>
      <c r="AY39" s="19">
        <f t="shared" si="13"/>
        <v>1821.6999999999998</v>
      </c>
      <c r="AZ39" s="19">
        <f t="shared" si="14"/>
        <v>1799.8999999999999</v>
      </c>
      <c r="BA39" s="38">
        <f t="shared" si="15"/>
        <v>38.09999999999991</v>
      </c>
    </row>
    <row r="40" spans="1:53" ht="34.5" customHeight="1">
      <c r="A40" s="11" t="s">
        <v>35</v>
      </c>
      <c r="B40" s="114" t="s">
        <v>63</v>
      </c>
      <c r="C40" s="83">
        <v>31.8</v>
      </c>
      <c r="D40" s="34">
        <v>66.4</v>
      </c>
      <c r="E40" s="34">
        <v>0</v>
      </c>
      <c r="F40" s="9">
        <f t="shared" si="36"/>
        <v>0</v>
      </c>
      <c r="G40" s="34">
        <v>63.5</v>
      </c>
      <c r="H40" s="34">
        <v>66.3</v>
      </c>
      <c r="I40" s="9">
        <f t="shared" si="7"/>
        <v>104.40944881889764</v>
      </c>
      <c r="J40" s="34">
        <v>58.5</v>
      </c>
      <c r="K40" s="34">
        <v>62.1</v>
      </c>
      <c r="L40" s="9">
        <f t="shared" si="28"/>
        <v>106.15384615384616</v>
      </c>
      <c r="M40" s="70">
        <f t="shared" si="16"/>
        <v>188.4</v>
      </c>
      <c r="N40" s="70">
        <f t="shared" si="17"/>
        <v>128.4</v>
      </c>
      <c r="O40" s="9">
        <f t="shared" si="2"/>
        <v>68.15286624203821</v>
      </c>
      <c r="P40" s="34">
        <v>21.7</v>
      </c>
      <c r="Q40" s="34">
        <v>42.5</v>
      </c>
      <c r="R40" s="9">
        <f t="shared" si="3"/>
        <v>195.85253456221199</v>
      </c>
      <c r="S40" s="34">
        <v>20</v>
      </c>
      <c r="T40" s="34">
        <v>38.1</v>
      </c>
      <c r="U40" s="9">
        <f t="shared" si="4"/>
        <v>190.5</v>
      </c>
      <c r="V40" s="34">
        <v>37.2</v>
      </c>
      <c r="W40" s="34">
        <v>20</v>
      </c>
      <c r="X40" s="9">
        <f t="shared" si="29"/>
        <v>53.76344086021505</v>
      </c>
      <c r="Y40" s="70">
        <f t="shared" si="30"/>
        <v>78.9</v>
      </c>
      <c r="Z40" s="70">
        <f t="shared" si="31"/>
        <v>100.6</v>
      </c>
      <c r="AA40" s="9">
        <f t="shared" si="32"/>
        <v>127.50316856780735</v>
      </c>
      <c r="AB40" s="34"/>
      <c r="AC40" s="34"/>
      <c r="AD40" s="9" t="e">
        <f t="shared" si="9"/>
        <v>#DIV/0!</v>
      </c>
      <c r="AE40" s="34"/>
      <c r="AF40" s="34"/>
      <c r="AG40" s="9" t="e">
        <f t="shared" si="10"/>
        <v>#DIV/0!</v>
      </c>
      <c r="AH40" s="34"/>
      <c r="AI40" s="34"/>
      <c r="AJ40" s="9" t="e">
        <f t="shared" si="11"/>
        <v>#DIV/0!</v>
      </c>
      <c r="AK40" s="70">
        <f t="shared" si="20"/>
        <v>0</v>
      </c>
      <c r="AL40" s="70">
        <f t="shared" si="21"/>
        <v>0</v>
      </c>
      <c r="AM40" s="9" t="e">
        <f t="shared" si="33"/>
        <v>#DIV/0!</v>
      </c>
      <c r="AN40" s="34"/>
      <c r="AO40" s="34"/>
      <c r="AP40" s="34"/>
      <c r="AQ40" s="34"/>
      <c r="AR40" s="34"/>
      <c r="AS40" s="34"/>
      <c r="AT40" s="57">
        <f t="shared" si="22"/>
        <v>267.3</v>
      </c>
      <c r="AU40" s="57">
        <f t="shared" si="23"/>
        <v>229</v>
      </c>
      <c r="AV40" s="9">
        <f t="shared" si="6"/>
        <v>85.67153011597456</v>
      </c>
      <c r="AW40" s="57">
        <f t="shared" si="24"/>
        <v>38.30000000000001</v>
      </c>
      <c r="AX40" s="15">
        <f t="shared" si="34"/>
        <v>70.10000000000002</v>
      </c>
      <c r="AY40" s="19">
        <f t="shared" si="13"/>
        <v>267.3</v>
      </c>
      <c r="AZ40" s="19">
        <f t="shared" si="14"/>
        <v>229</v>
      </c>
      <c r="BA40" s="38">
        <f t="shared" si="15"/>
        <v>70.10000000000002</v>
      </c>
    </row>
    <row r="41" spans="1:53" ht="34.5" customHeight="1">
      <c r="A41" s="11" t="s">
        <v>36</v>
      </c>
      <c r="B41" s="58" t="s">
        <v>64</v>
      </c>
      <c r="C41" s="89">
        <v>-3.7</v>
      </c>
      <c r="D41" s="34">
        <v>98.3</v>
      </c>
      <c r="E41" s="34">
        <v>6.8</v>
      </c>
      <c r="F41" s="9">
        <f t="shared" si="36"/>
        <v>6.917599186164802</v>
      </c>
      <c r="G41" s="34">
        <v>153.3</v>
      </c>
      <c r="H41" s="34">
        <v>243.2</v>
      </c>
      <c r="I41" s="9">
        <f t="shared" si="7"/>
        <v>158.64318330071754</v>
      </c>
      <c r="J41" s="34">
        <v>130.84319</v>
      </c>
      <c r="K41" s="34">
        <v>122.43785000000001</v>
      </c>
      <c r="L41" s="9">
        <f t="shared" si="28"/>
        <v>93.57602027281666</v>
      </c>
      <c r="M41" s="70">
        <f t="shared" si="16"/>
        <v>382.44319</v>
      </c>
      <c r="N41" s="70">
        <f t="shared" si="17"/>
        <v>372.43785</v>
      </c>
      <c r="O41" s="9">
        <f t="shared" si="2"/>
        <v>97.38383627644149</v>
      </c>
      <c r="P41" s="34">
        <v>55.6881</v>
      </c>
      <c r="Q41" s="34">
        <v>59.26663</v>
      </c>
      <c r="R41" s="9">
        <f t="shared" si="3"/>
        <v>106.42602279481612</v>
      </c>
      <c r="S41" s="34">
        <v>45.9</v>
      </c>
      <c r="T41" s="34">
        <v>51.5</v>
      </c>
      <c r="U41" s="9">
        <f t="shared" si="4"/>
        <v>112.2004357298475</v>
      </c>
      <c r="V41" s="34">
        <v>78.3</v>
      </c>
      <c r="W41" s="34">
        <v>79.2</v>
      </c>
      <c r="X41" s="101">
        <f t="shared" si="29"/>
        <v>101.14942528735634</v>
      </c>
      <c r="Y41" s="70">
        <f t="shared" si="30"/>
        <v>179.8881</v>
      </c>
      <c r="Z41" s="70">
        <f t="shared" si="31"/>
        <v>189.96663</v>
      </c>
      <c r="AA41" s="9">
        <f t="shared" si="32"/>
        <v>105.60266632423156</v>
      </c>
      <c r="AB41" s="34"/>
      <c r="AC41" s="34"/>
      <c r="AD41" s="9" t="e">
        <f t="shared" si="9"/>
        <v>#DIV/0!</v>
      </c>
      <c r="AE41" s="34"/>
      <c r="AF41" s="34"/>
      <c r="AG41" s="9" t="e">
        <f t="shared" si="10"/>
        <v>#DIV/0!</v>
      </c>
      <c r="AH41" s="34"/>
      <c r="AI41" s="34"/>
      <c r="AJ41" s="9" t="e">
        <f t="shared" si="11"/>
        <v>#DIV/0!</v>
      </c>
      <c r="AK41" s="70">
        <f t="shared" si="20"/>
        <v>0</v>
      </c>
      <c r="AL41" s="70">
        <f t="shared" si="21"/>
        <v>0</v>
      </c>
      <c r="AM41" s="9" t="e">
        <f t="shared" si="33"/>
        <v>#DIV/0!</v>
      </c>
      <c r="AN41" s="34"/>
      <c r="AO41" s="34"/>
      <c r="AP41" s="34"/>
      <c r="AQ41" s="34"/>
      <c r="AR41" s="34"/>
      <c r="AS41" s="34"/>
      <c r="AT41" s="57">
        <f t="shared" si="22"/>
        <v>562.3312900000001</v>
      </c>
      <c r="AU41" s="57">
        <f t="shared" si="23"/>
        <v>562.40448</v>
      </c>
      <c r="AV41" s="9">
        <f t="shared" si="6"/>
        <v>100.01301545926778</v>
      </c>
      <c r="AW41" s="57">
        <f t="shared" si="24"/>
        <v>-0.07318999999995413</v>
      </c>
      <c r="AX41" s="15">
        <f t="shared" si="34"/>
        <v>-3.7731899999999996</v>
      </c>
      <c r="AY41" s="19">
        <f t="shared" si="13"/>
        <v>562.3312900000001</v>
      </c>
      <c r="AZ41" s="19">
        <f t="shared" si="14"/>
        <v>562.40448</v>
      </c>
      <c r="BA41" s="38">
        <f t="shared" si="15"/>
        <v>-3.7731899999999996</v>
      </c>
    </row>
    <row r="42" spans="1:53" ht="34.5" customHeight="1">
      <c r="A42" s="11" t="s">
        <v>37</v>
      </c>
      <c r="B42" s="114" t="s">
        <v>48</v>
      </c>
      <c r="C42" s="83">
        <f>3.1+(-0.9)</f>
        <v>2.2</v>
      </c>
      <c r="D42" s="34">
        <f>47.9+61.9</f>
        <v>109.8</v>
      </c>
      <c r="E42" s="34">
        <f>2.5+3.5</f>
        <v>6</v>
      </c>
      <c r="F42" s="9">
        <f t="shared" si="36"/>
        <v>5.46448087431694</v>
      </c>
      <c r="G42" s="34">
        <f>51.6+52.7</f>
        <v>104.30000000000001</v>
      </c>
      <c r="H42" s="34">
        <f>49.3+3.6</f>
        <v>52.9</v>
      </c>
      <c r="I42" s="9">
        <f t="shared" si="7"/>
        <v>50.71907957813997</v>
      </c>
      <c r="J42" s="34">
        <v>92.19999999999999</v>
      </c>
      <c r="K42" s="34">
        <v>52.6</v>
      </c>
      <c r="L42" s="9">
        <f t="shared" si="28"/>
        <v>57.04989154013016</v>
      </c>
      <c r="M42" s="70">
        <f t="shared" si="16"/>
        <v>306.3</v>
      </c>
      <c r="N42" s="70">
        <f t="shared" si="17"/>
        <v>111.5</v>
      </c>
      <c r="O42" s="9">
        <f t="shared" si="2"/>
        <v>36.40222004570683</v>
      </c>
      <c r="P42" s="34">
        <v>66.6</v>
      </c>
      <c r="Q42" s="34">
        <v>51.2</v>
      </c>
      <c r="R42" s="9">
        <f t="shared" si="3"/>
        <v>76.87687687687689</v>
      </c>
      <c r="S42" s="34">
        <f>17+43.1</f>
        <v>60.1</v>
      </c>
      <c r="T42" s="34">
        <f>21.1+31</f>
        <v>52.1</v>
      </c>
      <c r="U42" s="9">
        <f t="shared" si="4"/>
        <v>86.68885191347754</v>
      </c>
      <c r="V42" s="34">
        <f>32.8+49</f>
        <v>81.8</v>
      </c>
      <c r="W42" s="34">
        <f>49.5+68.9</f>
        <v>118.4</v>
      </c>
      <c r="X42" s="101">
        <f t="shared" si="29"/>
        <v>144.7432762836186</v>
      </c>
      <c r="Y42" s="70">
        <f t="shared" si="30"/>
        <v>208.5</v>
      </c>
      <c r="Z42" s="70">
        <f t="shared" si="31"/>
        <v>221.70000000000002</v>
      </c>
      <c r="AA42" s="9">
        <f t="shared" si="32"/>
        <v>106.33093525179858</v>
      </c>
      <c r="AB42" s="34"/>
      <c r="AC42" s="34"/>
      <c r="AD42" s="9" t="e">
        <f t="shared" si="9"/>
        <v>#DIV/0!</v>
      </c>
      <c r="AE42" s="34"/>
      <c r="AF42" s="34"/>
      <c r="AG42" s="9" t="e">
        <f t="shared" si="10"/>
        <v>#DIV/0!</v>
      </c>
      <c r="AH42" s="34"/>
      <c r="AI42" s="34"/>
      <c r="AJ42" s="9" t="e">
        <f t="shared" si="11"/>
        <v>#DIV/0!</v>
      </c>
      <c r="AK42" s="70">
        <f t="shared" si="20"/>
        <v>0</v>
      </c>
      <c r="AL42" s="70">
        <f t="shared" si="21"/>
        <v>0</v>
      </c>
      <c r="AM42" s="9" t="e">
        <f t="shared" si="33"/>
        <v>#DIV/0!</v>
      </c>
      <c r="AN42" s="34"/>
      <c r="AO42" s="34"/>
      <c r="AP42" s="34"/>
      <c r="AQ42" s="34"/>
      <c r="AR42" s="34"/>
      <c r="AS42" s="34"/>
      <c r="AT42" s="57">
        <f t="shared" si="22"/>
        <v>514.8</v>
      </c>
      <c r="AU42" s="57">
        <f t="shared" si="23"/>
        <v>333.20000000000005</v>
      </c>
      <c r="AV42" s="9">
        <f t="shared" si="6"/>
        <v>64.72416472416474</v>
      </c>
      <c r="AW42" s="57">
        <f t="shared" si="24"/>
        <v>181.5999999999999</v>
      </c>
      <c r="AX42" s="15">
        <f t="shared" si="34"/>
        <v>183.79999999999995</v>
      </c>
      <c r="AY42" s="19">
        <f t="shared" si="13"/>
        <v>514.8</v>
      </c>
      <c r="AZ42" s="19">
        <f t="shared" si="14"/>
        <v>333.20000000000005</v>
      </c>
      <c r="BA42" s="38">
        <f t="shared" si="15"/>
        <v>183.79999999999995</v>
      </c>
    </row>
    <row r="43" spans="1:53" s="10" customFormat="1" ht="34.5" customHeight="1">
      <c r="A43" s="11" t="s">
        <v>38</v>
      </c>
      <c r="B43" s="13" t="s">
        <v>66</v>
      </c>
      <c r="C43" s="66">
        <f>SUM(C44:C44)</f>
        <v>1297.6</v>
      </c>
      <c r="D43" s="15">
        <f>SUM(D44:D44)</f>
        <v>2584</v>
      </c>
      <c r="E43" s="15">
        <f>SUM(E44:E44)</f>
        <v>1513.6999999999998</v>
      </c>
      <c r="F43" s="9">
        <f t="shared" si="36"/>
        <v>58.5797213622291</v>
      </c>
      <c r="G43" s="15">
        <f>SUM(G44:G44)</f>
        <v>3513.2</v>
      </c>
      <c r="H43" s="15">
        <f>SUM(H44:H44)</f>
        <v>2946.8</v>
      </c>
      <c r="I43" s="9">
        <f t="shared" si="7"/>
        <v>83.87794603210749</v>
      </c>
      <c r="J43" s="15">
        <f>SUM(J44:J44)</f>
        <v>3159.8</v>
      </c>
      <c r="K43" s="15">
        <f>SUM(K44:K44)</f>
        <v>3669.4</v>
      </c>
      <c r="L43" s="9">
        <f t="shared" si="28"/>
        <v>116.12760301284891</v>
      </c>
      <c r="M43" s="15">
        <f>SUM(M44:M44)</f>
        <v>9257</v>
      </c>
      <c r="N43" s="15">
        <f>SUM(N44:N44)</f>
        <v>8129.9</v>
      </c>
      <c r="O43" s="9">
        <f t="shared" si="2"/>
        <v>87.82434914119045</v>
      </c>
      <c r="P43" s="15">
        <f>SUM(P44:P44)</f>
        <v>1958.4</v>
      </c>
      <c r="Q43" s="15">
        <f>SUM(Q44:Q44)</f>
        <v>3268.5</v>
      </c>
      <c r="R43" s="9">
        <f t="shared" si="3"/>
        <v>166.89644607843138</v>
      </c>
      <c r="S43" s="15">
        <f>SUM(S44:S44)</f>
        <v>2666.1000000000004</v>
      </c>
      <c r="T43" s="15">
        <f>SUM(T44:T44)</f>
        <v>1878.1</v>
      </c>
      <c r="U43" s="9">
        <f t="shared" si="4"/>
        <v>70.44371929034918</v>
      </c>
      <c r="V43" s="15">
        <f>SUM(V44:V44)</f>
        <v>2795.1</v>
      </c>
      <c r="W43" s="15">
        <f>SUM(W44:W44)</f>
        <v>2585.4</v>
      </c>
      <c r="X43" s="9">
        <f t="shared" si="29"/>
        <v>92.49758505956854</v>
      </c>
      <c r="Y43" s="15">
        <f>SUM(Y44:Y44)</f>
        <v>7419.6</v>
      </c>
      <c r="Z43" s="15">
        <f>SUM(Z44:Z44)</f>
        <v>7732</v>
      </c>
      <c r="AA43" s="9">
        <f t="shared" si="32"/>
        <v>104.21046956709257</v>
      </c>
      <c r="AB43" s="15">
        <f>SUM(AB44:AB44)</f>
        <v>0</v>
      </c>
      <c r="AC43" s="15">
        <f>SUM(AC44:AC44)</f>
        <v>0</v>
      </c>
      <c r="AD43" s="9" t="e">
        <f t="shared" si="9"/>
        <v>#DIV/0!</v>
      </c>
      <c r="AE43" s="15">
        <f>SUM(AE44:AE44)</f>
        <v>0</v>
      </c>
      <c r="AF43" s="15">
        <f>SUM(AF44:AF44)</f>
        <v>0</v>
      </c>
      <c r="AG43" s="9" t="e">
        <f t="shared" si="10"/>
        <v>#DIV/0!</v>
      </c>
      <c r="AH43" s="15">
        <f>SUM(AH44:AH44)</f>
        <v>0</v>
      </c>
      <c r="AI43" s="15">
        <f>SUM(AI44:AI44)</f>
        <v>0</v>
      </c>
      <c r="AJ43" s="9" t="e">
        <f t="shared" si="11"/>
        <v>#DIV/0!</v>
      </c>
      <c r="AK43" s="15">
        <f>SUM(AK44:AK44)</f>
        <v>0</v>
      </c>
      <c r="AL43" s="15">
        <f>SUM(AL44:AL44)</f>
        <v>0</v>
      </c>
      <c r="AM43" s="9" t="e">
        <f t="shared" si="33"/>
        <v>#DIV/0!</v>
      </c>
      <c r="AN43" s="15">
        <f aca="true" t="shared" si="37" ref="AN43:AS43">SUM(AN44:AN44)</f>
        <v>0</v>
      </c>
      <c r="AO43" s="15">
        <f t="shared" si="37"/>
        <v>0</v>
      </c>
      <c r="AP43" s="15">
        <f t="shared" si="37"/>
        <v>0</v>
      </c>
      <c r="AQ43" s="15">
        <f t="shared" si="37"/>
        <v>0</v>
      </c>
      <c r="AR43" s="15">
        <f t="shared" si="37"/>
        <v>0</v>
      </c>
      <c r="AS43" s="15">
        <f t="shared" si="37"/>
        <v>0</v>
      </c>
      <c r="AT43" s="101">
        <f>AT44</f>
        <v>16676.6</v>
      </c>
      <c r="AU43" s="101">
        <f>AU44</f>
        <v>15861.9</v>
      </c>
      <c r="AV43" s="9">
        <f t="shared" si="6"/>
        <v>95.11471163186741</v>
      </c>
      <c r="AW43" s="15">
        <f>SUM(AW44:AW44)</f>
        <v>814.6999999999989</v>
      </c>
      <c r="AX43" s="15">
        <f>SUM(AX44:AX44)</f>
        <v>2112.2999999999975</v>
      </c>
      <c r="AY43" s="19">
        <f t="shared" si="13"/>
        <v>16676.6</v>
      </c>
      <c r="AZ43" s="19">
        <f t="shared" si="14"/>
        <v>15861.9</v>
      </c>
      <c r="BA43" s="38">
        <f t="shared" si="15"/>
        <v>2112.2999999999975</v>
      </c>
    </row>
    <row r="44" spans="1:53" s="10" customFormat="1" ht="35.25" customHeight="1">
      <c r="A44" s="8"/>
      <c r="B44" s="37" t="s">
        <v>67</v>
      </c>
      <c r="C44" s="83">
        <f>69.1+1228.5</f>
        <v>1297.6</v>
      </c>
      <c r="D44" s="34">
        <f>940.2+1643.8</f>
        <v>2584</v>
      </c>
      <c r="E44" s="34">
        <f>345.1+1168.6</f>
        <v>1513.6999999999998</v>
      </c>
      <c r="F44" s="9">
        <f t="shared" si="36"/>
        <v>58.5797213622291</v>
      </c>
      <c r="G44" s="34">
        <f>1228+2285.2</f>
        <v>3513.2</v>
      </c>
      <c r="H44" s="34">
        <f>926.6+2020.2</f>
        <v>2946.8</v>
      </c>
      <c r="I44" s="9">
        <f t="shared" si="7"/>
        <v>83.87794603210749</v>
      </c>
      <c r="J44" s="34">
        <v>3159.8</v>
      </c>
      <c r="K44" s="34">
        <v>3669.4</v>
      </c>
      <c r="L44" s="9">
        <f t="shared" si="28"/>
        <v>116.12760301284891</v>
      </c>
      <c r="M44" s="70">
        <f t="shared" si="16"/>
        <v>9257</v>
      </c>
      <c r="N44" s="70">
        <f t="shared" si="17"/>
        <v>8129.9</v>
      </c>
      <c r="O44" s="9">
        <f t="shared" si="2"/>
        <v>87.82434914119045</v>
      </c>
      <c r="P44" s="34">
        <v>1958.4</v>
      </c>
      <c r="Q44" s="34">
        <v>3268.5</v>
      </c>
      <c r="R44" s="9">
        <f t="shared" si="3"/>
        <v>166.89644607843138</v>
      </c>
      <c r="S44" s="34">
        <f>1154.2+1511.9</f>
        <v>2666.1000000000004</v>
      </c>
      <c r="T44" s="34">
        <f>1040+838.1</f>
        <v>1878.1</v>
      </c>
      <c r="U44" s="9">
        <f t="shared" si="4"/>
        <v>70.44371929034918</v>
      </c>
      <c r="V44" s="34">
        <f>1228+1567.1</f>
        <v>2795.1</v>
      </c>
      <c r="W44" s="34">
        <f>1194.2+1391.2</f>
        <v>2585.4</v>
      </c>
      <c r="X44" s="9">
        <f>944.5+1563.5</f>
        <v>2508</v>
      </c>
      <c r="Y44" s="70">
        <f>P44+S44+V44</f>
        <v>7419.6</v>
      </c>
      <c r="Z44" s="70">
        <f>Q44+T44+W44</f>
        <v>7732</v>
      </c>
      <c r="AA44" s="9">
        <f t="shared" si="32"/>
        <v>104.21046956709257</v>
      </c>
      <c r="AB44" s="34"/>
      <c r="AC44" s="34"/>
      <c r="AD44" s="9" t="e">
        <f t="shared" si="9"/>
        <v>#DIV/0!</v>
      </c>
      <c r="AE44" s="34"/>
      <c r="AF44" s="34"/>
      <c r="AG44" s="9" t="e">
        <f t="shared" si="10"/>
        <v>#DIV/0!</v>
      </c>
      <c r="AH44" s="34"/>
      <c r="AI44" s="34"/>
      <c r="AJ44" s="9" t="e">
        <f t="shared" si="11"/>
        <v>#DIV/0!</v>
      </c>
      <c r="AK44" s="70">
        <f>AB44+AE44+AH44</f>
        <v>0</v>
      </c>
      <c r="AL44" s="70">
        <f>AC44+AF44+AI44</f>
        <v>0</v>
      </c>
      <c r="AM44" s="9" t="e">
        <f t="shared" si="33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16676.6</v>
      </c>
      <c r="AU44" s="57">
        <f>N44+Z44+AL44+AO44+AQ44+AS44</f>
        <v>15861.9</v>
      </c>
      <c r="AV44" s="9">
        <f t="shared" si="6"/>
        <v>95.11471163186741</v>
      </c>
      <c r="AW44" s="57">
        <f t="shared" si="24"/>
        <v>814.6999999999989</v>
      </c>
      <c r="AX44" s="15">
        <f>C44+AT44-AU44</f>
        <v>2112.2999999999975</v>
      </c>
      <c r="AY44" s="19">
        <f t="shared" si="13"/>
        <v>16676.6</v>
      </c>
      <c r="AZ44" s="19">
        <f t="shared" si="14"/>
        <v>15861.9</v>
      </c>
      <c r="BA44" s="38">
        <f t="shared" si="15"/>
        <v>2112.2999999999975</v>
      </c>
    </row>
    <row r="45" spans="1:53" ht="34.5" customHeight="1">
      <c r="A45" s="11"/>
      <c r="B45" s="13" t="s">
        <v>90</v>
      </c>
      <c r="C45" s="66">
        <f>C43+C7</f>
        <v>1291.5</v>
      </c>
      <c r="D45" s="15">
        <f>D43+D7</f>
        <v>5276.300000000001</v>
      </c>
      <c r="E45" s="15">
        <f>E43+E7</f>
        <v>3010.9999999999995</v>
      </c>
      <c r="F45" s="9">
        <f>E45/D45*100</f>
        <v>57.06650493717186</v>
      </c>
      <c r="G45" s="15">
        <f>G7+G43</f>
        <v>6927.300000000001</v>
      </c>
      <c r="H45" s="15">
        <f>H7+H43</f>
        <v>6400.700000000001</v>
      </c>
      <c r="I45" s="9">
        <f t="shared" si="7"/>
        <v>92.39819265803415</v>
      </c>
      <c r="J45" s="15">
        <f>J7+J43</f>
        <v>6209.387989999999</v>
      </c>
      <c r="K45" s="15">
        <f>K7+K43</f>
        <v>7085.65844</v>
      </c>
      <c r="L45" s="9">
        <f t="shared" si="28"/>
        <v>114.1120260388174</v>
      </c>
      <c r="M45" s="15">
        <f>M7+M43</f>
        <v>18412.98799</v>
      </c>
      <c r="N45" s="15">
        <f>N7+N43</f>
        <v>16497.35844</v>
      </c>
      <c r="O45" s="9">
        <f t="shared" si="2"/>
        <v>89.596313476985</v>
      </c>
      <c r="P45" s="15">
        <f>P7+P43</f>
        <v>4109.194100000001</v>
      </c>
      <c r="Q45" s="15">
        <f>Q7+Q43</f>
        <v>5426.37717</v>
      </c>
      <c r="R45" s="9">
        <f t="shared" si="3"/>
        <v>132.05453521896175</v>
      </c>
      <c r="S45" s="15">
        <f>S7+S43</f>
        <v>4315.5</v>
      </c>
      <c r="T45" s="15">
        <f>T7+T43</f>
        <v>3463.7999999999997</v>
      </c>
      <c r="U45" s="9">
        <f t="shared" si="4"/>
        <v>80.26416405978449</v>
      </c>
      <c r="V45" s="15">
        <f>V7+V43</f>
        <v>4846.599999999999</v>
      </c>
      <c r="W45" s="15">
        <f>W7+W43</f>
        <v>4831.4</v>
      </c>
      <c r="X45" s="9">
        <f>W45/V45*100</f>
        <v>99.6863780794784</v>
      </c>
      <c r="Y45" s="15">
        <f>Y7+Y43</f>
        <v>13271.2941</v>
      </c>
      <c r="Z45" s="15">
        <f>Z7+Z43</f>
        <v>13721.57717</v>
      </c>
      <c r="AA45" s="9">
        <f t="shared" si="32"/>
        <v>103.39291004032532</v>
      </c>
      <c r="AB45" s="15">
        <f>AB7+AB43</f>
        <v>0</v>
      </c>
      <c r="AC45" s="15">
        <f>AC7+AC43</f>
        <v>0</v>
      </c>
      <c r="AD45" s="9" t="e">
        <f t="shared" si="9"/>
        <v>#DIV/0!</v>
      </c>
      <c r="AE45" s="15">
        <f>AE43+AE7</f>
        <v>0</v>
      </c>
      <c r="AF45" s="15">
        <f>AF43+AF7</f>
        <v>0</v>
      </c>
      <c r="AG45" s="9" t="e">
        <f t="shared" si="10"/>
        <v>#DIV/0!</v>
      </c>
      <c r="AH45" s="15">
        <f>AH43+AH7</f>
        <v>0</v>
      </c>
      <c r="AI45" s="15">
        <f>AI43+AI7</f>
        <v>0</v>
      </c>
      <c r="AJ45" s="9" t="e">
        <f t="shared" si="11"/>
        <v>#DIV/0!</v>
      </c>
      <c r="AK45" s="15">
        <f>AK7+AK43</f>
        <v>0</v>
      </c>
      <c r="AL45" s="15">
        <f>AL7+AL43</f>
        <v>0</v>
      </c>
      <c r="AM45" s="9" t="e">
        <f t="shared" si="33"/>
        <v>#DIV/0!</v>
      </c>
      <c r="AN45" s="15">
        <f aca="true" t="shared" si="38" ref="AN45:AS45">AN43+AN7</f>
        <v>0</v>
      </c>
      <c r="AO45" s="15">
        <f t="shared" si="38"/>
        <v>0</v>
      </c>
      <c r="AP45" s="15">
        <f t="shared" si="38"/>
        <v>0</v>
      </c>
      <c r="AQ45" s="15">
        <f t="shared" si="38"/>
        <v>0</v>
      </c>
      <c r="AR45" s="15">
        <f t="shared" si="38"/>
        <v>0</v>
      </c>
      <c r="AS45" s="15">
        <f t="shared" si="38"/>
        <v>0</v>
      </c>
      <c r="AT45" s="66">
        <f>AT7+AT43</f>
        <v>31684.28209</v>
      </c>
      <c r="AU45" s="66">
        <f>AU7+AU43</f>
        <v>30218.93561</v>
      </c>
      <c r="AV45" s="9">
        <f>AU45/AT45*100</f>
        <v>95.37516275155723</v>
      </c>
      <c r="AW45" s="15">
        <f>AW7+AW43</f>
        <v>1465.3464799999986</v>
      </c>
      <c r="AX45" s="15">
        <f>AX7+AX43</f>
        <v>2756.846479999997</v>
      </c>
      <c r="AY45" s="19">
        <f t="shared" si="13"/>
        <v>31684.28209</v>
      </c>
      <c r="AZ45" s="19">
        <f t="shared" si="14"/>
        <v>30218.93561</v>
      </c>
      <c r="BA45" s="38">
        <f t="shared" si="15"/>
        <v>2756.84648</v>
      </c>
    </row>
    <row r="46" spans="1:62" s="110" customFormat="1" ht="96" customHeight="1">
      <c r="A46" s="242" t="s">
        <v>95</v>
      </c>
      <c r="B46" s="242"/>
      <c r="C46" s="242"/>
      <c r="D46" s="124"/>
      <c r="E46" s="124"/>
      <c r="F46" s="132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94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250" t="s">
        <v>75</v>
      </c>
      <c r="AX47" s="251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16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0" s="28" customFormat="1" ht="63.75" customHeight="1">
      <c r="A51" s="25"/>
      <c r="B51" s="233" t="s">
        <v>76</v>
      </c>
      <c r="C51" s="233"/>
      <c r="D51" s="233"/>
      <c r="E51" s="233"/>
      <c r="F51" s="233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</row>
    <row r="52" spans="1:50" ht="73.5" customHeight="1" hidden="1">
      <c r="A52" s="243" t="s">
        <v>72</v>
      </c>
      <c r="B52" s="243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18.75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7:50" ht="18.75"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2:50" ht="18.75">
      <c r="B55" s="93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18.75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18.75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7:50" ht="18.75"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7:50" ht="18.75"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18.75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18.75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18.75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18.75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18.75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18.75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18.75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18.75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18.75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18.75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18.75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18.75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18.75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18.75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18.75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18.75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18.75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18.75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18.75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18.75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18.75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18.75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18.75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18.75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18.75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18.75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18.75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18.75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18.75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18.75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18.75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18.75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18.75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18.75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18.75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18.75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18.75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18.75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</sheetData>
  <sheetProtection/>
  <mergeCells count="25">
    <mergeCell ref="AW47:AX47"/>
    <mergeCell ref="Y5:AA5"/>
    <mergeCell ref="V5:X5"/>
    <mergeCell ref="AE5:AG5"/>
    <mergeCell ref="AP5:AQ5"/>
    <mergeCell ref="AR5:AS5"/>
    <mergeCell ref="AH5:AJ5"/>
    <mergeCell ref="A52:B52"/>
    <mergeCell ref="B51:F51"/>
    <mergeCell ref="D5:F5"/>
    <mergeCell ref="G5:I5"/>
    <mergeCell ref="P5:R5"/>
    <mergeCell ref="J5:L5"/>
    <mergeCell ref="M5:O5"/>
    <mergeCell ref="A46:C46"/>
    <mergeCell ref="I1:AX1"/>
    <mergeCell ref="B4:F4"/>
    <mergeCell ref="AT5:AV5"/>
    <mergeCell ref="AW5:AW6"/>
    <mergeCell ref="AN5:AO5"/>
    <mergeCell ref="AK5:AM5"/>
    <mergeCell ref="S5:U5"/>
    <mergeCell ref="AX5:AX6"/>
    <mergeCell ref="A2:AX3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2">
      <pane xSplit="6" ySplit="4" topLeftCell="U35" activePane="bottomRight" state="frozen"/>
      <selection pane="topLeft" activeCell="A2" sqref="A2"/>
      <selection pane="topRight" activeCell="G2" sqref="G2"/>
      <selection pane="bottomLeft" activeCell="A6" sqref="A6"/>
      <selection pane="bottomRight" activeCell="X39" sqref="X39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5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2.75390625" style="10" customWidth="1"/>
    <col min="14" max="14" width="12.3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1.125" style="10" customWidth="1"/>
    <col min="22" max="22" width="15.25390625" style="10" customWidth="1"/>
    <col min="23" max="23" width="14.25390625" style="10" customWidth="1"/>
    <col min="24" max="24" width="11.125" style="10" customWidth="1"/>
    <col min="25" max="25" width="12.75390625" style="10" hidden="1" customWidth="1"/>
    <col min="26" max="26" width="12.375" style="10" hidden="1" customWidth="1"/>
    <col min="27" max="27" width="11.125" style="10" hidden="1" customWidth="1"/>
    <col min="28" max="28" width="15.25390625" style="10" hidden="1" customWidth="1"/>
    <col min="29" max="29" width="14.2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75390625" style="10" hidden="1" customWidth="1"/>
    <col min="35" max="36" width="11.00390625" style="10" hidden="1" customWidth="1"/>
    <col min="37" max="37" width="12.75390625" style="10" hidden="1" customWidth="1"/>
    <col min="38" max="38" width="12.375" style="10" hidden="1" customWidth="1"/>
    <col min="39" max="39" width="11.125" style="10" hidden="1" customWidth="1"/>
    <col min="40" max="40" width="12.75390625" style="10" hidden="1" customWidth="1"/>
    <col min="41" max="41" width="11.00390625" style="10" hidden="1" customWidth="1"/>
    <col min="42" max="42" width="12.75390625" style="10" hidden="1" customWidth="1"/>
    <col min="43" max="43" width="11.00390625" style="10" hidden="1" customWidth="1"/>
    <col min="44" max="44" width="12.75390625" style="10" hidden="1" customWidth="1"/>
    <col min="45" max="45" width="11.00390625" style="10" hidden="1" customWidth="1"/>
    <col min="46" max="47" width="14.75390625" style="2" customWidth="1"/>
    <col min="48" max="48" width="11.125" style="10" customWidth="1"/>
    <col min="49" max="49" width="17.875" style="2" hidden="1" customWidth="1"/>
    <col min="50" max="50" width="26.625" style="2" customWidth="1"/>
    <col min="51" max="51" width="13.00390625" style="2" customWidth="1"/>
    <col min="52" max="52" width="11.625" style="2" customWidth="1"/>
    <col min="53" max="53" width="11.25390625" style="2" customWidth="1"/>
    <col min="54" max="16384" width="6.75390625" style="2" customWidth="1"/>
  </cols>
  <sheetData>
    <row r="1" spans="9:50" ht="14.25" customHeight="1">
      <c r="I1" s="245" t="s">
        <v>42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</row>
    <row r="2" spans="1:50" s="50" customFormat="1" ht="60" customHeight="1">
      <c r="A2" s="247" t="s">
        <v>121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</row>
    <row r="3" spans="1:50" s="50" customFormat="1" ht="60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</row>
    <row r="4" spans="2:50" ht="49.5" customHeight="1">
      <c r="B4" s="246"/>
      <c r="C4" s="246"/>
      <c r="D4" s="246"/>
      <c r="E4" s="246"/>
      <c r="F4" s="246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84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5"/>
      <c r="AJ5" s="236"/>
      <c r="AK5" s="234" t="s">
        <v>107</v>
      </c>
      <c r="AL5" s="235"/>
      <c r="AM5" s="236"/>
      <c r="AN5" s="234" t="s">
        <v>108</v>
      </c>
      <c r="AO5" s="236"/>
      <c r="AP5" s="234" t="s">
        <v>109</v>
      </c>
      <c r="AQ5" s="236"/>
      <c r="AR5" s="234" t="s">
        <v>110</v>
      </c>
      <c r="AS5" s="236"/>
      <c r="AT5" s="239" t="s">
        <v>111</v>
      </c>
      <c r="AU5" s="240"/>
      <c r="AV5" s="241"/>
      <c r="AW5" s="253" t="s">
        <v>78</v>
      </c>
      <c r="AX5" s="237" t="s">
        <v>124</v>
      </c>
    </row>
    <row r="6" spans="1:50" ht="56.2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254"/>
      <c r="AX6" s="238"/>
    </row>
    <row r="7" spans="1:53" s="10" customFormat="1" ht="36" customHeight="1">
      <c r="A7" s="8"/>
      <c r="B7" s="111" t="s">
        <v>92</v>
      </c>
      <c r="C7" s="9">
        <f>SUM(C8:C42)-C33-C34</f>
        <v>6.399999999999998</v>
      </c>
      <c r="D7" s="9">
        <f aca="true" t="shared" si="0" ref="D7:AS7">SUM(D8:D42)-D33-D34</f>
        <v>121.80000000000001</v>
      </c>
      <c r="E7" s="9">
        <f t="shared" si="0"/>
        <v>59.199999999999996</v>
      </c>
      <c r="F7" s="9">
        <f>E7/D7*100</f>
        <v>48.60426929392446</v>
      </c>
      <c r="G7" s="9">
        <f t="shared" si="0"/>
        <v>248.62</v>
      </c>
      <c r="H7" s="9">
        <f t="shared" si="0"/>
        <v>217.78</v>
      </c>
      <c r="I7" s="9">
        <f aca="true" t="shared" si="1" ref="I7:I30">H7/G7*100</f>
        <v>87.59552731075537</v>
      </c>
      <c r="J7" s="9">
        <f t="shared" si="0"/>
        <v>224.19</v>
      </c>
      <c r="K7" s="9">
        <f t="shared" si="0"/>
        <v>223.32</v>
      </c>
      <c r="L7" s="9">
        <f>K7/J7*100</f>
        <v>99.61193630402782</v>
      </c>
      <c r="M7" s="9">
        <f t="shared" si="0"/>
        <v>594.6100000000001</v>
      </c>
      <c r="N7" s="9">
        <f t="shared" si="0"/>
        <v>500.29999999999995</v>
      </c>
      <c r="O7" s="9">
        <f>N7/M7*100</f>
        <v>84.13918366660498</v>
      </c>
      <c r="P7" s="9">
        <f t="shared" si="0"/>
        <v>145.1</v>
      </c>
      <c r="Q7" s="9">
        <f t="shared" si="0"/>
        <v>172.39999999999998</v>
      </c>
      <c r="R7" s="9">
        <f aca="true" t="shared" si="2" ref="R7:R45">Q7/P7*100</f>
        <v>118.81461061337009</v>
      </c>
      <c r="S7" s="9">
        <f t="shared" si="0"/>
        <v>139.79999999999998</v>
      </c>
      <c r="T7" s="9">
        <f t="shared" si="0"/>
        <v>144.6</v>
      </c>
      <c r="U7" s="9">
        <f aca="true" t="shared" si="3" ref="U7:U45">T7/S7*100</f>
        <v>103.43347639484979</v>
      </c>
      <c r="V7" s="9">
        <f t="shared" si="0"/>
        <v>201.9</v>
      </c>
      <c r="W7" s="9">
        <f t="shared" si="0"/>
        <v>153.20000000000005</v>
      </c>
      <c r="X7" s="9">
        <f t="shared" si="0"/>
        <v>2534.675431396875</v>
      </c>
      <c r="Y7" s="9">
        <f t="shared" si="0"/>
        <v>486.80000000000007</v>
      </c>
      <c r="Z7" s="9">
        <f t="shared" si="0"/>
        <v>470.2</v>
      </c>
      <c r="AA7" s="9">
        <f>Z7/Y7*100</f>
        <v>96.58997534921939</v>
      </c>
      <c r="AB7" s="9">
        <f t="shared" si="0"/>
        <v>0</v>
      </c>
      <c r="AC7" s="9">
        <f t="shared" si="0"/>
        <v>0</v>
      </c>
      <c r="AD7" s="9" t="e">
        <f t="shared" si="0"/>
        <v>#DIV/0!</v>
      </c>
      <c r="AE7" s="9">
        <f t="shared" si="0"/>
        <v>0</v>
      </c>
      <c r="AF7" s="9">
        <f t="shared" si="0"/>
        <v>0</v>
      </c>
      <c r="AG7" s="9" t="e">
        <f t="shared" si="0"/>
        <v>#DIV/0!</v>
      </c>
      <c r="AH7" s="9">
        <f t="shared" si="0"/>
        <v>0</v>
      </c>
      <c r="AI7" s="9">
        <f t="shared" si="0"/>
        <v>0</v>
      </c>
      <c r="AJ7" s="9" t="e">
        <f t="shared" si="0"/>
        <v>#DIV/0!</v>
      </c>
      <c r="AK7" s="9">
        <f t="shared" si="0"/>
        <v>0</v>
      </c>
      <c r="AL7" s="9">
        <f t="shared" si="0"/>
        <v>0</v>
      </c>
      <c r="AM7" s="9" t="e">
        <f>AL7/AK7*100</f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>SUM(AT8:AT42)-AT33-AT34</f>
        <v>1081.41</v>
      </c>
      <c r="AU7" s="9">
        <f>SUM(AU8:AU42)-AU33-AU34</f>
        <v>970.4999999999999</v>
      </c>
      <c r="AV7" s="9">
        <f>AU7/AT7*100</f>
        <v>89.74394540461063</v>
      </c>
      <c r="AW7" s="53">
        <f>SUM(AW8:AW42)</f>
        <v>110.1100000000001</v>
      </c>
      <c r="AX7" s="9">
        <f>SUM(AX8:AX42)-AX33-AX34</f>
        <v>117.3100000000001</v>
      </c>
      <c r="AY7" s="19">
        <f>M7+Y7+AK7+AN7+AP7+AR7</f>
        <v>1081.4100000000003</v>
      </c>
      <c r="AZ7" s="19">
        <f>N7+Z7+AL7+AO7+AQ7+AS7</f>
        <v>970.5</v>
      </c>
      <c r="BA7" s="38">
        <f>C7+AY7-AZ7</f>
        <v>117.3100000000004</v>
      </c>
    </row>
    <row r="8" spans="1:53" ht="34.5" customHeight="1">
      <c r="A8" s="11" t="s">
        <v>5</v>
      </c>
      <c r="B8" s="56" t="s">
        <v>49</v>
      </c>
      <c r="C8" s="12">
        <v>-0.1</v>
      </c>
      <c r="D8" s="34">
        <v>22.8</v>
      </c>
      <c r="E8" s="34">
        <v>18.4</v>
      </c>
      <c r="F8" s="9">
        <f>E8/D8*100</f>
        <v>80.7017543859649</v>
      </c>
      <c r="G8" s="34">
        <v>51.1</v>
      </c>
      <c r="H8" s="34">
        <v>49.2</v>
      </c>
      <c r="I8" s="9">
        <f t="shared" si="1"/>
        <v>96.28180039138944</v>
      </c>
      <c r="J8" s="34">
        <v>23.2</v>
      </c>
      <c r="K8" s="34">
        <v>24.5</v>
      </c>
      <c r="L8" s="9">
        <f>K8/J8*100</f>
        <v>105.60344827586208</v>
      </c>
      <c r="M8" s="70">
        <f>D8+G8+J8</f>
        <v>97.10000000000001</v>
      </c>
      <c r="N8" s="70">
        <f>E8+H8+K8</f>
        <v>92.1</v>
      </c>
      <c r="O8" s="9">
        <f>N8/M8*100</f>
        <v>94.8506694129763</v>
      </c>
      <c r="P8" s="34">
        <v>8</v>
      </c>
      <c r="Q8" s="34">
        <v>9.4</v>
      </c>
      <c r="R8" s="9">
        <f t="shared" si="2"/>
        <v>117.5</v>
      </c>
      <c r="S8" s="34">
        <v>7.3</v>
      </c>
      <c r="T8" s="34">
        <v>8</v>
      </c>
      <c r="U8" s="9">
        <f t="shared" si="3"/>
        <v>109.58904109589041</v>
      </c>
      <c r="V8" s="34">
        <v>8.5</v>
      </c>
      <c r="W8" s="34">
        <v>7.2</v>
      </c>
      <c r="X8" s="9">
        <f>W8/V8*100</f>
        <v>84.70588235294117</v>
      </c>
      <c r="Y8" s="70">
        <f>P8+S8+V8</f>
        <v>23.8</v>
      </c>
      <c r="Z8" s="70">
        <f>Q8+T8+W8</f>
        <v>24.599999999999998</v>
      </c>
      <c r="AA8" s="9">
        <f>Z8/Y8*100</f>
        <v>103.36134453781511</v>
      </c>
      <c r="AB8" s="34"/>
      <c r="AC8" s="34"/>
      <c r="AD8" s="9" t="e">
        <f aca="true" t="shared" si="4" ref="AD8:AD45">AC8/AB8*100</f>
        <v>#DIV/0!</v>
      </c>
      <c r="AE8" s="34"/>
      <c r="AF8" s="34"/>
      <c r="AG8" s="9" t="e">
        <f aca="true" t="shared" si="5" ref="AG8:AG45">AF8/AE8*100</f>
        <v>#DIV/0!</v>
      </c>
      <c r="AH8" s="34"/>
      <c r="AI8" s="34"/>
      <c r="AJ8" s="9" t="e">
        <f>AI8/AH8*100</f>
        <v>#DIV/0!</v>
      </c>
      <c r="AK8" s="70">
        <f>AB8+AE8+AH8</f>
        <v>0</v>
      </c>
      <c r="AL8" s="70">
        <f>AC8+AF8+AI8</f>
        <v>0</v>
      </c>
      <c r="AM8" s="9" t="e">
        <f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120.9</v>
      </c>
      <c r="AU8" s="57">
        <f>N8+Z8+AL8+AO8+AQ8+AS8</f>
        <v>116.69999999999999</v>
      </c>
      <c r="AV8" s="9">
        <f>AU8/AT8*100</f>
        <v>96.52605459057071</v>
      </c>
      <c r="AW8" s="57">
        <f>AT8-AU8</f>
        <v>4.200000000000017</v>
      </c>
      <c r="AX8" s="15">
        <f>C8+AT8-AU8</f>
        <v>4.100000000000023</v>
      </c>
      <c r="AY8" s="19">
        <f aca="true" t="shared" si="6" ref="AY8:AY45">M8+Y8+AK8+AN8+AP8+AR8</f>
        <v>120.9</v>
      </c>
      <c r="AZ8" s="19">
        <f aca="true" t="shared" si="7" ref="AZ8:AZ45">N8+Z8+AL8+AO8+AQ8+AS8</f>
        <v>116.69999999999999</v>
      </c>
      <c r="BA8" s="38">
        <f aca="true" t="shared" si="8" ref="BA8:BA45">C8+AY8-AZ8</f>
        <v>4.100000000000023</v>
      </c>
    </row>
    <row r="9" spans="1:53" ht="34.5" customHeight="1">
      <c r="A9" s="11" t="s">
        <v>6</v>
      </c>
      <c r="B9" s="58" t="s">
        <v>65</v>
      </c>
      <c r="C9" s="12">
        <v>-1.6</v>
      </c>
      <c r="D9" s="34">
        <v>0</v>
      </c>
      <c r="E9" s="34">
        <v>0</v>
      </c>
      <c r="F9" s="84" t="e">
        <f aca="true" t="shared" si="9" ref="F9:F31">E9/D9*100</f>
        <v>#DIV/0!</v>
      </c>
      <c r="G9" s="34">
        <v>0</v>
      </c>
      <c r="H9" s="34">
        <v>0</v>
      </c>
      <c r="I9" s="84" t="e">
        <f t="shared" si="1"/>
        <v>#DIV/0!</v>
      </c>
      <c r="J9" s="34">
        <v>0.7</v>
      </c>
      <c r="K9" s="34">
        <v>0</v>
      </c>
      <c r="L9" s="9">
        <f>K9/J9*100</f>
        <v>0</v>
      </c>
      <c r="M9" s="70">
        <f>D9+G9+J9</f>
        <v>0.7</v>
      </c>
      <c r="N9" s="70">
        <f>E9+H9+K9</f>
        <v>0</v>
      </c>
      <c r="O9" s="9">
        <f>N9/M9*100</f>
        <v>0</v>
      </c>
      <c r="P9" s="34">
        <v>1.2</v>
      </c>
      <c r="Q9" s="34">
        <v>0</v>
      </c>
      <c r="R9" s="9">
        <f t="shared" si="2"/>
        <v>0</v>
      </c>
      <c r="S9" s="34">
        <v>0.6</v>
      </c>
      <c r="T9" s="34">
        <v>0.5</v>
      </c>
      <c r="U9" s="9">
        <f t="shared" si="3"/>
        <v>83.33333333333334</v>
      </c>
      <c r="V9" s="34">
        <v>1.1</v>
      </c>
      <c r="W9" s="34">
        <v>0.3</v>
      </c>
      <c r="X9" s="9">
        <f>W9/V9*100</f>
        <v>27.27272727272727</v>
      </c>
      <c r="Y9" s="70">
        <f>P9+S9+V9</f>
        <v>2.9</v>
      </c>
      <c r="Z9" s="70">
        <f>Q9+T9+W9</f>
        <v>0.8</v>
      </c>
      <c r="AA9" s="9">
        <f>Z9/Y9*100</f>
        <v>27.586206896551722</v>
      </c>
      <c r="AB9" s="34"/>
      <c r="AC9" s="34"/>
      <c r="AD9" s="9" t="e">
        <f t="shared" si="4"/>
        <v>#DIV/0!</v>
      </c>
      <c r="AE9" s="34"/>
      <c r="AF9" s="34"/>
      <c r="AG9" s="9" t="e">
        <f t="shared" si="5"/>
        <v>#DIV/0!</v>
      </c>
      <c r="AH9" s="34"/>
      <c r="AI9" s="34"/>
      <c r="AJ9" s="9" t="e">
        <f>AI9/AH9*100</f>
        <v>#DIV/0!</v>
      </c>
      <c r="AK9" s="70">
        <f>AB9+AE9+AH9</f>
        <v>0</v>
      </c>
      <c r="AL9" s="70">
        <f>AC9+AF9+AI9</f>
        <v>0</v>
      </c>
      <c r="AM9" s="9" t="e">
        <f>AL9/AK9*100</f>
        <v>#DIV/0!</v>
      </c>
      <c r="AN9" s="34"/>
      <c r="AO9" s="34"/>
      <c r="AP9" s="34"/>
      <c r="AQ9" s="34"/>
      <c r="AR9" s="34"/>
      <c r="AS9" s="34"/>
      <c r="AT9" s="57">
        <f>M9+Y9+AK9+AN9+AP9+AR9</f>
        <v>3.5999999999999996</v>
      </c>
      <c r="AU9" s="57">
        <f>N9+Z9+AL9+AO9+AQ9+AS9</f>
        <v>0.8</v>
      </c>
      <c r="AV9" s="84">
        <f>AU9/AT9*100</f>
        <v>22.222222222222225</v>
      </c>
      <c r="AW9" s="57">
        <f>AT9-AU9</f>
        <v>2.8</v>
      </c>
      <c r="AX9" s="15">
        <f>C9+AT9-AU9</f>
        <v>1.1999999999999995</v>
      </c>
      <c r="AY9" s="19">
        <f t="shared" si="6"/>
        <v>3.5999999999999996</v>
      </c>
      <c r="AZ9" s="19">
        <f t="shared" si="7"/>
        <v>0.8</v>
      </c>
      <c r="BA9" s="38">
        <f t="shared" si="8"/>
        <v>1.1999999999999995</v>
      </c>
    </row>
    <row r="10" spans="1:53" ht="34.5" customHeight="1">
      <c r="A10" s="11" t="s">
        <v>7</v>
      </c>
      <c r="B10" s="60" t="s">
        <v>81</v>
      </c>
      <c r="C10" s="12"/>
      <c r="D10" s="34"/>
      <c r="E10" s="34"/>
      <c r="F10" s="84" t="e">
        <f t="shared" si="9"/>
        <v>#DIV/0!</v>
      </c>
      <c r="G10" s="34"/>
      <c r="H10" s="34"/>
      <c r="I10" s="84" t="e">
        <f t="shared" si="1"/>
        <v>#DIV/0!</v>
      </c>
      <c r="J10" s="34"/>
      <c r="K10" s="34"/>
      <c r="L10" s="84"/>
      <c r="M10" s="70"/>
      <c r="N10" s="70"/>
      <c r="O10" s="9"/>
      <c r="P10" s="34"/>
      <c r="Q10" s="34"/>
      <c r="R10" s="84" t="e">
        <f t="shared" si="2"/>
        <v>#DIV/0!</v>
      </c>
      <c r="S10" s="34"/>
      <c r="T10" s="34"/>
      <c r="U10" s="84" t="e">
        <f t="shared" si="3"/>
        <v>#DIV/0!</v>
      </c>
      <c r="V10" s="34"/>
      <c r="W10" s="34"/>
      <c r="X10" s="84"/>
      <c r="Y10" s="70"/>
      <c r="Z10" s="70"/>
      <c r="AA10" s="9"/>
      <c r="AB10" s="34"/>
      <c r="AC10" s="34"/>
      <c r="AD10" s="84" t="e">
        <f t="shared" si="4"/>
        <v>#DIV/0!</v>
      </c>
      <c r="AE10" s="34"/>
      <c r="AF10" s="34"/>
      <c r="AG10" s="84" t="e">
        <f t="shared" si="5"/>
        <v>#DIV/0!</v>
      </c>
      <c r="AH10" s="34"/>
      <c r="AI10" s="34"/>
      <c r="AJ10" s="9"/>
      <c r="AK10" s="70"/>
      <c r="AL10" s="70"/>
      <c r="AM10" s="9"/>
      <c r="AN10" s="34"/>
      <c r="AO10" s="34"/>
      <c r="AP10" s="34"/>
      <c r="AQ10" s="34"/>
      <c r="AR10" s="34"/>
      <c r="AS10" s="34"/>
      <c r="AT10" s="57"/>
      <c r="AU10" s="57"/>
      <c r="AV10" s="84"/>
      <c r="AW10" s="57"/>
      <c r="AX10" s="15"/>
      <c r="AY10" s="19">
        <f t="shared" si="6"/>
        <v>0</v>
      </c>
      <c r="AZ10" s="19">
        <f t="shared" si="7"/>
        <v>0</v>
      </c>
      <c r="BA10" s="38">
        <f t="shared" si="8"/>
        <v>0</v>
      </c>
    </row>
    <row r="11" spans="1:53" ht="34.5" customHeight="1">
      <c r="A11" s="11" t="s">
        <v>8</v>
      </c>
      <c r="B11" s="56" t="s">
        <v>50</v>
      </c>
      <c r="C11" s="12">
        <v>-1</v>
      </c>
      <c r="D11" s="34">
        <v>3.7</v>
      </c>
      <c r="E11" s="34">
        <v>1.9</v>
      </c>
      <c r="F11" s="9">
        <f t="shared" si="9"/>
        <v>51.35135135135135</v>
      </c>
      <c r="G11" s="34">
        <v>2.1</v>
      </c>
      <c r="H11" s="34">
        <v>2.2</v>
      </c>
      <c r="I11" s="9">
        <f t="shared" si="1"/>
        <v>104.76190476190477</v>
      </c>
      <c r="J11" s="34">
        <v>2.1</v>
      </c>
      <c r="K11" s="34">
        <v>2.8</v>
      </c>
      <c r="L11" s="9">
        <f>K11/J11*100</f>
        <v>133.33333333333331</v>
      </c>
      <c r="M11" s="70">
        <f>D11+G11+J11</f>
        <v>7.9</v>
      </c>
      <c r="N11" s="70">
        <f>E11+H11+K11</f>
        <v>6.8999999999999995</v>
      </c>
      <c r="O11" s="9">
        <f>N11/M11*100</f>
        <v>87.34177215189872</v>
      </c>
      <c r="P11" s="34">
        <v>2.3</v>
      </c>
      <c r="Q11" s="34">
        <v>3.8</v>
      </c>
      <c r="R11" s="9">
        <f t="shared" si="2"/>
        <v>165.2173913043478</v>
      </c>
      <c r="S11" s="34">
        <v>2.4</v>
      </c>
      <c r="T11" s="34">
        <v>2.4</v>
      </c>
      <c r="U11" s="9">
        <f t="shared" si="3"/>
        <v>100</v>
      </c>
      <c r="V11" s="34">
        <v>0.1</v>
      </c>
      <c r="W11" s="34">
        <v>1.3</v>
      </c>
      <c r="X11" s="9">
        <f>W11/V11*100</f>
        <v>1300</v>
      </c>
      <c r="Y11" s="70">
        <f>P11+S11+V11</f>
        <v>4.799999999999999</v>
      </c>
      <c r="Z11" s="70">
        <f>Q11+T11+W11</f>
        <v>7.499999999999999</v>
      </c>
      <c r="AA11" s="9">
        <f>Z11/Y11*100</f>
        <v>156.25000000000003</v>
      </c>
      <c r="AB11" s="34"/>
      <c r="AC11" s="34"/>
      <c r="AD11" s="9" t="e">
        <f t="shared" si="4"/>
        <v>#DIV/0!</v>
      </c>
      <c r="AE11" s="34"/>
      <c r="AF11" s="34"/>
      <c r="AG11" s="9" t="e">
        <f t="shared" si="5"/>
        <v>#DIV/0!</v>
      </c>
      <c r="AH11" s="34"/>
      <c r="AI11" s="34"/>
      <c r="AJ11" s="9" t="e">
        <f>AI11/AH11*100</f>
        <v>#DIV/0!</v>
      </c>
      <c r="AK11" s="70">
        <f>AB11+AE11+AH11</f>
        <v>0</v>
      </c>
      <c r="AL11" s="70">
        <f>AC11+AF11+AI11</f>
        <v>0</v>
      </c>
      <c r="AM11" s="9" t="e">
        <f>AL11/AK11*100</f>
        <v>#DIV/0!</v>
      </c>
      <c r="AN11" s="34"/>
      <c r="AO11" s="34"/>
      <c r="AP11" s="34"/>
      <c r="AQ11" s="34"/>
      <c r="AR11" s="34"/>
      <c r="AS11" s="34"/>
      <c r="AT11" s="57">
        <f>M11+Y11+AK11+AN11+AP11+AR11</f>
        <v>12.7</v>
      </c>
      <c r="AU11" s="57">
        <f>N11+Z11+AL11+AO11+AQ11+AS11</f>
        <v>14.399999999999999</v>
      </c>
      <c r="AV11" s="9">
        <f>AU11/AT11*100</f>
        <v>113.38582677165354</v>
      </c>
      <c r="AW11" s="57">
        <f>AT11-AU11</f>
        <v>-1.6999999999999993</v>
      </c>
      <c r="AX11" s="15">
        <f>C11+AT11-AU11</f>
        <v>-2.6999999999999993</v>
      </c>
      <c r="AY11" s="19">
        <f t="shared" si="6"/>
        <v>12.7</v>
      </c>
      <c r="AZ11" s="19">
        <f t="shared" si="7"/>
        <v>14.399999999999999</v>
      </c>
      <c r="BA11" s="38">
        <f t="shared" si="8"/>
        <v>-2.6999999999999993</v>
      </c>
    </row>
    <row r="12" spans="1:53" ht="34.5" customHeight="1">
      <c r="A12" s="11" t="s">
        <v>9</v>
      </c>
      <c r="B12" s="56" t="s">
        <v>51</v>
      </c>
      <c r="C12" s="12"/>
      <c r="D12" s="34"/>
      <c r="E12" s="34"/>
      <c r="F12" s="84" t="e">
        <f t="shared" si="9"/>
        <v>#DIV/0!</v>
      </c>
      <c r="G12" s="34"/>
      <c r="H12" s="34"/>
      <c r="I12" s="84" t="e">
        <f t="shared" si="1"/>
        <v>#DIV/0!</v>
      </c>
      <c r="J12" s="34"/>
      <c r="K12" s="34"/>
      <c r="L12" s="9"/>
      <c r="M12" s="70"/>
      <c r="N12" s="70"/>
      <c r="O12" s="9"/>
      <c r="P12" s="34"/>
      <c r="Q12" s="34"/>
      <c r="R12" s="84" t="e">
        <f t="shared" si="2"/>
        <v>#DIV/0!</v>
      </c>
      <c r="S12" s="34"/>
      <c r="T12" s="34"/>
      <c r="U12" s="84" t="e">
        <f t="shared" si="3"/>
        <v>#DIV/0!</v>
      </c>
      <c r="V12" s="34"/>
      <c r="W12" s="34"/>
      <c r="X12" s="9"/>
      <c r="Y12" s="70"/>
      <c r="Z12" s="70"/>
      <c r="AA12" s="9"/>
      <c r="AB12" s="34"/>
      <c r="AC12" s="34"/>
      <c r="AD12" s="84" t="e">
        <f t="shared" si="4"/>
        <v>#DIV/0!</v>
      </c>
      <c r="AE12" s="34"/>
      <c r="AF12" s="34"/>
      <c r="AG12" s="84" t="e">
        <f t="shared" si="5"/>
        <v>#DIV/0!</v>
      </c>
      <c r="AH12" s="34"/>
      <c r="AI12" s="34"/>
      <c r="AJ12" s="9"/>
      <c r="AK12" s="70"/>
      <c r="AL12" s="70"/>
      <c r="AM12" s="9"/>
      <c r="AN12" s="34"/>
      <c r="AO12" s="34"/>
      <c r="AP12" s="34"/>
      <c r="AQ12" s="34"/>
      <c r="AR12" s="34"/>
      <c r="AS12" s="34"/>
      <c r="AT12" s="57"/>
      <c r="AU12" s="57"/>
      <c r="AV12" s="9"/>
      <c r="AW12" s="57"/>
      <c r="AX12" s="15"/>
      <c r="AY12" s="19">
        <f t="shared" si="6"/>
        <v>0</v>
      </c>
      <c r="AZ12" s="19">
        <f t="shared" si="7"/>
        <v>0</v>
      </c>
      <c r="BA12" s="38">
        <f t="shared" si="8"/>
        <v>0</v>
      </c>
    </row>
    <row r="13" spans="1:53" ht="34.5" customHeight="1">
      <c r="A13" s="11" t="s">
        <v>10</v>
      </c>
      <c r="B13" s="56" t="s">
        <v>52</v>
      </c>
      <c r="C13" s="12"/>
      <c r="D13" s="34"/>
      <c r="E13" s="34"/>
      <c r="F13" s="84" t="e">
        <f t="shared" si="9"/>
        <v>#DIV/0!</v>
      </c>
      <c r="G13" s="34"/>
      <c r="H13" s="34"/>
      <c r="I13" s="84" t="e">
        <f t="shared" si="1"/>
        <v>#DIV/0!</v>
      </c>
      <c r="J13" s="34"/>
      <c r="K13" s="34"/>
      <c r="L13" s="59"/>
      <c r="M13" s="70"/>
      <c r="N13" s="70"/>
      <c r="O13" s="9"/>
      <c r="P13" s="34"/>
      <c r="Q13" s="34"/>
      <c r="R13" s="84" t="e">
        <f t="shared" si="2"/>
        <v>#DIV/0!</v>
      </c>
      <c r="S13" s="34"/>
      <c r="T13" s="34"/>
      <c r="U13" s="84" t="e">
        <f t="shared" si="3"/>
        <v>#DIV/0!</v>
      </c>
      <c r="V13" s="34"/>
      <c r="W13" s="34"/>
      <c r="X13" s="59"/>
      <c r="Y13" s="70"/>
      <c r="Z13" s="70"/>
      <c r="AA13" s="9"/>
      <c r="AB13" s="34"/>
      <c r="AC13" s="34"/>
      <c r="AD13" s="84" t="e">
        <f t="shared" si="4"/>
        <v>#DIV/0!</v>
      </c>
      <c r="AE13" s="34"/>
      <c r="AF13" s="34"/>
      <c r="AG13" s="84" t="e">
        <f t="shared" si="5"/>
        <v>#DIV/0!</v>
      </c>
      <c r="AH13" s="34"/>
      <c r="AI13" s="34"/>
      <c r="AJ13" s="9"/>
      <c r="AK13" s="70"/>
      <c r="AL13" s="70"/>
      <c r="AM13" s="9"/>
      <c r="AN13" s="34"/>
      <c r="AO13" s="34"/>
      <c r="AP13" s="34"/>
      <c r="AQ13" s="34"/>
      <c r="AR13" s="34"/>
      <c r="AS13" s="34"/>
      <c r="AT13" s="57"/>
      <c r="AU13" s="57"/>
      <c r="AV13" s="9"/>
      <c r="AW13" s="57"/>
      <c r="AX13" s="15"/>
      <c r="AY13" s="19">
        <f t="shared" si="6"/>
        <v>0</v>
      </c>
      <c r="AZ13" s="19">
        <f t="shared" si="7"/>
        <v>0</v>
      </c>
      <c r="BA13" s="38">
        <f t="shared" si="8"/>
        <v>0</v>
      </c>
    </row>
    <row r="14" spans="1:53" ht="34.5" customHeight="1">
      <c r="A14" s="11" t="s">
        <v>11</v>
      </c>
      <c r="B14" s="56" t="s">
        <v>82</v>
      </c>
      <c r="C14" s="12">
        <v>-0.1</v>
      </c>
      <c r="D14" s="34">
        <v>0.6</v>
      </c>
      <c r="E14" s="34">
        <v>0.5</v>
      </c>
      <c r="F14" s="9">
        <f t="shared" si="9"/>
        <v>83.33333333333334</v>
      </c>
      <c r="G14" s="34">
        <v>0.6</v>
      </c>
      <c r="H14" s="34">
        <v>0.6</v>
      </c>
      <c r="I14" s="9">
        <f t="shared" si="1"/>
        <v>100</v>
      </c>
      <c r="J14" s="34">
        <v>0.6</v>
      </c>
      <c r="K14" s="34">
        <v>0.7</v>
      </c>
      <c r="L14" s="9">
        <f>K14/J14*100</f>
        <v>116.66666666666667</v>
      </c>
      <c r="M14" s="70">
        <f>D14+G14+J14</f>
        <v>1.7999999999999998</v>
      </c>
      <c r="N14" s="70">
        <f>E14+H14+K14</f>
        <v>1.8</v>
      </c>
      <c r="O14" s="9">
        <f>N14/M14*100</f>
        <v>100.00000000000003</v>
      </c>
      <c r="P14" s="34">
        <v>0.6</v>
      </c>
      <c r="Q14" s="34">
        <v>0.6</v>
      </c>
      <c r="R14" s="9">
        <f t="shared" si="2"/>
        <v>100</v>
      </c>
      <c r="S14" s="34">
        <v>0.9</v>
      </c>
      <c r="T14" s="34">
        <v>1.2</v>
      </c>
      <c r="U14" s="9">
        <f t="shared" si="3"/>
        <v>133.33333333333331</v>
      </c>
      <c r="V14" s="34">
        <v>1.1</v>
      </c>
      <c r="W14" s="34">
        <v>1</v>
      </c>
      <c r="X14" s="9">
        <f>W14/V14*100</f>
        <v>90.9090909090909</v>
      </c>
      <c r="Y14" s="70">
        <f>P14+S14+V14</f>
        <v>2.6</v>
      </c>
      <c r="Z14" s="70">
        <f>Q14+T14+W14</f>
        <v>2.8</v>
      </c>
      <c r="AA14" s="9">
        <f>Z14/Y14*100</f>
        <v>107.6923076923077</v>
      </c>
      <c r="AB14" s="34"/>
      <c r="AC14" s="34"/>
      <c r="AD14" s="9" t="e">
        <f t="shared" si="4"/>
        <v>#DIV/0!</v>
      </c>
      <c r="AE14" s="34"/>
      <c r="AF14" s="34"/>
      <c r="AG14" s="9" t="e">
        <f t="shared" si="5"/>
        <v>#DIV/0!</v>
      </c>
      <c r="AH14" s="34"/>
      <c r="AI14" s="34"/>
      <c r="AJ14" s="9" t="e">
        <f>AI14/AH14*100</f>
        <v>#DIV/0!</v>
      </c>
      <c r="AK14" s="70">
        <f>AB14+AE14+AH14</f>
        <v>0</v>
      </c>
      <c r="AL14" s="70">
        <f>AC14+AF14+AI14</f>
        <v>0</v>
      </c>
      <c r="AM14" s="9" t="e">
        <f>AL14/AK14*100</f>
        <v>#DIV/0!</v>
      </c>
      <c r="AN14" s="34"/>
      <c r="AO14" s="34"/>
      <c r="AP14" s="34"/>
      <c r="AQ14" s="34"/>
      <c r="AR14" s="34"/>
      <c r="AS14" s="34"/>
      <c r="AT14" s="57">
        <f>M14+Y14+AK14+AN14+AP14+AR14</f>
        <v>4.4</v>
      </c>
      <c r="AU14" s="57">
        <f>N14+Z14+AL14+AO14+AQ14+AS14</f>
        <v>4.6</v>
      </c>
      <c r="AV14" s="9">
        <f>AU14/AT14*100</f>
        <v>104.54545454545452</v>
      </c>
      <c r="AW14" s="57">
        <f>AT14-AU14</f>
        <v>-0.1999999999999993</v>
      </c>
      <c r="AX14" s="15">
        <f>C14+AT14-AU14</f>
        <v>-0.29999999999999893</v>
      </c>
      <c r="AY14" s="19">
        <f t="shared" si="6"/>
        <v>4.4</v>
      </c>
      <c r="AZ14" s="19">
        <f t="shared" si="7"/>
        <v>4.6</v>
      </c>
      <c r="BA14" s="38">
        <f t="shared" si="8"/>
        <v>-0.29999999999999893</v>
      </c>
    </row>
    <row r="15" spans="1:53" ht="34.5" customHeight="1">
      <c r="A15" s="11" t="s">
        <v>12</v>
      </c>
      <c r="B15" s="56" t="s">
        <v>53</v>
      </c>
      <c r="C15" s="12">
        <v>0</v>
      </c>
      <c r="D15" s="34">
        <v>28.7</v>
      </c>
      <c r="E15" s="34">
        <v>0</v>
      </c>
      <c r="F15" s="9">
        <f t="shared" si="9"/>
        <v>0</v>
      </c>
      <c r="G15" s="34">
        <v>50.3</v>
      </c>
      <c r="H15" s="34">
        <v>30</v>
      </c>
      <c r="I15" s="9">
        <f t="shared" si="1"/>
        <v>59.64214711729623</v>
      </c>
      <c r="J15" s="34">
        <v>64.1</v>
      </c>
      <c r="K15" s="34">
        <v>50.6</v>
      </c>
      <c r="L15" s="59">
        <f>K15/J15*100</f>
        <v>78.93915756630267</v>
      </c>
      <c r="M15" s="70">
        <f>D15+G15+J15</f>
        <v>143.1</v>
      </c>
      <c r="N15" s="70">
        <f>E15+H15+K15</f>
        <v>80.6</v>
      </c>
      <c r="O15" s="9">
        <f>N15/M15*100</f>
        <v>56.324248777078964</v>
      </c>
      <c r="P15" s="34">
        <v>61.3</v>
      </c>
      <c r="Q15" s="34">
        <v>63.2</v>
      </c>
      <c r="R15" s="9">
        <f t="shared" si="2"/>
        <v>103.09951060358891</v>
      </c>
      <c r="S15" s="34">
        <v>65.1</v>
      </c>
      <c r="T15" s="34">
        <v>61.6</v>
      </c>
      <c r="U15" s="9">
        <f t="shared" si="3"/>
        <v>94.62365591397851</v>
      </c>
      <c r="V15" s="34">
        <v>59.1</v>
      </c>
      <c r="W15" s="34">
        <v>64.4</v>
      </c>
      <c r="X15" s="101">
        <f>W15/V15*100</f>
        <v>108.96785109983081</v>
      </c>
      <c r="Y15" s="70">
        <f>P15+S15+V15</f>
        <v>185.5</v>
      </c>
      <c r="Z15" s="70">
        <f>Q15+T15+W15</f>
        <v>189.20000000000002</v>
      </c>
      <c r="AA15" s="9">
        <f>Z15/Y15*100</f>
        <v>101.9946091644205</v>
      </c>
      <c r="AB15" s="34"/>
      <c r="AC15" s="34"/>
      <c r="AD15" s="9" t="e">
        <f t="shared" si="4"/>
        <v>#DIV/0!</v>
      </c>
      <c r="AE15" s="34"/>
      <c r="AF15" s="34"/>
      <c r="AG15" s="9" t="e">
        <f t="shared" si="5"/>
        <v>#DIV/0!</v>
      </c>
      <c r="AH15" s="34"/>
      <c r="AI15" s="34"/>
      <c r="AJ15" s="9" t="e">
        <f>AI15/AH15*100</f>
        <v>#DIV/0!</v>
      </c>
      <c r="AK15" s="70">
        <f>AB15+AE15+AH15</f>
        <v>0</v>
      </c>
      <c r="AL15" s="70">
        <f>AC15+AF15+AI15</f>
        <v>0</v>
      </c>
      <c r="AM15" s="9" t="e">
        <f>AL15/AK15*100</f>
        <v>#DIV/0!</v>
      </c>
      <c r="AN15" s="34"/>
      <c r="AO15" s="34"/>
      <c r="AP15" s="34"/>
      <c r="AQ15" s="34"/>
      <c r="AR15" s="34"/>
      <c r="AS15" s="34"/>
      <c r="AT15" s="57">
        <f>M15+Y15+AK15+AN15+AP15+AR15</f>
        <v>328.6</v>
      </c>
      <c r="AU15" s="57">
        <f>N15+Z15+AL15+AO15+AQ15+AS15</f>
        <v>269.8</v>
      </c>
      <c r="AV15" s="9">
        <f>AU15/AT15*100</f>
        <v>82.10590383444918</v>
      </c>
      <c r="AW15" s="57">
        <f>AT15-AU15</f>
        <v>58.80000000000001</v>
      </c>
      <c r="AX15" s="15">
        <f>C15+AT15-AU15</f>
        <v>58.80000000000001</v>
      </c>
      <c r="AY15" s="19">
        <f t="shared" si="6"/>
        <v>328.6</v>
      </c>
      <c r="AZ15" s="19">
        <f t="shared" si="7"/>
        <v>269.8</v>
      </c>
      <c r="BA15" s="38">
        <f t="shared" si="8"/>
        <v>58.80000000000001</v>
      </c>
    </row>
    <row r="16" spans="1:53" ht="34.5" customHeight="1">
      <c r="A16" s="11" t="s">
        <v>13</v>
      </c>
      <c r="B16" s="56" t="s">
        <v>54</v>
      </c>
      <c r="C16" s="71"/>
      <c r="D16" s="34"/>
      <c r="E16" s="34"/>
      <c r="F16" s="84" t="e">
        <f t="shared" si="9"/>
        <v>#DIV/0!</v>
      </c>
      <c r="G16" s="34"/>
      <c r="H16" s="34"/>
      <c r="I16" s="84" t="e">
        <f t="shared" si="1"/>
        <v>#DIV/0!</v>
      </c>
      <c r="J16" s="34"/>
      <c r="K16" s="34"/>
      <c r="L16" s="9"/>
      <c r="M16" s="70"/>
      <c r="N16" s="70"/>
      <c r="O16" s="9"/>
      <c r="P16" s="34"/>
      <c r="Q16" s="34"/>
      <c r="R16" s="84" t="e">
        <f t="shared" si="2"/>
        <v>#DIV/0!</v>
      </c>
      <c r="S16" s="34"/>
      <c r="T16" s="34"/>
      <c r="U16" s="84" t="e">
        <f t="shared" si="3"/>
        <v>#DIV/0!</v>
      </c>
      <c r="V16" s="34"/>
      <c r="W16" s="34"/>
      <c r="X16" s="9"/>
      <c r="Y16" s="70"/>
      <c r="Z16" s="70"/>
      <c r="AA16" s="9"/>
      <c r="AB16" s="34"/>
      <c r="AC16" s="34"/>
      <c r="AD16" s="84" t="e">
        <f t="shared" si="4"/>
        <v>#DIV/0!</v>
      </c>
      <c r="AE16" s="34"/>
      <c r="AF16" s="34"/>
      <c r="AG16" s="84" t="e">
        <f t="shared" si="5"/>
        <v>#DIV/0!</v>
      </c>
      <c r="AH16" s="34"/>
      <c r="AI16" s="34"/>
      <c r="AJ16" s="9"/>
      <c r="AK16" s="70"/>
      <c r="AL16" s="70"/>
      <c r="AM16" s="9"/>
      <c r="AN16" s="34"/>
      <c r="AO16" s="34"/>
      <c r="AP16" s="34"/>
      <c r="AQ16" s="34"/>
      <c r="AR16" s="34"/>
      <c r="AS16" s="34"/>
      <c r="AT16" s="122">
        <f aca="true" t="shared" si="10" ref="AT16:AU24">M16+Y16+AK16+AN16+AP16+AR16</f>
        <v>0</v>
      </c>
      <c r="AU16" s="122">
        <f t="shared" si="10"/>
        <v>0</v>
      </c>
      <c r="AV16" s="84" t="e">
        <f aca="true" t="shared" si="11" ref="AV16:AV24">AU16/AT16*100</f>
        <v>#DIV/0!</v>
      </c>
      <c r="AW16" s="57"/>
      <c r="AX16" s="123">
        <f aca="true" t="shared" si="12" ref="AX16:AX24">C16+AT16-AU16</f>
        <v>0</v>
      </c>
      <c r="AY16" s="19">
        <f t="shared" si="6"/>
        <v>0</v>
      </c>
      <c r="AZ16" s="19">
        <f t="shared" si="7"/>
        <v>0</v>
      </c>
      <c r="BA16" s="38">
        <f t="shared" si="8"/>
        <v>0</v>
      </c>
    </row>
    <row r="17" spans="1:53" ht="34.5" customHeight="1">
      <c r="A17" s="11" t="s">
        <v>14</v>
      </c>
      <c r="B17" s="60" t="s">
        <v>83</v>
      </c>
      <c r="C17" s="71"/>
      <c r="D17" s="34"/>
      <c r="E17" s="34"/>
      <c r="F17" s="84" t="e">
        <f t="shared" si="9"/>
        <v>#DIV/0!</v>
      </c>
      <c r="G17" s="34"/>
      <c r="H17" s="34"/>
      <c r="I17" s="84" t="e">
        <f t="shared" si="1"/>
        <v>#DIV/0!</v>
      </c>
      <c r="J17" s="34"/>
      <c r="K17" s="34"/>
      <c r="L17" s="86"/>
      <c r="M17" s="70"/>
      <c r="N17" s="70"/>
      <c r="O17" s="9"/>
      <c r="P17" s="34"/>
      <c r="Q17" s="34"/>
      <c r="R17" s="84" t="e">
        <f t="shared" si="2"/>
        <v>#DIV/0!</v>
      </c>
      <c r="S17" s="34"/>
      <c r="T17" s="34"/>
      <c r="U17" s="84" t="e">
        <f t="shared" si="3"/>
        <v>#DIV/0!</v>
      </c>
      <c r="V17" s="34"/>
      <c r="W17" s="34"/>
      <c r="X17" s="86"/>
      <c r="Y17" s="70"/>
      <c r="Z17" s="70"/>
      <c r="AA17" s="9"/>
      <c r="AB17" s="34"/>
      <c r="AC17" s="34"/>
      <c r="AD17" s="84" t="e">
        <f t="shared" si="4"/>
        <v>#DIV/0!</v>
      </c>
      <c r="AE17" s="34"/>
      <c r="AF17" s="34"/>
      <c r="AG17" s="84" t="e">
        <f t="shared" si="5"/>
        <v>#DIV/0!</v>
      </c>
      <c r="AH17" s="34"/>
      <c r="AI17" s="34"/>
      <c r="AJ17" s="9"/>
      <c r="AK17" s="70"/>
      <c r="AL17" s="70"/>
      <c r="AM17" s="9"/>
      <c r="AN17" s="34"/>
      <c r="AO17" s="34"/>
      <c r="AP17" s="34"/>
      <c r="AQ17" s="34"/>
      <c r="AR17" s="34"/>
      <c r="AS17" s="34"/>
      <c r="AT17" s="122">
        <f t="shared" si="10"/>
        <v>0</v>
      </c>
      <c r="AU17" s="122">
        <f t="shared" si="10"/>
        <v>0</v>
      </c>
      <c r="AV17" s="84" t="e">
        <f t="shared" si="11"/>
        <v>#DIV/0!</v>
      </c>
      <c r="AW17" s="57"/>
      <c r="AX17" s="123">
        <f t="shared" si="12"/>
        <v>0</v>
      </c>
      <c r="AY17" s="19">
        <f t="shared" si="6"/>
        <v>0</v>
      </c>
      <c r="AZ17" s="19">
        <f t="shared" si="7"/>
        <v>0</v>
      </c>
      <c r="BA17" s="38">
        <f t="shared" si="8"/>
        <v>0</v>
      </c>
    </row>
    <row r="18" spans="1:53" ht="34.5" customHeight="1">
      <c r="A18" s="11" t="s">
        <v>15</v>
      </c>
      <c r="B18" s="60" t="s">
        <v>55</v>
      </c>
      <c r="C18" s="12"/>
      <c r="D18" s="34"/>
      <c r="E18" s="34"/>
      <c r="F18" s="84" t="e">
        <f t="shared" si="9"/>
        <v>#DIV/0!</v>
      </c>
      <c r="G18" s="34"/>
      <c r="H18" s="34"/>
      <c r="I18" s="84" t="e">
        <f t="shared" si="1"/>
        <v>#DIV/0!</v>
      </c>
      <c r="J18" s="34"/>
      <c r="K18" s="34"/>
      <c r="L18" s="86"/>
      <c r="M18" s="70"/>
      <c r="N18" s="70"/>
      <c r="O18" s="9"/>
      <c r="P18" s="34"/>
      <c r="Q18" s="34"/>
      <c r="R18" s="84" t="e">
        <f t="shared" si="2"/>
        <v>#DIV/0!</v>
      </c>
      <c r="S18" s="34"/>
      <c r="T18" s="34"/>
      <c r="U18" s="84" t="e">
        <f t="shared" si="3"/>
        <v>#DIV/0!</v>
      </c>
      <c r="V18" s="34"/>
      <c r="W18" s="34"/>
      <c r="X18" s="86"/>
      <c r="Y18" s="70"/>
      <c r="Z18" s="70"/>
      <c r="AA18" s="9"/>
      <c r="AB18" s="34"/>
      <c r="AC18" s="34"/>
      <c r="AD18" s="84" t="e">
        <f t="shared" si="4"/>
        <v>#DIV/0!</v>
      </c>
      <c r="AE18" s="34"/>
      <c r="AF18" s="34"/>
      <c r="AG18" s="84" t="e">
        <f t="shared" si="5"/>
        <v>#DIV/0!</v>
      </c>
      <c r="AH18" s="34"/>
      <c r="AI18" s="34"/>
      <c r="AJ18" s="9"/>
      <c r="AK18" s="70"/>
      <c r="AL18" s="70"/>
      <c r="AM18" s="9"/>
      <c r="AN18" s="34"/>
      <c r="AO18" s="34"/>
      <c r="AP18" s="34"/>
      <c r="AQ18" s="34"/>
      <c r="AR18" s="34"/>
      <c r="AS18" s="34"/>
      <c r="AT18" s="122">
        <f t="shared" si="10"/>
        <v>0</v>
      </c>
      <c r="AU18" s="122">
        <f t="shared" si="10"/>
        <v>0</v>
      </c>
      <c r="AV18" s="84" t="e">
        <f t="shared" si="11"/>
        <v>#DIV/0!</v>
      </c>
      <c r="AW18" s="57"/>
      <c r="AX18" s="123">
        <f t="shared" si="12"/>
        <v>0</v>
      </c>
      <c r="AY18" s="19">
        <f t="shared" si="6"/>
        <v>0</v>
      </c>
      <c r="AZ18" s="19">
        <f t="shared" si="7"/>
        <v>0</v>
      </c>
      <c r="BA18" s="38">
        <f t="shared" si="8"/>
        <v>0</v>
      </c>
    </row>
    <row r="19" spans="1:53" ht="34.5" customHeight="1">
      <c r="A19" s="11" t="s">
        <v>16</v>
      </c>
      <c r="B19" s="56" t="s">
        <v>56</v>
      </c>
      <c r="C19" s="121"/>
      <c r="D19" s="121"/>
      <c r="E19" s="121"/>
      <c r="F19" s="84" t="e">
        <f t="shared" si="9"/>
        <v>#DIV/0!</v>
      </c>
      <c r="G19" s="121"/>
      <c r="H19" s="121"/>
      <c r="I19" s="84" t="e">
        <f t="shared" si="1"/>
        <v>#DIV/0!</v>
      </c>
      <c r="J19" s="121"/>
      <c r="K19" s="121"/>
      <c r="L19" s="84"/>
      <c r="M19" s="122"/>
      <c r="N19" s="122"/>
      <c r="O19" s="84"/>
      <c r="P19" s="121"/>
      <c r="Q19" s="121"/>
      <c r="R19" s="84" t="e">
        <f t="shared" si="2"/>
        <v>#DIV/0!</v>
      </c>
      <c r="S19" s="121"/>
      <c r="T19" s="121"/>
      <c r="U19" s="84" t="e">
        <f t="shared" si="3"/>
        <v>#DIV/0!</v>
      </c>
      <c r="V19" s="121"/>
      <c r="W19" s="121"/>
      <c r="X19" s="84"/>
      <c r="Y19" s="122"/>
      <c r="Z19" s="122"/>
      <c r="AA19" s="84"/>
      <c r="AB19" s="121"/>
      <c r="AC19" s="121"/>
      <c r="AD19" s="84" t="e">
        <f t="shared" si="4"/>
        <v>#DIV/0!</v>
      </c>
      <c r="AE19" s="121"/>
      <c r="AF19" s="121"/>
      <c r="AG19" s="84" t="e">
        <f t="shared" si="5"/>
        <v>#DIV/0!</v>
      </c>
      <c r="AH19" s="121"/>
      <c r="AI19" s="121"/>
      <c r="AJ19" s="9"/>
      <c r="AK19" s="122"/>
      <c r="AL19" s="122"/>
      <c r="AM19" s="84"/>
      <c r="AN19" s="121"/>
      <c r="AO19" s="121"/>
      <c r="AP19" s="121"/>
      <c r="AQ19" s="121"/>
      <c r="AR19" s="121"/>
      <c r="AS19" s="121"/>
      <c r="AT19" s="122">
        <f t="shared" si="10"/>
        <v>0</v>
      </c>
      <c r="AU19" s="122">
        <f t="shared" si="10"/>
        <v>0</v>
      </c>
      <c r="AV19" s="84" t="e">
        <f t="shared" si="11"/>
        <v>#DIV/0!</v>
      </c>
      <c r="AW19" s="122"/>
      <c r="AX19" s="123">
        <f t="shared" si="12"/>
        <v>0</v>
      </c>
      <c r="AY19" s="19">
        <f t="shared" si="6"/>
        <v>0</v>
      </c>
      <c r="AZ19" s="19">
        <f t="shared" si="7"/>
        <v>0</v>
      </c>
      <c r="BA19" s="38">
        <f t="shared" si="8"/>
        <v>0</v>
      </c>
    </row>
    <row r="20" spans="1:53" ht="34.5" customHeight="1">
      <c r="A20" s="11" t="s">
        <v>17</v>
      </c>
      <c r="B20" s="60" t="s">
        <v>57</v>
      </c>
      <c r="C20" s="95"/>
      <c r="D20" s="34"/>
      <c r="E20" s="34"/>
      <c r="F20" s="84" t="e">
        <f t="shared" si="9"/>
        <v>#DIV/0!</v>
      </c>
      <c r="G20" s="34"/>
      <c r="H20" s="34"/>
      <c r="I20" s="84" t="e">
        <f t="shared" si="1"/>
        <v>#DIV/0!</v>
      </c>
      <c r="J20" s="34"/>
      <c r="K20" s="34"/>
      <c r="L20" s="86"/>
      <c r="M20" s="70"/>
      <c r="N20" s="70"/>
      <c r="O20" s="9"/>
      <c r="P20" s="34"/>
      <c r="Q20" s="34"/>
      <c r="R20" s="84" t="e">
        <f t="shared" si="2"/>
        <v>#DIV/0!</v>
      </c>
      <c r="S20" s="34"/>
      <c r="T20" s="34"/>
      <c r="U20" s="84" t="e">
        <f t="shared" si="3"/>
        <v>#DIV/0!</v>
      </c>
      <c r="V20" s="34"/>
      <c r="W20" s="34"/>
      <c r="X20" s="86"/>
      <c r="Y20" s="70"/>
      <c r="Z20" s="70"/>
      <c r="AA20" s="9"/>
      <c r="AB20" s="34"/>
      <c r="AC20" s="34"/>
      <c r="AD20" s="84" t="e">
        <f t="shared" si="4"/>
        <v>#DIV/0!</v>
      </c>
      <c r="AE20" s="34"/>
      <c r="AF20" s="34"/>
      <c r="AG20" s="84" t="e">
        <f t="shared" si="5"/>
        <v>#DIV/0!</v>
      </c>
      <c r="AH20" s="34"/>
      <c r="AI20" s="34"/>
      <c r="AJ20" s="9"/>
      <c r="AK20" s="70"/>
      <c r="AL20" s="70"/>
      <c r="AM20" s="9"/>
      <c r="AN20" s="34"/>
      <c r="AO20" s="34"/>
      <c r="AP20" s="34"/>
      <c r="AQ20" s="34"/>
      <c r="AR20" s="34"/>
      <c r="AS20" s="34"/>
      <c r="AT20" s="122">
        <f t="shared" si="10"/>
        <v>0</v>
      </c>
      <c r="AU20" s="122">
        <f t="shared" si="10"/>
        <v>0</v>
      </c>
      <c r="AV20" s="84" t="e">
        <f t="shared" si="11"/>
        <v>#DIV/0!</v>
      </c>
      <c r="AW20" s="57"/>
      <c r="AX20" s="123">
        <f t="shared" si="12"/>
        <v>0</v>
      </c>
      <c r="AY20" s="19">
        <f t="shared" si="6"/>
        <v>0</v>
      </c>
      <c r="AZ20" s="19">
        <f t="shared" si="7"/>
        <v>0</v>
      </c>
      <c r="BA20" s="38">
        <f t="shared" si="8"/>
        <v>0</v>
      </c>
    </row>
    <row r="21" spans="1:53" ht="34.5" customHeight="1">
      <c r="A21" s="11" t="s">
        <v>18</v>
      </c>
      <c r="B21" s="60" t="s">
        <v>58</v>
      </c>
      <c r="C21" s="62"/>
      <c r="D21" s="34"/>
      <c r="E21" s="34"/>
      <c r="F21" s="84" t="e">
        <f t="shared" si="9"/>
        <v>#DIV/0!</v>
      </c>
      <c r="G21" s="34"/>
      <c r="H21" s="34"/>
      <c r="I21" s="84" t="e">
        <f t="shared" si="1"/>
        <v>#DIV/0!</v>
      </c>
      <c r="J21" s="34"/>
      <c r="K21" s="34"/>
      <c r="L21" s="86"/>
      <c r="M21" s="70"/>
      <c r="N21" s="70"/>
      <c r="O21" s="9"/>
      <c r="P21" s="34"/>
      <c r="Q21" s="34"/>
      <c r="R21" s="84" t="e">
        <f t="shared" si="2"/>
        <v>#DIV/0!</v>
      </c>
      <c r="S21" s="34"/>
      <c r="T21" s="34"/>
      <c r="U21" s="84" t="e">
        <f t="shared" si="3"/>
        <v>#DIV/0!</v>
      </c>
      <c r="V21" s="34"/>
      <c r="W21" s="34"/>
      <c r="X21" s="86"/>
      <c r="Y21" s="70"/>
      <c r="Z21" s="70"/>
      <c r="AA21" s="9"/>
      <c r="AB21" s="34"/>
      <c r="AC21" s="34"/>
      <c r="AD21" s="84" t="e">
        <f t="shared" si="4"/>
        <v>#DIV/0!</v>
      </c>
      <c r="AE21" s="34"/>
      <c r="AF21" s="34"/>
      <c r="AG21" s="84" t="e">
        <f t="shared" si="5"/>
        <v>#DIV/0!</v>
      </c>
      <c r="AH21" s="34"/>
      <c r="AI21" s="34"/>
      <c r="AJ21" s="9"/>
      <c r="AK21" s="70"/>
      <c r="AL21" s="70"/>
      <c r="AM21" s="9"/>
      <c r="AN21" s="34"/>
      <c r="AO21" s="34"/>
      <c r="AP21" s="34"/>
      <c r="AQ21" s="34"/>
      <c r="AR21" s="34"/>
      <c r="AS21" s="34"/>
      <c r="AT21" s="122">
        <f t="shared" si="10"/>
        <v>0</v>
      </c>
      <c r="AU21" s="122">
        <f t="shared" si="10"/>
        <v>0</v>
      </c>
      <c r="AV21" s="84" t="e">
        <f t="shared" si="11"/>
        <v>#DIV/0!</v>
      </c>
      <c r="AW21" s="57"/>
      <c r="AX21" s="123">
        <f t="shared" si="12"/>
        <v>0</v>
      </c>
      <c r="AY21" s="19">
        <f t="shared" si="6"/>
        <v>0</v>
      </c>
      <c r="AZ21" s="19">
        <f t="shared" si="7"/>
        <v>0</v>
      </c>
      <c r="BA21" s="38">
        <f t="shared" si="8"/>
        <v>0</v>
      </c>
    </row>
    <row r="22" spans="1:53" ht="34.5" customHeight="1">
      <c r="A22" s="11" t="s">
        <v>19</v>
      </c>
      <c r="B22" s="60" t="s">
        <v>41</v>
      </c>
      <c r="C22" s="96"/>
      <c r="D22" s="34"/>
      <c r="E22" s="121"/>
      <c r="F22" s="84" t="e">
        <f t="shared" si="9"/>
        <v>#DIV/0!</v>
      </c>
      <c r="G22" s="34"/>
      <c r="H22" s="34"/>
      <c r="I22" s="84" t="e">
        <f t="shared" si="1"/>
        <v>#DIV/0!</v>
      </c>
      <c r="J22" s="34"/>
      <c r="K22" s="34"/>
      <c r="L22" s="59"/>
      <c r="M22" s="70"/>
      <c r="N22" s="70"/>
      <c r="O22" s="9"/>
      <c r="P22" s="34"/>
      <c r="Q22" s="34"/>
      <c r="R22" s="84" t="e">
        <f t="shared" si="2"/>
        <v>#DIV/0!</v>
      </c>
      <c r="S22" s="34"/>
      <c r="T22" s="34"/>
      <c r="U22" s="84" t="e">
        <f t="shared" si="3"/>
        <v>#DIV/0!</v>
      </c>
      <c r="V22" s="34"/>
      <c r="W22" s="34"/>
      <c r="X22" s="59"/>
      <c r="Y22" s="70"/>
      <c r="Z22" s="70"/>
      <c r="AA22" s="9"/>
      <c r="AB22" s="34"/>
      <c r="AC22" s="34"/>
      <c r="AD22" s="84" t="e">
        <f t="shared" si="4"/>
        <v>#DIV/0!</v>
      </c>
      <c r="AE22" s="34"/>
      <c r="AF22" s="34"/>
      <c r="AG22" s="84" t="e">
        <f t="shared" si="5"/>
        <v>#DIV/0!</v>
      </c>
      <c r="AH22" s="34"/>
      <c r="AI22" s="34"/>
      <c r="AJ22" s="9"/>
      <c r="AK22" s="70"/>
      <c r="AL22" s="70"/>
      <c r="AM22" s="9"/>
      <c r="AN22" s="34"/>
      <c r="AO22" s="34"/>
      <c r="AP22" s="34"/>
      <c r="AQ22" s="34"/>
      <c r="AR22" s="34"/>
      <c r="AS22" s="34"/>
      <c r="AT22" s="122">
        <f t="shared" si="10"/>
        <v>0</v>
      </c>
      <c r="AU22" s="122">
        <f t="shared" si="10"/>
        <v>0</v>
      </c>
      <c r="AV22" s="84" t="e">
        <f t="shared" si="11"/>
        <v>#DIV/0!</v>
      </c>
      <c r="AW22" s="57"/>
      <c r="AX22" s="123">
        <f t="shared" si="12"/>
        <v>0</v>
      </c>
      <c r="AY22" s="19">
        <f t="shared" si="6"/>
        <v>0</v>
      </c>
      <c r="AZ22" s="19">
        <f t="shared" si="7"/>
        <v>0</v>
      </c>
      <c r="BA22" s="38">
        <f t="shared" si="8"/>
        <v>0</v>
      </c>
    </row>
    <row r="23" spans="1:53" ht="34.5" customHeight="1">
      <c r="A23" s="11" t="s">
        <v>20</v>
      </c>
      <c r="B23" s="60" t="s">
        <v>84</v>
      </c>
      <c r="C23" s="12"/>
      <c r="D23" s="34"/>
      <c r="E23" s="34"/>
      <c r="F23" s="84" t="e">
        <f t="shared" si="9"/>
        <v>#DIV/0!</v>
      </c>
      <c r="G23" s="34"/>
      <c r="H23" s="34"/>
      <c r="I23" s="84" t="e">
        <f t="shared" si="1"/>
        <v>#DIV/0!</v>
      </c>
      <c r="J23" s="34"/>
      <c r="K23" s="34"/>
      <c r="L23" s="9"/>
      <c r="M23" s="70"/>
      <c r="N23" s="70"/>
      <c r="O23" s="9"/>
      <c r="P23" s="34"/>
      <c r="Q23" s="34"/>
      <c r="R23" s="84" t="e">
        <f t="shared" si="2"/>
        <v>#DIV/0!</v>
      </c>
      <c r="S23" s="34"/>
      <c r="T23" s="34"/>
      <c r="U23" s="84" t="e">
        <f t="shared" si="3"/>
        <v>#DIV/0!</v>
      </c>
      <c r="V23" s="34"/>
      <c r="W23" s="34"/>
      <c r="X23" s="9"/>
      <c r="Y23" s="70"/>
      <c r="Z23" s="70"/>
      <c r="AA23" s="9"/>
      <c r="AB23" s="34"/>
      <c r="AC23" s="34"/>
      <c r="AD23" s="84" t="e">
        <f t="shared" si="4"/>
        <v>#DIV/0!</v>
      </c>
      <c r="AE23" s="34"/>
      <c r="AF23" s="34"/>
      <c r="AG23" s="84" t="e">
        <f t="shared" si="5"/>
        <v>#DIV/0!</v>
      </c>
      <c r="AH23" s="34"/>
      <c r="AI23" s="34"/>
      <c r="AJ23" s="9"/>
      <c r="AK23" s="70"/>
      <c r="AL23" s="70"/>
      <c r="AM23" s="9"/>
      <c r="AN23" s="34"/>
      <c r="AO23" s="34"/>
      <c r="AP23" s="34"/>
      <c r="AQ23" s="34"/>
      <c r="AR23" s="34"/>
      <c r="AS23" s="34"/>
      <c r="AT23" s="122">
        <f t="shared" si="10"/>
        <v>0</v>
      </c>
      <c r="AU23" s="122">
        <f t="shared" si="10"/>
        <v>0</v>
      </c>
      <c r="AV23" s="84" t="e">
        <f t="shared" si="11"/>
        <v>#DIV/0!</v>
      </c>
      <c r="AW23" s="57"/>
      <c r="AX23" s="123">
        <f t="shared" si="12"/>
        <v>0</v>
      </c>
      <c r="AY23" s="19">
        <f t="shared" si="6"/>
        <v>0</v>
      </c>
      <c r="AZ23" s="19">
        <f t="shared" si="7"/>
        <v>0</v>
      </c>
      <c r="BA23" s="38">
        <f t="shared" si="8"/>
        <v>0</v>
      </c>
    </row>
    <row r="24" spans="1:53" ht="34.5" customHeight="1">
      <c r="A24" s="11" t="s">
        <v>21</v>
      </c>
      <c r="B24" s="60" t="s">
        <v>40</v>
      </c>
      <c r="C24" s="12">
        <v>0</v>
      </c>
      <c r="D24" s="34">
        <v>0</v>
      </c>
      <c r="E24" s="34">
        <v>0</v>
      </c>
      <c r="F24" s="84" t="e">
        <f t="shared" si="9"/>
        <v>#DIV/0!</v>
      </c>
      <c r="G24" s="34">
        <v>31</v>
      </c>
      <c r="H24" s="34">
        <v>31</v>
      </c>
      <c r="I24" s="59">
        <f t="shared" si="1"/>
        <v>100</v>
      </c>
      <c r="J24" s="34">
        <v>17.6</v>
      </c>
      <c r="K24" s="34">
        <v>12</v>
      </c>
      <c r="L24" s="59">
        <f>K24/J24*100</f>
        <v>68.18181818181817</v>
      </c>
      <c r="M24" s="135">
        <f>D24+G24+J24</f>
        <v>48.6</v>
      </c>
      <c r="N24" s="135">
        <f>E24+H24+K24</f>
        <v>43</v>
      </c>
      <c r="O24" s="106">
        <f>N24/M24*100</f>
        <v>88.47736625514403</v>
      </c>
      <c r="P24" s="134">
        <v>2.6</v>
      </c>
      <c r="Q24" s="134">
        <v>7.1</v>
      </c>
      <c r="R24" s="106">
        <f t="shared" si="2"/>
        <v>273.07692307692304</v>
      </c>
      <c r="S24" s="134">
        <v>5.1</v>
      </c>
      <c r="T24" s="134">
        <v>5.1</v>
      </c>
      <c r="U24" s="84">
        <f t="shared" si="3"/>
        <v>100</v>
      </c>
      <c r="V24" s="34">
        <v>3.1</v>
      </c>
      <c r="W24" s="34">
        <v>3.4</v>
      </c>
      <c r="X24" s="84">
        <f>W24/V24*100</f>
        <v>109.6774193548387</v>
      </c>
      <c r="Y24" s="122">
        <f>P24+S24+V24</f>
        <v>10.799999999999999</v>
      </c>
      <c r="Z24" s="122">
        <f>Q24+T24+W24</f>
        <v>15.6</v>
      </c>
      <c r="AA24" s="84">
        <f>Z24/Y24*100</f>
        <v>144.44444444444446</v>
      </c>
      <c r="AB24" s="121"/>
      <c r="AC24" s="121"/>
      <c r="AD24" s="84" t="e">
        <f t="shared" si="4"/>
        <v>#DIV/0!</v>
      </c>
      <c r="AE24" s="121"/>
      <c r="AF24" s="121"/>
      <c r="AG24" s="84" t="e">
        <f t="shared" si="5"/>
        <v>#DIV/0!</v>
      </c>
      <c r="AH24" s="121"/>
      <c r="AI24" s="121"/>
      <c r="AJ24" s="84" t="e">
        <f>AI24/AH24*100</f>
        <v>#DIV/0!</v>
      </c>
      <c r="AK24" s="122">
        <f>AB24+AE24+AH24</f>
        <v>0</v>
      </c>
      <c r="AL24" s="122">
        <f>AC24+AF24+AI24</f>
        <v>0</v>
      </c>
      <c r="AM24" s="84" t="e">
        <f>AL24/AK24*100</f>
        <v>#DIV/0!</v>
      </c>
      <c r="AN24" s="121"/>
      <c r="AO24" s="121"/>
      <c r="AP24" s="121"/>
      <c r="AQ24" s="121"/>
      <c r="AR24" s="121"/>
      <c r="AS24" s="121"/>
      <c r="AT24" s="57">
        <f t="shared" si="10"/>
        <v>59.4</v>
      </c>
      <c r="AU24" s="57">
        <f t="shared" si="10"/>
        <v>58.6</v>
      </c>
      <c r="AV24" s="9">
        <f t="shared" si="11"/>
        <v>98.65319865319866</v>
      </c>
      <c r="AW24" s="57"/>
      <c r="AX24" s="15">
        <f t="shared" si="12"/>
        <v>0.7999999999999972</v>
      </c>
      <c r="AY24" s="19">
        <f t="shared" si="6"/>
        <v>59.4</v>
      </c>
      <c r="AZ24" s="19">
        <f t="shared" si="7"/>
        <v>58.6</v>
      </c>
      <c r="BA24" s="38">
        <f t="shared" si="8"/>
        <v>0.7999999999999972</v>
      </c>
    </row>
    <row r="25" spans="1:53" ht="34.5" customHeight="1">
      <c r="A25" s="11" t="s">
        <v>22</v>
      </c>
      <c r="B25" s="56" t="s">
        <v>43</v>
      </c>
      <c r="C25" s="12"/>
      <c r="D25" s="34"/>
      <c r="E25" s="34"/>
      <c r="F25" s="84" t="e">
        <f t="shared" si="9"/>
        <v>#DIV/0!</v>
      </c>
      <c r="G25" s="34"/>
      <c r="H25" s="34"/>
      <c r="I25" s="84" t="e">
        <f t="shared" si="1"/>
        <v>#DIV/0!</v>
      </c>
      <c r="J25" s="34"/>
      <c r="K25" s="34"/>
      <c r="L25" s="9"/>
      <c r="M25" s="122">
        <f aca="true" t="shared" si="13" ref="M25:M30">D25+G25+J25</f>
        <v>0</v>
      </c>
      <c r="N25" s="122">
        <f aca="true" t="shared" si="14" ref="N25:N30">E25+H25+K25</f>
        <v>0</v>
      </c>
      <c r="O25" s="84" t="e">
        <f aca="true" t="shared" si="15" ref="O25:O30">N25/M25*100</f>
        <v>#DIV/0!</v>
      </c>
      <c r="P25" s="34"/>
      <c r="Q25" s="34"/>
      <c r="R25" s="84" t="e">
        <f t="shared" si="2"/>
        <v>#DIV/0!</v>
      </c>
      <c r="S25" s="34"/>
      <c r="T25" s="34"/>
      <c r="U25" s="84" t="e">
        <f t="shared" si="3"/>
        <v>#DIV/0!</v>
      </c>
      <c r="V25" s="121"/>
      <c r="W25" s="34"/>
      <c r="X25" s="9"/>
      <c r="Y25" s="70"/>
      <c r="Z25" s="70"/>
      <c r="AA25" s="9"/>
      <c r="AB25" s="34"/>
      <c r="AC25" s="34"/>
      <c r="AD25" s="84" t="e">
        <f t="shared" si="4"/>
        <v>#DIV/0!</v>
      </c>
      <c r="AE25" s="34"/>
      <c r="AF25" s="34"/>
      <c r="AG25" s="84" t="e">
        <f t="shared" si="5"/>
        <v>#DIV/0!</v>
      </c>
      <c r="AH25" s="34"/>
      <c r="AI25" s="34"/>
      <c r="AJ25" s="9"/>
      <c r="AK25" s="70"/>
      <c r="AL25" s="70"/>
      <c r="AM25" s="9"/>
      <c r="AN25" s="34"/>
      <c r="AO25" s="34"/>
      <c r="AP25" s="34"/>
      <c r="AQ25" s="34"/>
      <c r="AR25" s="34"/>
      <c r="AS25" s="34"/>
      <c r="AT25" s="57"/>
      <c r="AU25" s="57"/>
      <c r="AV25" s="9"/>
      <c r="AW25" s="122"/>
      <c r="AX25" s="15"/>
      <c r="AY25" s="19">
        <f t="shared" si="6"/>
        <v>0</v>
      </c>
      <c r="AZ25" s="19">
        <f t="shared" si="7"/>
        <v>0</v>
      </c>
      <c r="BA25" s="38">
        <f t="shared" si="8"/>
        <v>0</v>
      </c>
    </row>
    <row r="26" spans="1:53" ht="34.5" customHeight="1">
      <c r="A26" s="11" t="s">
        <v>23</v>
      </c>
      <c r="B26" s="60" t="s">
        <v>85</v>
      </c>
      <c r="C26" s="12"/>
      <c r="D26" s="34"/>
      <c r="E26" s="34"/>
      <c r="F26" s="84" t="e">
        <f t="shared" si="9"/>
        <v>#DIV/0!</v>
      </c>
      <c r="G26" s="121"/>
      <c r="H26" s="121"/>
      <c r="I26" s="84" t="e">
        <f t="shared" si="1"/>
        <v>#DIV/0!</v>
      </c>
      <c r="J26" s="121"/>
      <c r="K26" s="121"/>
      <c r="L26" s="84"/>
      <c r="M26" s="122">
        <f t="shared" si="13"/>
        <v>0</v>
      </c>
      <c r="N26" s="122">
        <f t="shared" si="14"/>
        <v>0</v>
      </c>
      <c r="O26" s="84" t="e">
        <f t="shared" si="15"/>
        <v>#DIV/0!</v>
      </c>
      <c r="P26" s="121"/>
      <c r="Q26" s="121"/>
      <c r="R26" s="84" t="e">
        <f t="shared" si="2"/>
        <v>#DIV/0!</v>
      </c>
      <c r="S26" s="121"/>
      <c r="T26" s="121"/>
      <c r="U26" s="84" t="e">
        <f t="shared" si="3"/>
        <v>#DIV/0!</v>
      </c>
      <c r="V26" s="121"/>
      <c r="W26" s="121"/>
      <c r="X26" s="84"/>
      <c r="Y26" s="122"/>
      <c r="Z26" s="122"/>
      <c r="AA26" s="84"/>
      <c r="AB26" s="121"/>
      <c r="AC26" s="121"/>
      <c r="AD26" s="84" t="e">
        <f t="shared" si="4"/>
        <v>#DIV/0!</v>
      </c>
      <c r="AE26" s="121"/>
      <c r="AF26" s="121"/>
      <c r="AG26" s="84" t="e">
        <f t="shared" si="5"/>
        <v>#DIV/0!</v>
      </c>
      <c r="AH26" s="121"/>
      <c r="AI26" s="121"/>
      <c r="AJ26" s="9"/>
      <c r="AK26" s="122"/>
      <c r="AL26" s="122"/>
      <c r="AM26" s="84"/>
      <c r="AN26" s="121"/>
      <c r="AO26" s="121"/>
      <c r="AP26" s="121"/>
      <c r="AQ26" s="121"/>
      <c r="AR26" s="121"/>
      <c r="AS26" s="121"/>
      <c r="AT26" s="57"/>
      <c r="AU26" s="57"/>
      <c r="AV26" s="9"/>
      <c r="AW26" s="122"/>
      <c r="AX26" s="15"/>
      <c r="AY26" s="19">
        <f t="shared" si="6"/>
        <v>0</v>
      </c>
      <c r="AZ26" s="19">
        <f t="shared" si="7"/>
        <v>0</v>
      </c>
      <c r="BA26" s="38">
        <f t="shared" si="8"/>
        <v>0</v>
      </c>
    </row>
    <row r="27" spans="1:53" ht="34.5" customHeight="1">
      <c r="A27" s="11" t="s">
        <v>24</v>
      </c>
      <c r="B27" s="60" t="s">
        <v>59</v>
      </c>
      <c r="C27" s="12"/>
      <c r="D27" s="34"/>
      <c r="E27" s="34"/>
      <c r="F27" s="84" t="e">
        <f t="shared" si="9"/>
        <v>#DIV/0!</v>
      </c>
      <c r="G27" s="121"/>
      <c r="H27" s="121"/>
      <c r="I27" s="84" t="e">
        <f t="shared" si="1"/>
        <v>#DIV/0!</v>
      </c>
      <c r="J27" s="121"/>
      <c r="K27" s="121"/>
      <c r="L27" s="84"/>
      <c r="M27" s="122">
        <f t="shared" si="13"/>
        <v>0</v>
      </c>
      <c r="N27" s="122">
        <f t="shared" si="14"/>
        <v>0</v>
      </c>
      <c r="O27" s="84" t="e">
        <f t="shared" si="15"/>
        <v>#DIV/0!</v>
      </c>
      <c r="P27" s="121"/>
      <c r="Q27" s="121"/>
      <c r="R27" s="84" t="e">
        <f t="shared" si="2"/>
        <v>#DIV/0!</v>
      </c>
      <c r="S27" s="121"/>
      <c r="T27" s="121"/>
      <c r="U27" s="84" t="e">
        <f t="shared" si="3"/>
        <v>#DIV/0!</v>
      </c>
      <c r="V27" s="121"/>
      <c r="W27" s="121"/>
      <c r="X27" s="84"/>
      <c r="Y27" s="122"/>
      <c r="Z27" s="122"/>
      <c r="AA27" s="84"/>
      <c r="AB27" s="121"/>
      <c r="AC27" s="121"/>
      <c r="AD27" s="84" t="e">
        <f t="shared" si="4"/>
        <v>#DIV/0!</v>
      </c>
      <c r="AE27" s="121"/>
      <c r="AF27" s="121"/>
      <c r="AG27" s="84" t="e">
        <f t="shared" si="5"/>
        <v>#DIV/0!</v>
      </c>
      <c r="AH27" s="121"/>
      <c r="AI27" s="121"/>
      <c r="AJ27" s="9"/>
      <c r="AK27" s="122"/>
      <c r="AL27" s="122"/>
      <c r="AM27" s="84"/>
      <c r="AN27" s="121"/>
      <c r="AO27" s="121"/>
      <c r="AP27" s="121"/>
      <c r="AQ27" s="121"/>
      <c r="AR27" s="121"/>
      <c r="AS27" s="121"/>
      <c r="AT27" s="57"/>
      <c r="AU27" s="57"/>
      <c r="AV27" s="9"/>
      <c r="AW27" s="122"/>
      <c r="AX27" s="15"/>
      <c r="AY27" s="19">
        <f t="shared" si="6"/>
        <v>0</v>
      </c>
      <c r="AZ27" s="19">
        <f t="shared" si="7"/>
        <v>0</v>
      </c>
      <c r="BA27" s="38">
        <f t="shared" si="8"/>
        <v>0</v>
      </c>
    </row>
    <row r="28" spans="1:53" ht="34.5" customHeight="1">
      <c r="A28" s="11" t="s">
        <v>25</v>
      </c>
      <c r="B28" s="112" t="s">
        <v>86</v>
      </c>
      <c r="C28" s="133"/>
      <c r="D28" s="134"/>
      <c r="E28" s="134"/>
      <c r="F28" s="84" t="e">
        <f t="shared" si="9"/>
        <v>#DIV/0!</v>
      </c>
      <c r="G28" s="134"/>
      <c r="H28" s="134"/>
      <c r="I28" s="84" t="e">
        <f t="shared" si="1"/>
        <v>#DIV/0!</v>
      </c>
      <c r="J28" s="134"/>
      <c r="K28" s="134"/>
      <c r="L28" s="84" t="e">
        <f>K28/J28*100</f>
        <v>#DIV/0!</v>
      </c>
      <c r="M28" s="122">
        <f t="shared" si="13"/>
        <v>0</v>
      </c>
      <c r="N28" s="122">
        <f t="shared" si="14"/>
        <v>0</v>
      </c>
      <c r="O28" s="84" t="e">
        <f t="shared" si="15"/>
        <v>#DIV/0!</v>
      </c>
      <c r="P28" s="121"/>
      <c r="Q28" s="121"/>
      <c r="R28" s="84" t="e">
        <f t="shared" si="2"/>
        <v>#DIV/0!</v>
      </c>
      <c r="S28" s="134"/>
      <c r="T28" s="134"/>
      <c r="U28" s="84" t="e">
        <f t="shared" si="3"/>
        <v>#DIV/0!</v>
      </c>
      <c r="V28" s="134">
        <v>17.5</v>
      </c>
      <c r="W28" s="134">
        <v>17.5</v>
      </c>
      <c r="X28" s="106">
        <f>W28/V28*100</f>
        <v>100</v>
      </c>
      <c r="Y28" s="135">
        <f>P28+S28+V28</f>
        <v>17.5</v>
      </c>
      <c r="Z28" s="135">
        <f>Q28+T28+W28</f>
        <v>17.5</v>
      </c>
      <c r="AA28" s="106">
        <f>Z28/Y28*100</f>
        <v>100</v>
      </c>
      <c r="AB28" s="134"/>
      <c r="AC28" s="134"/>
      <c r="AD28" s="9" t="e">
        <f t="shared" si="4"/>
        <v>#DIV/0!</v>
      </c>
      <c r="AE28" s="134"/>
      <c r="AF28" s="133"/>
      <c r="AG28" s="9" t="e">
        <f t="shared" si="5"/>
        <v>#DIV/0!</v>
      </c>
      <c r="AH28" s="134"/>
      <c r="AI28" s="133"/>
      <c r="AJ28" s="9" t="e">
        <f>AI28/AH28*100</f>
        <v>#DIV/0!</v>
      </c>
      <c r="AK28" s="135">
        <f>AB28+AE28+AH28</f>
        <v>0</v>
      </c>
      <c r="AL28" s="135">
        <f>AC28+AF28+AI28</f>
        <v>0</v>
      </c>
      <c r="AM28" s="106" t="e">
        <f>AL28/AK28*100</f>
        <v>#DIV/0!</v>
      </c>
      <c r="AN28" s="134"/>
      <c r="AO28" s="133"/>
      <c r="AP28" s="134"/>
      <c r="AQ28" s="133"/>
      <c r="AR28" s="134"/>
      <c r="AS28" s="133"/>
      <c r="AT28" s="57">
        <f>M28+Y28+AK28+AN28+AP28+AR28</f>
        <v>17.5</v>
      </c>
      <c r="AU28" s="57">
        <f>N28+Z28+AL28+AO28+AQ28+AS28</f>
        <v>17.5</v>
      </c>
      <c r="AV28" s="9">
        <f>AU28/AT28*100</f>
        <v>100</v>
      </c>
      <c r="AW28" s="135"/>
      <c r="AX28" s="15"/>
      <c r="AY28" s="19">
        <f t="shared" si="6"/>
        <v>17.5</v>
      </c>
      <c r="AZ28" s="19">
        <f t="shared" si="7"/>
        <v>17.5</v>
      </c>
      <c r="BA28" s="38">
        <f t="shared" si="8"/>
        <v>0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84" t="e">
        <f t="shared" si="9"/>
        <v>#DIV/0!</v>
      </c>
      <c r="G29" s="61"/>
      <c r="H29" s="61"/>
      <c r="I29" s="84" t="e">
        <f t="shared" si="1"/>
        <v>#DIV/0!</v>
      </c>
      <c r="J29" s="61"/>
      <c r="K29" s="61"/>
      <c r="L29" s="61"/>
      <c r="M29" s="122">
        <f t="shared" si="13"/>
        <v>0</v>
      </c>
      <c r="N29" s="122">
        <f t="shared" si="14"/>
        <v>0</v>
      </c>
      <c r="O29" s="84" t="e">
        <f t="shared" si="15"/>
        <v>#DIV/0!</v>
      </c>
      <c r="P29" s="138"/>
      <c r="Q29" s="138"/>
      <c r="R29" s="84" t="e">
        <f t="shared" si="2"/>
        <v>#DIV/0!</v>
      </c>
      <c r="S29" s="61"/>
      <c r="T29" s="61"/>
      <c r="U29" s="84" t="e">
        <f t="shared" si="3"/>
        <v>#DIV/0!</v>
      </c>
      <c r="V29" s="61"/>
      <c r="W29" s="61"/>
      <c r="X29" s="61"/>
      <c r="Y29" s="70"/>
      <c r="Z29" s="70"/>
      <c r="AA29" s="9"/>
      <c r="AB29" s="61"/>
      <c r="AC29" s="61"/>
      <c r="AD29" s="84" t="e">
        <f t="shared" si="4"/>
        <v>#DIV/0!</v>
      </c>
      <c r="AE29" s="52"/>
      <c r="AF29" s="52"/>
      <c r="AG29" s="84" t="e">
        <f t="shared" si="5"/>
        <v>#DIV/0!</v>
      </c>
      <c r="AH29" s="52"/>
      <c r="AI29" s="52"/>
      <c r="AJ29" s="9"/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9"/>
      <c r="AW29" s="61"/>
      <c r="AX29" s="15"/>
      <c r="AY29" s="19">
        <f t="shared" si="6"/>
        <v>0</v>
      </c>
      <c r="AZ29" s="19">
        <f t="shared" si="7"/>
        <v>0</v>
      </c>
      <c r="BA29" s="38">
        <f t="shared" si="8"/>
        <v>0</v>
      </c>
    </row>
    <row r="30" spans="1:53" ht="34.5" customHeight="1">
      <c r="A30" s="11" t="s">
        <v>27</v>
      </c>
      <c r="B30" s="60" t="s">
        <v>39</v>
      </c>
      <c r="C30" s="97"/>
      <c r="D30" s="34"/>
      <c r="E30" s="34"/>
      <c r="F30" s="84" t="e">
        <f t="shared" si="9"/>
        <v>#DIV/0!</v>
      </c>
      <c r="G30" s="34"/>
      <c r="H30" s="34"/>
      <c r="I30" s="84" t="e">
        <f t="shared" si="1"/>
        <v>#DIV/0!</v>
      </c>
      <c r="J30" s="34"/>
      <c r="K30" s="34"/>
      <c r="L30" s="59"/>
      <c r="M30" s="122">
        <f t="shared" si="13"/>
        <v>0</v>
      </c>
      <c r="N30" s="122">
        <f t="shared" si="14"/>
        <v>0</v>
      </c>
      <c r="O30" s="84" t="e">
        <f t="shared" si="15"/>
        <v>#DIV/0!</v>
      </c>
      <c r="P30" s="121"/>
      <c r="Q30" s="121"/>
      <c r="R30" s="84" t="e">
        <f t="shared" si="2"/>
        <v>#DIV/0!</v>
      </c>
      <c r="S30" s="34"/>
      <c r="T30" s="34"/>
      <c r="U30" s="84" t="e">
        <f t="shared" si="3"/>
        <v>#DIV/0!</v>
      </c>
      <c r="V30" s="34"/>
      <c r="W30" s="34"/>
      <c r="X30" s="59"/>
      <c r="Y30" s="70"/>
      <c r="Z30" s="70"/>
      <c r="AA30" s="9"/>
      <c r="AB30" s="34"/>
      <c r="AC30" s="34"/>
      <c r="AD30" s="84" t="e">
        <f t="shared" si="4"/>
        <v>#DIV/0!</v>
      </c>
      <c r="AE30" s="34"/>
      <c r="AF30" s="34"/>
      <c r="AG30" s="84" t="e">
        <f t="shared" si="5"/>
        <v>#DIV/0!</v>
      </c>
      <c r="AH30" s="34"/>
      <c r="AI30" s="34"/>
      <c r="AJ30" s="9"/>
      <c r="AK30" s="70"/>
      <c r="AL30" s="70"/>
      <c r="AM30" s="9"/>
      <c r="AN30" s="34"/>
      <c r="AO30" s="34"/>
      <c r="AP30" s="34"/>
      <c r="AQ30" s="34"/>
      <c r="AR30" s="34"/>
      <c r="AS30" s="34"/>
      <c r="AT30" s="57"/>
      <c r="AU30" s="57"/>
      <c r="AV30" s="9"/>
      <c r="AW30" s="57"/>
      <c r="AX30" s="15"/>
      <c r="AY30" s="19">
        <f t="shared" si="6"/>
        <v>0</v>
      </c>
      <c r="AZ30" s="19">
        <f t="shared" si="7"/>
        <v>0</v>
      </c>
      <c r="BA30" s="38">
        <f t="shared" si="8"/>
        <v>0</v>
      </c>
    </row>
    <row r="31" spans="1:53" ht="34.5" customHeight="1">
      <c r="A31" s="11" t="s">
        <v>28</v>
      </c>
      <c r="B31" s="60" t="s">
        <v>3</v>
      </c>
      <c r="C31" s="12">
        <v>0</v>
      </c>
      <c r="D31" s="34">
        <v>1.7</v>
      </c>
      <c r="E31" s="34"/>
      <c r="F31" s="84">
        <f t="shared" si="9"/>
        <v>0</v>
      </c>
      <c r="G31" s="34">
        <v>1.4</v>
      </c>
      <c r="H31" s="34">
        <v>1.7</v>
      </c>
      <c r="I31" s="9">
        <f>H31/G31*100</f>
        <v>121.42857142857144</v>
      </c>
      <c r="J31" s="34">
        <v>3.5</v>
      </c>
      <c r="K31" s="34">
        <v>4.9</v>
      </c>
      <c r="L31" s="9">
        <f>K31/J31*100</f>
        <v>140</v>
      </c>
      <c r="M31" s="70">
        <f aca="true" t="shared" si="16" ref="M31:N36">D31+G31+J31</f>
        <v>6.6</v>
      </c>
      <c r="N31" s="70">
        <f t="shared" si="16"/>
        <v>6.6000000000000005</v>
      </c>
      <c r="O31" s="9">
        <f>N31/M31*100</f>
        <v>100.00000000000003</v>
      </c>
      <c r="P31" s="34">
        <v>2</v>
      </c>
      <c r="Q31" s="34">
        <v>2</v>
      </c>
      <c r="R31" s="9">
        <f t="shared" si="2"/>
        <v>100</v>
      </c>
      <c r="S31" s="34">
        <v>0.6</v>
      </c>
      <c r="T31" s="34">
        <v>0.6</v>
      </c>
      <c r="U31" s="9">
        <f t="shared" si="3"/>
        <v>100</v>
      </c>
      <c r="V31" s="34">
        <v>0.7</v>
      </c>
      <c r="W31" s="34">
        <v>0.7</v>
      </c>
      <c r="X31" s="9">
        <f>W31/V31*100</f>
        <v>100</v>
      </c>
      <c r="Y31" s="70">
        <f aca="true" t="shared" si="17" ref="Y31:Z36">P31+S31+V31</f>
        <v>3.3</v>
      </c>
      <c r="Z31" s="70">
        <f t="shared" si="17"/>
        <v>3.3</v>
      </c>
      <c r="AA31" s="9">
        <f>Z31/Y31*100</f>
        <v>100</v>
      </c>
      <c r="AB31" s="34"/>
      <c r="AC31" s="34"/>
      <c r="AD31" s="9" t="e">
        <f t="shared" si="4"/>
        <v>#DIV/0!</v>
      </c>
      <c r="AE31" s="34"/>
      <c r="AF31" s="34"/>
      <c r="AG31" s="9" t="e">
        <f t="shared" si="5"/>
        <v>#DIV/0!</v>
      </c>
      <c r="AH31" s="34"/>
      <c r="AI31" s="34"/>
      <c r="AJ31" s="9" t="e">
        <f>AI31/AH31*100</f>
        <v>#DIV/0!</v>
      </c>
      <c r="AK31" s="70">
        <f>AB31+AE31+AH31</f>
        <v>0</v>
      </c>
      <c r="AL31" s="70">
        <f>AC31+AF31+AI31</f>
        <v>0</v>
      </c>
      <c r="AM31" s="9" t="e">
        <f>AL31/AK31*100</f>
        <v>#DIV/0!</v>
      </c>
      <c r="AN31" s="34"/>
      <c r="AO31" s="34"/>
      <c r="AP31" s="34"/>
      <c r="AQ31" s="34"/>
      <c r="AR31" s="34"/>
      <c r="AS31" s="34"/>
      <c r="AT31" s="51">
        <f>M31+Y31+AK31+AN31+AP31+AR31</f>
        <v>9.899999999999999</v>
      </c>
      <c r="AU31" s="51">
        <f>N31+Z31+AL31+AO31+AQ31+AS31</f>
        <v>9.9</v>
      </c>
      <c r="AV31" s="9">
        <f>AU31/AT31*100</f>
        <v>100.00000000000003</v>
      </c>
      <c r="AW31" s="57">
        <f>AT31-AU31</f>
        <v>0</v>
      </c>
      <c r="AX31" s="15">
        <f>C31+AT31-AU31</f>
        <v>0</v>
      </c>
      <c r="AY31" s="19">
        <f t="shared" si="6"/>
        <v>9.899999999999999</v>
      </c>
      <c r="AZ31" s="19">
        <f t="shared" si="7"/>
        <v>9.9</v>
      </c>
      <c r="BA31" s="38">
        <f t="shared" si="8"/>
        <v>0</v>
      </c>
    </row>
    <row r="32" spans="1:53" ht="34.5" customHeight="1">
      <c r="A32" s="11" t="s">
        <v>29</v>
      </c>
      <c r="B32" s="60" t="s">
        <v>87</v>
      </c>
      <c r="C32" s="119">
        <f>SUM(C33:C34)</f>
        <v>-1.7</v>
      </c>
      <c r="D32" s="119">
        <f aca="true" t="shared" si="18" ref="D32:AS32">SUM(D33:D34)</f>
        <v>12.6</v>
      </c>
      <c r="E32" s="119">
        <f t="shared" si="18"/>
        <v>0</v>
      </c>
      <c r="F32" s="141" t="e">
        <f t="shared" si="18"/>
        <v>#DIV/0!</v>
      </c>
      <c r="G32" s="119">
        <f t="shared" si="18"/>
        <v>13.12</v>
      </c>
      <c r="H32" s="119">
        <f t="shared" si="18"/>
        <v>12.08</v>
      </c>
      <c r="I32" s="119">
        <f t="shared" si="18"/>
        <v>92.07317073170732</v>
      </c>
      <c r="J32" s="119">
        <f t="shared" si="18"/>
        <v>12.89</v>
      </c>
      <c r="K32" s="119">
        <f t="shared" si="18"/>
        <v>22.32</v>
      </c>
      <c r="L32" s="119">
        <f t="shared" si="18"/>
        <v>173.15748642358417</v>
      </c>
      <c r="M32" s="119">
        <f t="shared" si="18"/>
        <v>38.61</v>
      </c>
      <c r="N32" s="119">
        <f t="shared" si="18"/>
        <v>34.4</v>
      </c>
      <c r="O32" s="9">
        <f>N32/M32*100</f>
        <v>89.09608909608909</v>
      </c>
      <c r="P32" s="119">
        <f t="shared" si="18"/>
        <v>12.8</v>
      </c>
      <c r="Q32" s="119">
        <f t="shared" si="18"/>
        <v>12.8</v>
      </c>
      <c r="R32" s="9">
        <f t="shared" si="2"/>
        <v>100</v>
      </c>
      <c r="S32" s="119">
        <f t="shared" si="18"/>
        <v>13.5</v>
      </c>
      <c r="T32" s="119">
        <f t="shared" si="18"/>
        <v>12.7</v>
      </c>
      <c r="U32" s="9">
        <f t="shared" si="3"/>
        <v>94.07407407407406</v>
      </c>
      <c r="V32" s="119">
        <f t="shared" si="18"/>
        <v>1.3</v>
      </c>
      <c r="W32" s="119">
        <f t="shared" si="18"/>
        <v>4.2</v>
      </c>
      <c r="X32" s="119">
        <f t="shared" si="18"/>
        <v>323.0769230769231</v>
      </c>
      <c r="Y32" s="119">
        <f t="shared" si="18"/>
        <v>27.6</v>
      </c>
      <c r="Z32" s="119">
        <f t="shared" si="18"/>
        <v>29.7</v>
      </c>
      <c r="AA32" s="119">
        <f t="shared" si="18"/>
        <v>107.6086956521739</v>
      </c>
      <c r="AB32" s="119">
        <f t="shared" si="18"/>
        <v>0</v>
      </c>
      <c r="AC32" s="119">
        <f t="shared" si="18"/>
        <v>0</v>
      </c>
      <c r="AD32" s="119" t="e">
        <f t="shared" si="18"/>
        <v>#DIV/0!</v>
      </c>
      <c r="AE32" s="119">
        <f t="shared" si="18"/>
        <v>0</v>
      </c>
      <c r="AF32" s="119">
        <f t="shared" si="18"/>
        <v>0</v>
      </c>
      <c r="AG32" s="119" t="e">
        <f t="shared" si="18"/>
        <v>#DIV/0!</v>
      </c>
      <c r="AH32" s="119">
        <f t="shared" si="18"/>
        <v>0</v>
      </c>
      <c r="AI32" s="119">
        <f t="shared" si="18"/>
        <v>0</v>
      </c>
      <c r="AJ32" s="119" t="e">
        <f t="shared" si="18"/>
        <v>#DIV/0!</v>
      </c>
      <c r="AK32" s="70">
        <f>AB32+AE32+AH32</f>
        <v>0</v>
      </c>
      <c r="AL32" s="119">
        <f t="shared" si="18"/>
        <v>0</v>
      </c>
      <c r="AM32" s="119" t="e">
        <f t="shared" si="18"/>
        <v>#DIV/0!</v>
      </c>
      <c r="AN32" s="119">
        <f t="shared" si="18"/>
        <v>0</v>
      </c>
      <c r="AO32" s="119">
        <f t="shared" si="18"/>
        <v>0</v>
      </c>
      <c r="AP32" s="119">
        <f t="shared" si="18"/>
        <v>0</v>
      </c>
      <c r="AQ32" s="119">
        <f t="shared" si="18"/>
        <v>0</v>
      </c>
      <c r="AR32" s="119">
        <f t="shared" si="18"/>
        <v>0</v>
      </c>
      <c r="AS32" s="119">
        <f t="shared" si="18"/>
        <v>0</v>
      </c>
      <c r="AT32" s="119">
        <f>SUM(AT33:AT34)</f>
        <v>66.21000000000001</v>
      </c>
      <c r="AU32" s="119">
        <f>SUM(AU33:AU34)</f>
        <v>64.1</v>
      </c>
      <c r="AV32" s="9">
        <f>AU32/AT32*100</f>
        <v>96.81317021597944</v>
      </c>
      <c r="AW32" s="59"/>
      <c r="AX32" s="15">
        <f>SUM(AX33:AX34)</f>
        <v>0.4100000000000108</v>
      </c>
      <c r="AY32" s="19">
        <f t="shared" si="6"/>
        <v>66.21000000000001</v>
      </c>
      <c r="AZ32" s="19">
        <f t="shared" si="7"/>
        <v>64.1</v>
      </c>
      <c r="BA32" s="38">
        <f t="shared" si="8"/>
        <v>0.4100000000000108</v>
      </c>
    </row>
    <row r="33" spans="1:53" ht="34.5" customHeight="1">
      <c r="A33" s="11"/>
      <c r="B33" s="60" t="s">
        <v>100</v>
      </c>
      <c r="C33" s="62">
        <v>-1.7</v>
      </c>
      <c r="D33" s="34">
        <v>12.6</v>
      </c>
      <c r="E33" s="34">
        <v>0</v>
      </c>
      <c r="F33" s="9">
        <f>E33/D33*100</f>
        <v>0</v>
      </c>
      <c r="G33" s="34">
        <v>13.12</v>
      </c>
      <c r="H33" s="34">
        <v>12.08</v>
      </c>
      <c r="I33" s="9">
        <f>H33/G33*100</f>
        <v>92.07317073170732</v>
      </c>
      <c r="J33" s="34">
        <v>12.89</v>
      </c>
      <c r="K33" s="34">
        <v>22.32</v>
      </c>
      <c r="L33" s="9">
        <f>K33/J33*100</f>
        <v>173.15748642358417</v>
      </c>
      <c r="M33" s="70">
        <f t="shared" si="16"/>
        <v>38.61</v>
      </c>
      <c r="N33" s="70">
        <f t="shared" si="16"/>
        <v>34.4</v>
      </c>
      <c r="O33" s="9">
        <f>N33/M33*100</f>
        <v>89.09608909608909</v>
      </c>
      <c r="P33" s="34">
        <v>12.8</v>
      </c>
      <c r="Q33" s="34">
        <v>12.8</v>
      </c>
      <c r="R33" s="9">
        <f t="shared" si="2"/>
        <v>100</v>
      </c>
      <c r="S33" s="34">
        <v>13.5</v>
      </c>
      <c r="T33" s="34">
        <v>12.7</v>
      </c>
      <c r="U33" s="9">
        <f t="shared" si="3"/>
        <v>94.07407407407406</v>
      </c>
      <c r="V33" s="34">
        <v>1.3</v>
      </c>
      <c r="W33" s="34">
        <v>4.2</v>
      </c>
      <c r="X33" s="9">
        <f>W33/V33*100</f>
        <v>323.0769230769231</v>
      </c>
      <c r="Y33" s="70">
        <f t="shared" si="17"/>
        <v>27.6</v>
      </c>
      <c r="Z33" s="70">
        <f t="shared" si="17"/>
        <v>29.7</v>
      </c>
      <c r="AA33" s="9">
        <f>Z33/Y33*100</f>
        <v>107.6086956521739</v>
      </c>
      <c r="AB33" s="34"/>
      <c r="AC33" s="34"/>
      <c r="AD33" s="84" t="e">
        <f t="shared" si="4"/>
        <v>#DIV/0!</v>
      </c>
      <c r="AE33" s="34"/>
      <c r="AF33" s="34"/>
      <c r="AG33" s="9" t="e">
        <f t="shared" si="5"/>
        <v>#DIV/0!</v>
      </c>
      <c r="AH33" s="34"/>
      <c r="AI33" s="34"/>
      <c r="AJ33" s="9" t="e">
        <f>AI33/AH33*100</f>
        <v>#DIV/0!</v>
      </c>
      <c r="AK33" s="70">
        <f>AB33+AE33+AH33</f>
        <v>0</v>
      </c>
      <c r="AL33" s="70">
        <f>AC33+AF33+AI33</f>
        <v>0</v>
      </c>
      <c r="AM33" s="9" t="e">
        <f>AL33/AK33*100</f>
        <v>#DIV/0!</v>
      </c>
      <c r="AN33" s="34"/>
      <c r="AO33" s="34"/>
      <c r="AP33" s="34"/>
      <c r="AQ33" s="34"/>
      <c r="AR33" s="34"/>
      <c r="AS33" s="34"/>
      <c r="AT33" s="57">
        <f>M33+Y33+AK33+AN33+AP33+AR33</f>
        <v>66.21000000000001</v>
      </c>
      <c r="AU33" s="57">
        <f>N33+Z33+AL33+AO33+AQ33+AS33</f>
        <v>64.1</v>
      </c>
      <c r="AV33" s="9">
        <f>AU33/AT33*100</f>
        <v>96.81317021597944</v>
      </c>
      <c r="AW33" s="57">
        <f>AT33-AU33</f>
        <v>2.1100000000000136</v>
      </c>
      <c r="AX33" s="15">
        <f>C33+AT33-AU33</f>
        <v>0.4100000000000108</v>
      </c>
      <c r="AY33" s="19">
        <f t="shared" si="6"/>
        <v>66.21000000000001</v>
      </c>
      <c r="AZ33" s="19">
        <f t="shared" si="7"/>
        <v>64.1</v>
      </c>
      <c r="BA33" s="38">
        <f t="shared" si="8"/>
        <v>0.4100000000000108</v>
      </c>
    </row>
    <row r="34" spans="1:53" ht="34.5" customHeight="1">
      <c r="A34" s="11"/>
      <c r="B34" s="60" t="s">
        <v>88</v>
      </c>
      <c r="C34" s="120">
        <v>0</v>
      </c>
      <c r="D34" s="121">
        <v>0</v>
      </c>
      <c r="E34" s="121">
        <v>0</v>
      </c>
      <c r="F34" s="84" t="e">
        <f>E34/D34*100</f>
        <v>#DIV/0!</v>
      </c>
      <c r="G34" s="121"/>
      <c r="H34" s="121"/>
      <c r="I34" s="84"/>
      <c r="J34" s="121"/>
      <c r="K34" s="121"/>
      <c r="L34" s="84"/>
      <c r="M34" s="122"/>
      <c r="N34" s="122"/>
      <c r="O34" s="84"/>
      <c r="P34" s="121"/>
      <c r="Q34" s="121"/>
      <c r="R34" s="84" t="e">
        <f t="shared" si="2"/>
        <v>#DIV/0!</v>
      </c>
      <c r="S34" s="121">
        <v>0</v>
      </c>
      <c r="T34" s="121">
        <v>0</v>
      </c>
      <c r="U34" s="84" t="e">
        <f t="shared" si="3"/>
        <v>#DIV/0!</v>
      </c>
      <c r="V34" s="121"/>
      <c r="W34" s="121"/>
      <c r="X34" s="84"/>
      <c r="Y34" s="122"/>
      <c r="Z34" s="122"/>
      <c r="AA34" s="84"/>
      <c r="AB34" s="121"/>
      <c r="AC34" s="121"/>
      <c r="AD34" s="84" t="e">
        <f t="shared" si="4"/>
        <v>#DIV/0!</v>
      </c>
      <c r="AE34" s="121"/>
      <c r="AF34" s="121"/>
      <c r="AG34" s="84" t="e">
        <f t="shared" si="5"/>
        <v>#DIV/0!</v>
      </c>
      <c r="AH34" s="121"/>
      <c r="AI34" s="121"/>
      <c r="AJ34" s="9"/>
      <c r="AK34" s="122"/>
      <c r="AL34" s="122"/>
      <c r="AM34" s="84"/>
      <c r="AN34" s="121"/>
      <c r="AO34" s="121"/>
      <c r="AP34" s="121"/>
      <c r="AQ34" s="121"/>
      <c r="AR34" s="121"/>
      <c r="AS34" s="121"/>
      <c r="AT34" s="122"/>
      <c r="AU34" s="122"/>
      <c r="AV34" s="84"/>
      <c r="AW34" s="122"/>
      <c r="AX34" s="123">
        <v>0</v>
      </c>
      <c r="AY34" s="19">
        <f t="shared" si="6"/>
        <v>0</v>
      </c>
      <c r="AZ34" s="19">
        <f t="shared" si="7"/>
        <v>0</v>
      </c>
      <c r="BA34" s="38">
        <f t="shared" si="8"/>
        <v>0</v>
      </c>
    </row>
    <row r="35" spans="1:53" ht="34.5" customHeight="1">
      <c r="A35" s="11" t="s">
        <v>30</v>
      </c>
      <c r="B35" s="60" t="s">
        <v>60</v>
      </c>
      <c r="C35" s="62">
        <v>-0.2</v>
      </c>
      <c r="D35" s="33">
        <v>6.5</v>
      </c>
      <c r="E35" s="33">
        <v>0</v>
      </c>
      <c r="F35" s="9">
        <f>E35/D35*100</f>
        <v>0</v>
      </c>
      <c r="G35" s="34">
        <v>32.8</v>
      </c>
      <c r="H35" s="34">
        <v>39.1</v>
      </c>
      <c r="I35" s="101">
        <f>H35/G35*100</f>
        <v>119.20731707317074</v>
      </c>
      <c r="J35" s="34">
        <v>40.2</v>
      </c>
      <c r="K35" s="34">
        <v>40.1</v>
      </c>
      <c r="L35" s="9">
        <f>K35/J35*100</f>
        <v>99.75124378109453</v>
      </c>
      <c r="M35" s="70">
        <f t="shared" si="16"/>
        <v>79.5</v>
      </c>
      <c r="N35" s="70">
        <f t="shared" si="16"/>
        <v>79.2</v>
      </c>
      <c r="O35" s="9">
        <f>N35/M35*100</f>
        <v>99.62264150943396</v>
      </c>
      <c r="P35" s="34">
        <v>8.999999999999998</v>
      </c>
      <c r="Q35" s="34">
        <v>8.899999999999999</v>
      </c>
      <c r="R35" s="9">
        <f t="shared" si="2"/>
        <v>98.88888888888889</v>
      </c>
      <c r="S35" s="34">
        <v>4.9</v>
      </c>
      <c r="T35" s="34">
        <v>4.1</v>
      </c>
      <c r="U35" s="9">
        <f t="shared" si="3"/>
        <v>83.67346938775509</v>
      </c>
      <c r="V35" s="34">
        <v>1.6</v>
      </c>
      <c r="W35" s="34">
        <v>1.6</v>
      </c>
      <c r="X35" s="9">
        <f>W35/V35*100</f>
        <v>100</v>
      </c>
      <c r="Y35" s="70">
        <f t="shared" si="17"/>
        <v>15.499999999999998</v>
      </c>
      <c r="Z35" s="70">
        <f t="shared" si="17"/>
        <v>14.599999999999998</v>
      </c>
      <c r="AA35" s="9">
        <f>Z35/Y35*100</f>
        <v>94.19354838709677</v>
      </c>
      <c r="AB35" s="34"/>
      <c r="AC35" s="34"/>
      <c r="AD35" s="9" t="e">
        <f t="shared" si="4"/>
        <v>#DIV/0!</v>
      </c>
      <c r="AE35" s="34"/>
      <c r="AF35" s="34"/>
      <c r="AG35" s="9" t="e">
        <f t="shared" si="5"/>
        <v>#DIV/0!</v>
      </c>
      <c r="AH35" s="34"/>
      <c r="AI35" s="34"/>
      <c r="AJ35" s="9" t="e">
        <f>AI35/AH35*100</f>
        <v>#DIV/0!</v>
      </c>
      <c r="AK35" s="70">
        <f>AB35+AE35+AH35</f>
        <v>0</v>
      </c>
      <c r="AL35" s="70">
        <f>AC35+AF35+AI35</f>
        <v>0</v>
      </c>
      <c r="AM35" s="9" t="e">
        <f>AL35/AK35*100</f>
        <v>#DIV/0!</v>
      </c>
      <c r="AN35" s="34"/>
      <c r="AO35" s="34"/>
      <c r="AP35" s="34"/>
      <c r="AQ35" s="34"/>
      <c r="AR35" s="34"/>
      <c r="AS35" s="34"/>
      <c r="AT35" s="57">
        <f>M35+Y35+AK35+AN35+AP35+AR35</f>
        <v>95</v>
      </c>
      <c r="AU35" s="57">
        <f>N35+Z35+AL35+AO35+AQ35+AS35</f>
        <v>93.8</v>
      </c>
      <c r="AV35" s="9">
        <f>AU35/AT35*100</f>
        <v>98.73684210526315</v>
      </c>
      <c r="AW35" s="57">
        <f>AT35-AU35</f>
        <v>1.2000000000000028</v>
      </c>
      <c r="AX35" s="15">
        <f>C35+AT35-AU35</f>
        <v>1</v>
      </c>
      <c r="AY35" s="19">
        <f t="shared" si="6"/>
        <v>95</v>
      </c>
      <c r="AZ35" s="19">
        <f t="shared" si="7"/>
        <v>93.8</v>
      </c>
      <c r="BA35" s="38">
        <f t="shared" si="8"/>
        <v>1</v>
      </c>
    </row>
    <row r="36" spans="1:53" ht="34.5" customHeight="1">
      <c r="A36" s="11" t="s">
        <v>31</v>
      </c>
      <c r="B36" s="113" t="s">
        <v>61</v>
      </c>
      <c r="C36" s="98">
        <v>-8.9</v>
      </c>
      <c r="D36" s="34">
        <v>11.3</v>
      </c>
      <c r="E36" s="34">
        <v>8.1</v>
      </c>
      <c r="F36" s="9">
        <f>E36/D36*100</f>
        <v>71.68141592920352</v>
      </c>
      <c r="G36" s="34">
        <v>11.1</v>
      </c>
      <c r="H36" s="34">
        <v>11.9</v>
      </c>
      <c r="I36" s="101">
        <f>H36/G36*100</f>
        <v>107.20720720720722</v>
      </c>
      <c r="J36" s="34">
        <v>11.9</v>
      </c>
      <c r="K36" s="34">
        <v>11.3</v>
      </c>
      <c r="L36" s="59">
        <f>K36/J36*100</f>
        <v>94.95798319327731</v>
      </c>
      <c r="M36" s="70">
        <f t="shared" si="16"/>
        <v>34.3</v>
      </c>
      <c r="N36" s="70">
        <f t="shared" si="16"/>
        <v>31.3</v>
      </c>
      <c r="O36" s="9">
        <f>N36/M36*100</f>
        <v>91.25364431486881</v>
      </c>
      <c r="P36" s="34">
        <v>24.6</v>
      </c>
      <c r="Q36" s="34">
        <v>27</v>
      </c>
      <c r="R36" s="9">
        <f t="shared" si="2"/>
        <v>109.75609756097559</v>
      </c>
      <c r="S36" s="34">
        <v>24.5</v>
      </c>
      <c r="T36" s="34">
        <v>24.4</v>
      </c>
      <c r="U36" s="9">
        <f t="shared" si="3"/>
        <v>99.59183673469387</v>
      </c>
      <c r="V36" s="34">
        <v>77.4</v>
      </c>
      <c r="W36" s="34">
        <v>24.4</v>
      </c>
      <c r="X36" s="101">
        <f>W36/V36*100</f>
        <v>31.524547803617565</v>
      </c>
      <c r="Y36" s="70">
        <f t="shared" si="17"/>
        <v>126.5</v>
      </c>
      <c r="Z36" s="70">
        <f t="shared" si="17"/>
        <v>75.8</v>
      </c>
      <c r="AA36" s="9">
        <f>Z36/Y36*100</f>
        <v>59.92094861660079</v>
      </c>
      <c r="AB36" s="34"/>
      <c r="AC36" s="34"/>
      <c r="AD36" s="9" t="e">
        <f t="shared" si="4"/>
        <v>#DIV/0!</v>
      </c>
      <c r="AE36" s="34"/>
      <c r="AF36" s="34"/>
      <c r="AG36" s="9" t="e">
        <f t="shared" si="5"/>
        <v>#DIV/0!</v>
      </c>
      <c r="AH36" s="34"/>
      <c r="AI36" s="34"/>
      <c r="AJ36" s="9" t="e">
        <f>AI36/AH36*100</f>
        <v>#DIV/0!</v>
      </c>
      <c r="AK36" s="70">
        <f>AB36+AE36+AH36</f>
        <v>0</v>
      </c>
      <c r="AL36" s="70">
        <f>AC36+AF36+AI36</f>
        <v>0</v>
      </c>
      <c r="AM36" s="9" t="e">
        <f>AL36/AK36*100</f>
        <v>#DIV/0!</v>
      </c>
      <c r="AN36" s="34"/>
      <c r="AO36" s="34"/>
      <c r="AP36" s="34"/>
      <c r="AQ36" s="34"/>
      <c r="AR36" s="34"/>
      <c r="AS36" s="34"/>
      <c r="AT36" s="57">
        <f>M36+Y36+AK36+AN36+AP36+AR36</f>
        <v>160.8</v>
      </c>
      <c r="AU36" s="57">
        <f>N36+Z36+AL36+AO36+AQ36+AS36</f>
        <v>107.1</v>
      </c>
      <c r="AV36" s="9">
        <f>AU36/AT36*100</f>
        <v>66.6044776119403</v>
      </c>
      <c r="AW36" s="57">
        <f>AT36-AU36</f>
        <v>53.70000000000002</v>
      </c>
      <c r="AX36" s="15">
        <f>C36+AT36-AU36</f>
        <v>44.80000000000001</v>
      </c>
      <c r="AY36" s="19">
        <f t="shared" si="6"/>
        <v>160.8</v>
      </c>
      <c r="AZ36" s="19">
        <f t="shared" si="7"/>
        <v>107.1</v>
      </c>
      <c r="BA36" s="38">
        <f t="shared" si="8"/>
        <v>44.80000000000001</v>
      </c>
    </row>
    <row r="37" spans="1:53" ht="34.5" customHeight="1">
      <c r="A37" s="11" t="s">
        <v>32</v>
      </c>
      <c r="B37" s="114" t="s">
        <v>62</v>
      </c>
      <c r="C37" s="12"/>
      <c r="D37" s="34"/>
      <c r="E37" s="34"/>
      <c r="F37" s="9"/>
      <c r="G37" s="34"/>
      <c r="H37" s="34"/>
      <c r="I37" s="9"/>
      <c r="J37" s="34"/>
      <c r="K37" s="34"/>
      <c r="L37" s="9"/>
      <c r="M37" s="70"/>
      <c r="N37" s="70"/>
      <c r="O37" s="9"/>
      <c r="P37" s="34"/>
      <c r="Q37" s="34"/>
      <c r="R37" s="84" t="e">
        <f t="shared" si="2"/>
        <v>#DIV/0!</v>
      </c>
      <c r="S37" s="34"/>
      <c r="T37" s="34"/>
      <c r="U37" s="84" t="e">
        <f t="shared" si="3"/>
        <v>#DIV/0!</v>
      </c>
      <c r="V37" s="34"/>
      <c r="W37" s="34"/>
      <c r="X37" s="9"/>
      <c r="Y37" s="70"/>
      <c r="Z37" s="70"/>
      <c r="AA37" s="9"/>
      <c r="AB37" s="34"/>
      <c r="AC37" s="34"/>
      <c r="AD37" s="84" t="e">
        <f t="shared" si="4"/>
        <v>#DIV/0!</v>
      </c>
      <c r="AE37" s="34"/>
      <c r="AF37" s="34"/>
      <c r="AG37" s="84" t="e">
        <f t="shared" si="5"/>
        <v>#DIV/0!</v>
      </c>
      <c r="AH37" s="34"/>
      <c r="AI37" s="34"/>
      <c r="AJ37" s="9"/>
      <c r="AK37" s="70"/>
      <c r="AL37" s="70"/>
      <c r="AM37" s="9"/>
      <c r="AN37" s="34"/>
      <c r="AO37" s="34"/>
      <c r="AP37" s="34"/>
      <c r="AQ37" s="34"/>
      <c r="AR37" s="34"/>
      <c r="AS37" s="34"/>
      <c r="AT37" s="57"/>
      <c r="AU37" s="57"/>
      <c r="AV37" s="9"/>
      <c r="AW37" s="57"/>
      <c r="AX37" s="15"/>
      <c r="AY37" s="19">
        <f t="shared" si="6"/>
        <v>0</v>
      </c>
      <c r="AZ37" s="19">
        <f t="shared" si="7"/>
        <v>0</v>
      </c>
      <c r="BA37" s="38">
        <f t="shared" si="8"/>
        <v>0</v>
      </c>
    </row>
    <row r="38" spans="1:53" ht="34.5" customHeight="1">
      <c r="A38" s="11" t="s">
        <v>33</v>
      </c>
      <c r="B38" s="114" t="s">
        <v>89</v>
      </c>
      <c r="C38" s="12">
        <v>21.4</v>
      </c>
      <c r="D38" s="34">
        <v>25.6</v>
      </c>
      <c r="E38" s="34">
        <v>30.2</v>
      </c>
      <c r="F38" s="53">
        <f aca="true" t="shared" si="19" ref="F38:F43">E38/D38*100</f>
        <v>117.96875</v>
      </c>
      <c r="G38" s="34">
        <v>37.2</v>
      </c>
      <c r="H38" s="34">
        <v>31.5</v>
      </c>
      <c r="I38" s="9">
        <f>H38/G38*100</f>
        <v>84.6774193548387</v>
      </c>
      <c r="J38" s="34">
        <v>33.9</v>
      </c>
      <c r="K38" s="34">
        <v>35.9</v>
      </c>
      <c r="L38" s="9">
        <f>K38/J38*100</f>
        <v>105.89970501474926</v>
      </c>
      <c r="M38" s="70">
        <f>D38+G38+J38</f>
        <v>96.7</v>
      </c>
      <c r="N38" s="70">
        <f>E38+H38+K38</f>
        <v>97.6</v>
      </c>
      <c r="O38" s="9">
        <f>N38/M38*100</f>
        <v>100.93071354705275</v>
      </c>
      <c r="P38" s="34">
        <v>17.8</v>
      </c>
      <c r="Q38" s="34">
        <v>24.1</v>
      </c>
      <c r="R38" s="9">
        <f t="shared" si="2"/>
        <v>135.3932584269663</v>
      </c>
      <c r="S38" s="34">
        <v>10.8</v>
      </c>
      <c r="T38" s="34">
        <v>21</v>
      </c>
      <c r="U38" s="9">
        <f t="shared" si="3"/>
        <v>194.44444444444443</v>
      </c>
      <c r="V38" s="34">
        <v>21.3</v>
      </c>
      <c r="W38" s="34">
        <v>22.3</v>
      </c>
      <c r="X38" s="9">
        <f>W38/V38*100</f>
        <v>104.69483568075117</v>
      </c>
      <c r="Y38" s="70">
        <f>P38+S38+V38</f>
        <v>49.900000000000006</v>
      </c>
      <c r="Z38" s="70">
        <f>Q38+T38+W38</f>
        <v>67.4</v>
      </c>
      <c r="AA38" s="9">
        <f>Z38/Y38*100</f>
        <v>135.07014028056113</v>
      </c>
      <c r="AB38" s="34"/>
      <c r="AC38" s="34"/>
      <c r="AD38" s="9" t="e">
        <f t="shared" si="4"/>
        <v>#DIV/0!</v>
      </c>
      <c r="AE38" s="34"/>
      <c r="AF38" s="34"/>
      <c r="AG38" s="9" t="e">
        <f t="shared" si="5"/>
        <v>#DIV/0!</v>
      </c>
      <c r="AH38" s="34"/>
      <c r="AI38" s="34"/>
      <c r="AJ38" s="9" t="e">
        <f>AI38/AH38*100</f>
        <v>#DIV/0!</v>
      </c>
      <c r="AK38" s="70">
        <f>AB38+AE38+AH38</f>
        <v>0</v>
      </c>
      <c r="AL38" s="70">
        <f>AC38+AF38+AI38</f>
        <v>0</v>
      </c>
      <c r="AM38" s="9" t="e">
        <f>AL38/AK38*100</f>
        <v>#DIV/0!</v>
      </c>
      <c r="AN38" s="34"/>
      <c r="AO38" s="34"/>
      <c r="AP38" s="34"/>
      <c r="AQ38" s="34"/>
      <c r="AR38" s="34"/>
      <c r="AS38" s="34"/>
      <c r="AT38" s="57">
        <f>M38+Y38+AK38+AN38+AP38+AR38</f>
        <v>146.60000000000002</v>
      </c>
      <c r="AU38" s="57">
        <f>N38+Z38+AL38+AO38+AQ38+AS38</f>
        <v>165</v>
      </c>
      <c r="AV38" s="9">
        <f>AU38/AT38*100</f>
        <v>112.55115961800817</v>
      </c>
      <c r="AW38" s="57">
        <f>AT38-AU38</f>
        <v>-18.399999999999977</v>
      </c>
      <c r="AX38" s="15">
        <f>C38+AT38-AU38</f>
        <v>3.0000000000000284</v>
      </c>
      <c r="AY38" s="19">
        <f t="shared" si="6"/>
        <v>146.60000000000002</v>
      </c>
      <c r="AZ38" s="19">
        <f t="shared" si="7"/>
        <v>165</v>
      </c>
      <c r="BA38" s="38">
        <f t="shared" si="8"/>
        <v>3.0000000000000284</v>
      </c>
    </row>
    <row r="39" spans="1:53" ht="34.5" customHeight="1">
      <c r="A39" s="11" t="s">
        <v>34</v>
      </c>
      <c r="B39" s="114" t="s">
        <v>4</v>
      </c>
      <c r="C39" s="12">
        <v>-1.4</v>
      </c>
      <c r="D39" s="34">
        <v>8.3</v>
      </c>
      <c r="E39" s="34">
        <v>0.1</v>
      </c>
      <c r="F39" s="9">
        <f t="shared" si="19"/>
        <v>1.2048192771084336</v>
      </c>
      <c r="G39" s="34">
        <v>17.9</v>
      </c>
      <c r="H39" s="34">
        <v>8.5</v>
      </c>
      <c r="I39" s="9">
        <f>H39/G39*100</f>
        <v>47.486033519553075</v>
      </c>
      <c r="J39" s="34">
        <v>13.5</v>
      </c>
      <c r="K39" s="34">
        <v>18.2</v>
      </c>
      <c r="L39" s="9">
        <f>K39/J39*100</f>
        <v>134.8148148148148</v>
      </c>
      <c r="M39" s="70">
        <f>D39+G39+J39</f>
        <v>39.7</v>
      </c>
      <c r="N39" s="70">
        <f>E39+H39+K39</f>
        <v>26.799999999999997</v>
      </c>
      <c r="O39" s="9">
        <f>N39/M39*100</f>
        <v>67.50629722921914</v>
      </c>
      <c r="P39" s="34">
        <v>2.9</v>
      </c>
      <c r="Q39" s="34">
        <v>13.5</v>
      </c>
      <c r="R39" s="9">
        <f t="shared" si="2"/>
        <v>465.51724137931035</v>
      </c>
      <c r="S39" s="34">
        <v>4.1</v>
      </c>
      <c r="T39" s="34">
        <v>3</v>
      </c>
      <c r="U39" s="9">
        <f t="shared" si="3"/>
        <v>73.17073170731709</v>
      </c>
      <c r="V39" s="34">
        <v>9.1</v>
      </c>
      <c r="W39" s="34">
        <v>4.9</v>
      </c>
      <c r="X39" s="9">
        <f>W39/V39*100</f>
        <v>53.846153846153854</v>
      </c>
      <c r="Y39" s="70">
        <f>P39+S39+V39</f>
        <v>16.1</v>
      </c>
      <c r="Z39" s="70">
        <f>Q39+T39+W39</f>
        <v>21.4</v>
      </c>
      <c r="AA39" s="9">
        <f>Z39/Y39*100</f>
        <v>132.91925465838509</v>
      </c>
      <c r="AB39" s="34"/>
      <c r="AC39" s="34"/>
      <c r="AD39" s="9" t="e">
        <f t="shared" si="4"/>
        <v>#DIV/0!</v>
      </c>
      <c r="AE39" s="34"/>
      <c r="AF39" s="34"/>
      <c r="AG39" s="9" t="e">
        <f t="shared" si="5"/>
        <v>#DIV/0!</v>
      </c>
      <c r="AH39" s="34"/>
      <c r="AI39" s="34"/>
      <c r="AJ39" s="9" t="e">
        <f>AI39/AH39*100</f>
        <v>#DIV/0!</v>
      </c>
      <c r="AK39" s="70">
        <f>AB39+AE39+AH39</f>
        <v>0</v>
      </c>
      <c r="AL39" s="70">
        <f>AC39+AF39+AI39</f>
        <v>0</v>
      </c>
      <c r="AM39" s="9" t="e">
        <f>AL39/AK39*100</f>
        <v>#DIV/0!</v>
      </c>
      <c r="AN39" s="34"/>
      <c r="AO39" s="34"/>
      <c r="AP39" s="34"/>
      <c r="AQ39" s="34"/>
      <c r="AR39" s="34"/>
      <c r="AS39" s="34"/>
      <c r="AT39" s="57">
        <f>M39+Y39+AK39+AN39+AP39+AR39</f>
        <v>55.800000000000004</v>
      </c>
      <c r="AU39" s="57">
        <f>N39+Z39+AL39+AO39+AQ39+AS39</f>
        <v>48.199999999999996</v>
      </c>
      <c r="AV39" s="9">
        <f>AU39/AT39*100</f>
        <v>86.37992831541217</v>
      </c>
      <c r="AW39" s="57">
        <f>AT39-AU39</f>
        <v>7.6000000000000085</v>
      </c>
      <c r="AX39" s="15">
        <f>C39+AT39-AU39</f>
        <v>6.20000000000001</v>
      </c>
      <c r="AY39" s="19">
        <f t="shared" si="6"/>
        <v>55.800000000000004</v>
      </c>
      <c r="AZ39" s="19">
        <f t="shared" si="7"/>
        <v>48.199999999999996</v>
      </c>
      <c r="BA39" s="38">
        <f t="shared" si="8"/>
        <v>6.20000000000001</v>
      </c>
    </row>
    <row r="40" spans="1:53" ht="34.5" customHeight="1">
      <c r="A40" s="11" t="s">
        <v>35</v>
      </c>
      <c r="B40" s="114" t="s">
        <v>63</v>
      </c>
      <c r="C40" s="12"/>
      <c r="D40" s="34"/>
      <c r="E40" s="34"/>
      <c r="F40" s="9"/>
      <c r="G40" s="34"/>
      <c r="H40" s="34"/>
      <c r="I40" s="9"/>
      <c r="J40" s="34"/>
      <c r="K40" s="34"/>
      <c r="L40" s="9"/>
      <c r="M40" s="70"/>
      <c r="N40" s="70"/>
      <c r="O40" s="9"/>
      <c r="P40" s="34"/>
      <c r="Q40" s="34"/>
      <c r="R40" s="84" t="e">
        <f t="shared" si="2"/>
        <v>#DIV/0!</v>
      </c>
      <c r="S40" s="34"/>
      <c r="T40" s="34"/>
      <c r="U40" s="84" t="e">
        <f t="shared" si="3"/>
        <v>#DIV/0!</v>
      </c>
      <c r="V40" s="34"/>
      <c r="W40" s="34"/>
      <c r="X40" s="9"/>
      <c r="Y40" s="70"/>
      <c r="Z40" s="70"/>
      <c r="AA40" s="9"/>
      <c r="AB40" s="34"/>
      <c r="AC40" s="34"/>
      <c r="AD40" s="84" t="e">
        <f t="shared" si="4"/>
        <v>#DIV/0!</v>
      </c>
      <c r="AE40" s="34"/>
      <c r="AF40" s="34"/>
      <c r="AG40" s="84" t="e">
        <f t="shared" si="5"/>
        <v>#DIV/0!</v>
      </c>
      <c r="AH40" s="34"/>
      <c r="AI40" s="34"/>
      <c r="AJ40" s="9"/>
      <c r="AK40" s="70"/>
      <c r="AL40" s="70"/>
      <c r="AM40" s="9"/>
      <c r="AN40" s="34"/>
      <c r="AO40" s="34"/>
      <c r="AP40" s="34"/>
      <c r="AQ40" s="34"/>
      <c r="AR40" s="34"/>
      <c r="AS40" s="34"/>
      <c r="AT40" s="57"/>
      <c r="AU40" s="57"/>
      <c r="AV40" s="9"/>
      <c r="AW40" s="57"/>
      <c r="AX40" s="15"/>
      <c r="AY40" s="19">
        <f t="shared" si="6"/>
        <v>0</v>
      </c>
      <c r="AZ40" s="19">
        <f t="shared" si="7"/>
        <v>0</v>
      </c>
      <c r="BA40" s="38">
        <f t="shared" si="8"/>
        <v>0</v>
      </c>
    </row>
    <row r="41" spans="1:53" ht="34.5" customHeight="1">
      <c r="A41" s="11" t="s">
        <v>36</v>
      </c>
      <c r="B41" s="58" t="s">
        <v>64</v>
      </c>
      <c r="C41" s="71"/>
      <c r="D41" s="34"/>
      <c r="E41" s="34"/>
      <c r="F41" s="9"/>
      <c r="G41" s="34"/>
      <c r="H41" s="34"/>
      <c r="I41" s="59"/>
      <c r="J41" s="34"/>
      <c r="K41" s="34"/>
      <c r="L41" s="59"/>
      <c r="M41" s="70"/>
      <c r="N41" s="70"/>
      <c r="O41" s="9"/>
      <c r="P41" s="34"/>
      <c r="Q41" s="34"/>
      <c r="R41" s="84" t="e">
        <f t="shared" si="2"/>
        <v>#DIV/0!</v>
      </c>
      <c r="S41" s="34"/>
      <c r="T41" s="34"/>
      <c r="U41" s="84" t="e">
        <f t="shared" si="3"/>
        <v>#DIV/0!</v>
      </c>
      <c r="V41" s="34"/>
      <c r="W41" s="34"/>
      <c r="X41" s="59"/>
      <c r="Y41" s="70"/>
      <c r="Z41" s="70"/>
      <c r="AA41" s="9"/>
      <c r="AB41" s="34"/>
      <c r="AC41" s="34"/>
      <c r="AD41" s="84" t="e">
        <f t="shared" si="4"/>
        <v>#DIV/0!</v>
      </c>
      <c r="AE41" s="34"/>
      <c r="AF41" s="34"/>
      <c r="AG41" s="84" t="e">
        <f t="shared" si="5"/>
        <v>#DIV/0!</v>
      </c>
      <c r="AH41" s="34"/>
      <c r="AI41" s="34"/>
      <c r="AJ41" s="9"/>
      <c r="AK41" s="70"/>
      <c r="AL41" s="70"/>
      <c r="AM41" s="9"/>
      <c r="AN41" s="34"/>
      <c r="AO41" s="34"/>
      <c r="AP41" s="34"/>
      <c r="AQ41" s="34"/>
      <c r="AR41" s="34"/>
      <c r="AS41" s="34"/>
      <c r="AT41" s="57"/>
      <c r="AU41" s="57"/>
      <c r="AV41" s="9"/>
      <c r="AW41" s="57"/>
      <c r="AX41" s="15"/>
      <c r="AY41" s="19">
        <f t="shared" si="6"/>
        <v>0</v>
      </c>
      <c r="AZ41" s="19">
        <f t="shared" si="7"/>
        <v>0</v>
      </c>
      <c r="BA41" s="38">
        <f t="shared" si="8"/>
        <v>0</v>
      </c>
    </row>
    <row r="42" spans="1:53" ht="34.5" customHeight="1">
      <c r="A42" s="11" t="s">
        <v>37</v>
      </c>
      <c r="B42" s="114" t="s">
        <v>48</v>
      </c>
      <c r="C42" s="12"/>
      <c r="D42" s="34"/>
      <c r="E42" s="34"/>
      <c r="F42" s="86"/>
      <c r="G42" s="34"/>
      <c r="H42" s="34"/>
      <c r="I42" s="86"/>
      <c r="J42" s="34"/>
      <c r="K42" s="34"/>
      <c r="L42" s="86"/>
      <c r="M42" s="70"/>
      <c r="N42" s="70"/>
      <c r="O42" s="9"/>
      <c r="P42" s="34"/>
      <c r="Q42" s="34"/>
      <c r="R42" s="84" t="e">
        <f t="shared" si="2"/>
        <v>#DIV/0!</v>
      </c>
      <c r="S42" s="34"/>
      <c r="T42" s="34"/>
      <c r="U42" s="84" t="e">
        <f t="shared" si="3"/>
        <v>#DIV/0!</v>
      </c>
      <c r="V42" s="34"/>
      <c r="W42" s="34"/>
      <c r="X42" s="86"/>
      <c r="Y42" s="70"/>
      <c r="Z42" s="70"/>
      <c r="AA42" s="9"/>
      <c r="AB42" s="34"/>
      <c r="AC42" s="34"/>
      <c r="AD42" s="84" t="e">
        <f t="shared" si="4"/>
        <v>#DIV/0!</v>
      </c>
      <c r="AE42" s="34"/>
      <c r="AF42" s="34"/>
      <c r="AG42" s="84" t="e">
        <f t="shared" si="5"/>
        <v>#DIV/0!</v>
      </c>
      <c r="AH42" s="34"/>
      <c r="AI42" s="34"/>
      <c r="AJ42" s="9"/>
      <c r="AK42" s="70"/>
      <c r="AL42" s="70"/>
      <c r="AM42" s="9"/>
      <c r="AN42" s="34"/>
      <c r="AO42" s="34"/>
      <c r="AP42" s="34"/>
      <c r="AQ42" s="34"/>
      <c r="AR42" s="34"/>
      <c r="AS42" s="34"/>
      <c r="AT42" s="57"/>
      <c r="AU42" s="57"/>
      <c r="AV42" s="9"/>
      <c r="AW42" s="57"/>
      <c r="AX42" s="15"/>
      <c r="AY42" s="19">
        <f t="shared" si="6"/>
        <v>0</v>
      </c>
      <c r="AZ42" s="19">
        <f t="shared" si="7"/>
        <v>0</v>
      </c>
      <c r="BA42" s="38">
        <f t="shared" si="8"/>
        <v>0</v>
      </c>
    </row>
    <row r="43" spans="1:53" s="10" customFormat="1" ht="34.5" customHeight="1">
      <c r="A43" s="11" t="s">
        <v>114</v>
      </c>
      <c r="B43" s="13" t="s">
        <v>66</v>
      </c>
      <c r="C43" s="15">
        <f>SUM(C44:C44)</f>
        <v>-1011.5</v>
      </c>
      <c r="D43" s="15">
        <f>SUM(D44:D44)</f>
        <v>1642.7</v>
      </c>
      <c r="E43" s="15">
        <f>SUM(E44:E44)</f>
        <v>124.1</v>
      </c>
      <c r="F43" s="9">
        <f t="shared" si="19"/>
        <v>7.5546356608023375</v>
      </c>
      <c r="G43" s="15">
        <f>SUM(G44:G44)</f>
        <v>1797.5</v>
      </c>
      <c r="H43" s="15">
        <f>SUM(H44:H44)</f>
        <v>1156.9</v>
      </c>
      <c r="I43" s="9">
        <f>H43/G43*100</f>
        <v>64.36161335187761</v>
      </c>
      <c r="J43" s="15">
        <f>SUM(J44:J44)</f>
        <v>1740.1</v>
      </c>
      <c r="K43" s="15">
        <f>SUM(K44:K44)</f>
        <v>2051.8</v>
      </c>
      <c r="L43" s="9">
        <f>K43/J43*100</f>
        <v>117.9127636342739</v>
      </c>
      <c r="M43" s="15">
        <f>SUM(M44:M44)</f>
        <v>5180.299999999999</v>
      </c>
      <c r="N43" s="15">
        <f>SUM(N44:N44)</f>
        <v>3332.8</v>
      </c>
      <c r="O43" s="9">
        <f>N43/M43*100</f>
        <v>64.3360423141517</v>
      </c>
      <c r="P43" s="15">
        <f>SUM(P44:P44)</f>
        <v>1501</v>
      </c>
      <c r="Q43" s="15">
        <f>SUM(Q44:Q44)</f>
        <v>1425.7</v>
      </c>
      <c r="R43" s="9">
        <f t="shared" si="2"/>
        <v>94.98334443704198</v>
      </c>
      <c r="S43" s="15">
        <f>SUM(S44:S44)</f>
        <v>1625.2</v>
      </c>
      <c r="T43" s="15">
        <f>SUM(T44:T44)</f>
        <v>1436.4</v>
      </c>
      <c r="U43" s="9">
        <f t="shared" si="3"/>
        <v>88.38296825006154</v>
      </c>
      <c r="V43" s="15">
        <f>SUM(V44:V44)</f>
        <v>1578.8</v>
      </c>
      <c r="W43" s="15">
        <f>SUM(W44:W44)</f>
        <v>1521.8</v>
      </c>
      <c r="X43" s="9">
        <f>W43/V43*100</f>
        <v>96.38966303521663</v>
      </c>
      <c r="Y43" s="15">
        <f>SUM(Y44:Y44)</f>
        <v>4705</v>
      </c>
      <c r="Z43" s="15">
        <f>SUM(Z44:Z44)</f>
        <v>4383.900000000001</v>
      </c>
      <c r="AA43" s="9">
        <f>Z43/Y43*100</f>
        <v>93.17534537725824</v>
      </c>
      <c r="AB43" s="15">
        <f>SUM(AB44:AB44)</f>
        <v>0</v>
      </c>
      <c r="AC43" s="15">
        <f>SUM(AC44:AC44)</f>
        <v>0</v>
      </c>
      <c r="AD43" s="9" t="e">
        <f t="shared" si="4"/>
        <v>#DIV/0!</v>
      </c>
      <c r="AE43" s="15">
        <f>SUM(AE44:AE44)</f>
        <v>0</v>
      </c>
      <c r="AF43" s="15">
        <f>SUM(AF44:AF44)</f>
        <v>0</v>
      </c>
      <c r="AG43" s="9" t="e">
        <f t="shared" si="5"/>
        <v>#DIV/0!</v>
      </c>
      <c r="AH43" s="15">
        <f>SUM(AH44:AH44)</f>
        <v>0</v>
      </c>
      <c r="AI43" s="15">
        <f>SUM(AI44:AI44)</f>
        <v>0</v>
      </c>
      <c r="AJ43" s="9" t="e">
        <f>AI43/AH43*100</f>
        <v>#DIV/0!</v>
      </c>
      <c r="AK43" s="15">
        <f>SUM(AK44:AK44)</f>
        <v>0</v>
      </c>
      <c r="AL43" s="15">
        <f>SUM(AL44:AL44)</f>
        <v>0</v>
      </c>
      <c r="AM43" s="9" t="e">
        <f>AL43/AK43*100</f>
        <v>#DIV/0!</v>
      </c>
      <c r="AN43" s="15">
        <f aca="true" t="shared" si="20" ref="AN43:AS43">SUM(AN44:AN44)</f>
        <v>0</v>
      </c>
      <c r="AO43" s="15">
        <f t="shared" si="20"/>
        <v>0</v>
      </c>
      <c r="AP43" s="15">
        <f t="shared" si="20"/>
        <v>0</v>
      </c>
      <c r="AQ43" s="15">
        <f t="shared" si="20"/>
        <v>0</v>
      </c>
      <c r="AR43" s="15">
        <f t="shared" si="20"/>
        <v>0</v>
      </c>
      <c r="AS43" s="15">
        <f t="shared" si="20"/>
        <v>0</v>
      </c>
      <c r="AT43" s="101">
        <f>AT44</f>
        <v>9885.3</v>
      </c>
      <c r="AU43" s="101">
        <f>AU44</f>
        <v>7716.700000000001</v>
      </c>
      <c r="AV43" s="9">
        <f>AU43/AT43*100</f>
        <v>78.06237544636988</v>
      </c>
      <c r="AW43" s="15">
        <f>SUM(AW44:AW44)</f>
        <v>2168.5999999999985</v>
      </c>
      <c r="AX43" s="15">
        <f>SUM(AX44:AX44)</f>
        <v>1157.0999999999985</v>
      </c>
      <c r="AY43" s="19">
        <f t="shared" si="6"/>
        <v>9885.3</v>
      </c>
      <c r="AZ43" s="19">
        <f t="shared" si="7"/>
        <v>7716.700000000001</v>
      </c>
      <c r="BA43" s="38">
        <f t="shared" si="8"/>
        <v>1157.0999999999985</v>
      </c>
    </row>
    <row r="44" spans="1:53" s="10" customFormat="1" ht="34.5" customHeight="1">
      <c r="A44" s="8"/>
      <c r="B44" s="37" t="s">
        <v>67</v>
      </c>
      <c r="C44" s="12">
        <v>-1011.5</v>
      </c>
      <c r="D44" s="34">
        <v>1642.7</v>
      </c>
      <c r="E44" s="34">
        <v>124.1</v>
      </c>
      <c r="F44" s="9">
        <f>E44/D44*100</f>
        <v>7.5546356608023375</v>
      </c>
      <c r="G44" s="34">
        <v>1797.5</v>
      </c>
      <c r="H44" s="34">
        <v>1156.9</v>
      </c>
      <c r="I44" s="9">
        <f>H44/G44*100</f>
        <v>64.36161335187761</v>
      </c>
      <c r="J44" s="34">
        <v>1740.1</v>
      </c>
      <c r="K44" s="34">
        <v>2051.8</v>
      </c>
      <c r="L44" s="9">
        <f>K44/J44*100</f>
        <v>117.9127636342739</v>
      </c>
      <c r="M44" s="70">
        <f>D44+G44+J44</f>
        <v>5180.299999999999</v>
      </c>
      <c r="N44" s="70">
        <f>E44+H44+K44</f>
        <v>3332.8</v>
      </c>
      <c r="O44" s="9">
        <f>N44/M44*100</f>
        <v>64.3360423141517</v>
      </c>
      <c r="P44" s="34">
        <v>1501</v>
      </c>
      <c r="Q44" s="34">
        <v>1425.7</v>
      </c>
      <c r="R44" s="9">
        <f t="shared" si="2"/>
        <v>94.98334443704198</v>
      </c>
      <c r="S44" s="34">
        <v>1625.2</v>
      </c>
      <c r="T44" s="34">
        <v>1436.4</v>
      </c>
      <c r="U44" s="9">
        <f t="shared" si="3"/>
        <v>88.38296825006154</v>
      </c>
      <c r="V44" s="34">
        <v>1578.8</v>
      </c>
      <c r="W44" s="34">
        <v>1521.8</v>
      </c>
      <c r="X44" s="9">
        <f>W44/V44*100</f>
        <v>96.38966303521663</v>
      </c>
      <c r="Y44" s="70">
        <f>P44+S44+V44</f>
        <v>4705</v>
      </c>
      <c r="Z44" s="70">
        <f>Q44+T44+W44</f>
        <v>4383.900000000001</v>
      </c>
      <c r="AA44" s="9">
        <f>Z44/Y44*100</f>
        <v>93.17534537725824</v>
      </c>
      <c r="AB44" s="34"/>
      <c r="AC44" s="34"/>
      <c r="AD44" s="9" t="e">
        <f t="shared" si="4"/>
        <v>#DIV/0!</v>
      </c>
      <c r="AE44" s="34"/>
      <c r="AF44" s="34"/>
      <c r="AG44" s="9" t="e">
        <f t="shared" si="5"/>
        <v>#DIV/0!</v>
      </c>
      <c r="AH44" s="34"/>
      <c r="AI44" s="34"/>
      <c r="AJ44" s="9" t="e">
        <f>AI44/AH44*100</f>
        <v>#DIV/0!</v>
      </c>
      <c r="AK44" s="70">
        <f>AB44+AE44+AH44</f>
        <v>0</v>
      </c>
      <c r="AL44" s="70">
        <f>AC44+AF44+AI44</f>
        <v>0</v>
      </c>
      <c r="AM44" s="9" t="e">
        <f>AL44/AK44*100</f>
        <v>#DIV/0!</v>
      </c>
      <c r="AN44" s="34"/>
      <c r="AO44" s="34"/>
      <c r="AP44" s="34"/>
      <c r="AQ44" s="34"/>
      <c r="AR44" s="34"/>
      <c r="AS44" s="34"/>
      <c r="AT44" s="57">
        <f>M44+Y44+AK44+AN44+AP44+AR44</f>
        <v>9885.3</v>
      </c>
      <c r="AU44" s="57">
        <f>N44+Z44+AL44+AO44+AQ44+AS44</f>
        <v>7716.700000000001</v>
      </c>
      <c r="AV44" s="9">
        <f>AU44/AT44*100</f>
        <v>78.06237544636988</v>
      </c>
      <c r="AW44" s="57">
        <f>AT44-AU44</f>
        <v>2168.5999999999985</v>
      </c>
      <c r="AX44" s="15">
        <f>C44+AT44-AU44</f>
        <v>1157.0999999999985</v>
      </c>
      <c r="AY44" s="19">
        <f t="shared" si="6"/>
        <v>9885.3</v>
      </c>
      <c r="AZ44" s="19">
        <f t="shared" si="7"/>
        <v>7716.700000000001</v>
      </c>
      <c r="BA44" s="38">
        <f t="shared" si="8"/>
        <v>1157.0999999999985</v>
      </c>
    </row>
    <row r="45" spans="1:53" ht="34.5" customHeight="1">
      <c r="A45" s="11"/>
      <c r="B45" s="13" t="s">
        <v>90</v>
      </c>
      <c r="C45" s="15">
        <f>C43+C7</f>
        <v>-1005.1</v>
      </c>
      <c r="D45" s="15">
        <f>D43+D7</f>
        <v>1764.5</v>
      </c>
      <c r="E45" s="15">
        <f>E43+E7</f>
        <v>183.29999999999998</v>
      </c>
      <c r="F45" s="9">
        <f>E45/D45*100</f>
        <v>10.388211958061772</v>
      </c>
      <c r="G45" s="15">
        <f>G7+G43</f>
        <v>2046.12</v>
      </c>
      <c r="H45" s="15">
        <f>H7+H43</f>
        <v>1374.68</v>
      </c>
      <c r="I45" s="9">
        <f>H45/G45*100</f>
        <v>67.18472034875765</v>
      </c>
      <c r="J45" s="15">
        <f>J7+J43</f>
        <v>1964.29</v>
      </c>
      <c r="K45" s="15">
        <f>K7+K43</f>
        <v>2275.1200000000003</v>
      </c>
      <c r="L45" s="9">
        <f>K45/J45*100</f>
        <v>115.82403820209848</v>
      </c>
      <c r="M45" s="15">
        <f>M7+M43</f>
        <v>5774.91</v>
      </c>
      <c r="N45" s="15">
        <f>N7+N43</f>
        <v>3833.1000000000004</v>
      </c>
      <c r="O45" s="9">
        <f>N45/M45*100</f>
        <v>66.37506039055154</v>
      </c>
      <c r="P45" s="15">
        <f>P7+P43</f>
        <v>1646.1</v>
      </c>
      <c r="Q45" s="15">
        <f>Q7+Q43</f>
        <v>1598.1</v>
      </c>
      <c r="R45" s="9">
        <f t="shared" si="2"/>
        <v>97.08401676690359</v>
      </c>
      <c r="S45" s="15">
        <f>S7+S43</f>
        <v>1765</v>
      </c>
      <c r="T45" s="15">
        <f>T7+T43</f>
        <v>1581</v>
      </c>
      <c r="U45" s="9">
        <f t="shared" si="3"/>
        <v>89.57507082152975</v>
      </c>
      <c r="V45" s="15">
        <f>V7+V43</f>
        <v>1780.7</v>
      </c>
      <c r="W45" s="15">
        <f>W7+W43</f>
        <v>1675</v>
      </c>
      <c r="X45" s="9">
        <f>W45/V45*100</f>
        <v>94.06413208288875</v>
      </c>
      <c r="Y45" s="15">
        <f>Y7+Y43</f>
        <v>5191.8</v>
      </c>
      <c r="Z45" s="15">
        <f>Z7+Z43</f>
        <v>4854.1</v>
      </c>
      <c r="AA45" s="9">
        <f>Z45/Y45*100</f>
        <v>93.49551215378096</v>
      </c>
      <c r="AB45" s="15">
        <f>AB7+AB43</f>
        <v>0</v>
      </c>
      <c r="AC45" s="15">
        <f>AC7+AC43</f>
        <v>0</v>
      </c>
      <c r="AD45" s="9" t="e">
        <f t="shared" si="4"/>
        <v>#DIV/0!</v>
      </c>
      <c r="AE45" s="15">
        <f>AE43+AE7</f>
        <v>0</v>
      </c>
      <c r="AF45" s="15">
        <f>AF43+AF7</f>
        <v>0</v>
      </c>
      <c r="AG45" s="9" t="e">
        <f t="shared" si="5"/>
        <v>#DIV/0!</v>
      </c>
      <c r="AH45" s="15">
        <f>AH43+AH7</f>
        <v>0</v>
      </c>
      <c r="AI45" s="15">
        <f>AI43+AI7</f>
        <v>0</v>
      </c>
      <c r="AJ45" s="9" t="e">
        <f>AI45/AH45*100</f>
        <v>#DIV/0!</v>
      </c>
      <c r="AK45" s="15">
        <f>AK7+AK43</f>
        <v>0</v>
      </c>
      <c r="AL45" s="15">
        <f>AL7+AL43</f>
        <v>0</v>
      </c>
      <c r="AM45" s="9" t="e">
        <f>AL45/AK45*100</f>
        <v>#DIV/0!</v>
      </c>
      <c r="AN45" s="15">
        <f aca="true" t="shared" si="21" ref="AN45:AS45">AN43+AN7</f>
        <v>0</v>
      </c>
      <c r="AO45" s="15">
        <f t="shared" si="21"/>
        <v>0</v>
      </c>
      <c r="AP45" s="15">
        <f t="shared" si="21"/>
        <v>0</v>
      </c>
      <c r="AQ45" s="15">
        <f t="shared" si="21"/>
        <v>0</v>
      </c>
      <c r="AR45" s="15">
        <f t="shared" si="21"/>
        <v>0</v>
      </c>
      <c r="AS45" s="15">
        <f t="shared" si="21"/>
        <v>0</v>
      </c>
      <c r="AT45" s="66">
        <f>AT7+AT43</f>
        <v>10966.71</v>
      </c>
      <c r="AU45" s="66">
        <f>AU7+AU43</f>
        <v>8687.2</v>
      </c>
      <c r="AV45" s="9">
        <f>AU45/AT45*100</f>
        <v>79.2142766609129</v>
      </c>
      <c r="AW45" s="15">
        <f>AW7+AW43</f>
        <v>2278.7099999999987</v>
      </c>
      <c r="AX45" s="15">
        <f>AX7+AX43</f>
        <v>1274.4099999999987</v>
      </c>
      <c r="AY45" s="19">
        <f t="shared" si="6"/>
        <v>10966.71</v>
      </c>
      <c r="AZ45" s="19">
        <f t="shared" si="7"/>
        <v>8687.2</v>
      </c>
      <c r="BA45" s="38">
        <f t="shared" si="8"/>
        <v>1274.409999999998</v>
      </c>
    </row>
    <row r="46" spans="1:62" s="110" customFormat="1" ht="70.5" customHeight="1">
      <c r="A46" s="242" t="s">
        <v>95</v>
      </c>
      <c r="B46" s="242"/>
      <c r="C46" s="24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20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250" t="s">
        <v>75</v>
      </c>
      <c r="AX47" s="251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99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1" s="28" customFormat="1" ht="49.5" customHeight="1">
      <c r="A51" s="25"/>
      <c r="B51" s="233" t="s">
        <v>76</v>
      </c>
      <c r="C51" s="233"/>
      <c r="D51" s="233"/>
      <c r="E51" s="233"/>
      <c r="F51" s="233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  <c r="AY51" s="27"/>
    </row>
    <row r="52" spans="1:50" ht="73.5" customHeight="1" hidden="1">
      <c r="A52" s="243" t="s">
        <v>72</v>
      </c>
      <c r="B52" s="243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18.75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7:50" ht="18.75"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2:50" ht="18.75">
      <c r="B55" s="93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18.75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18.75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2:50" ht="18.75">
      <c r="B58" s="93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7:50" ht="18.75"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18.75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18.75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18.75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18.75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18.75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18.75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18.75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18.75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18.75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18.75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18.75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18.75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18.75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18.75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18.75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18.75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18.75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18.75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18.75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18.75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18.75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18.75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18.75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18.75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18.75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18.75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18.75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18.75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18.75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18.75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18.75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18.75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18.75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18.75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18.75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18.75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18.75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18.75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</sheetData>
  <sheetProtection/>
  <mergeCells count="25">
    <mergeCell ref="A2:AX3"/>
    <mergeCell ref="I1:AX1"/>
    <mergeCell ref="B4:F4"/>
    <mergeCell ref="AW5:AW6"/>
    <mergeCell ref="AX5:AX6"/>
    <mergeCell ref="J5:L5"/>
    <mergeCell ref="P5:R5"/>
    <mergeCell ref="S5:U5"/>
    <mergeCell ref="AR5:AS5"/>
    <mergeCell ref="AH5:AJ5"/>
    <mergeCell ref="AW47:AX47"/>
    <mergeCell ref="B51:F51"/>
    <mergeCell ref="D5:F5"/>
    <mergeCell ref="G5:I5"/>
    <mergeCell ref="AT5:AV5"/>
    <mergeCell ref="AN5:AO5"/>
    <mergeCell ref="AK5:AM5"/>
    <mergeCell ref="AP5:AQ5"/>
    <mergeCell ref="A52:B52"/>
    <mergeCell ref="M5:O5"/>
    <mergeCell ref="V5:X5"/>
    <mergeCell ref="AB5:AD5"/>
    <mergeCell ref="AE5:AG5"/>
    <mergeCell ref="Y5:AA5"/>
    <mergeCell ref="A46:C46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U3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X39" sqref="X39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2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75390625" style="10" customWidth="1"/>
    <col min="14" max="14" width="12.3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1.125" style="10" customWidth="1"/>
    <col min="22" max="22" width="15.25390625" style="10" customWidth="1"/>
    <col min="23" max="23" width="14.25390625" style="10" customWidth="1"/>
    <col min="24" max="24" width="11.125" style="10" customWidth="1"/>
    <col min="25" max="25" width="13.75390625" style="10" hidden="1" customWidth="1"/>
    <col min="26" max="26" width="12.375" style="10" hidden="1" customWidth="1"/>
    <col min="27" max="27" width="11.125" style="10" hidden="1" customWidth="1"/>
    <col min="28" max="28" width="15.25390625" style="10" hidden="1" customWidth="1"/>
    <col min="29" max="29" width="14.2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25390625" style="10" hidden="1" customWidth="1"/>
    <col min="35" max="36" width="11.00390625" style="10" hidden="1" customWidth="1"/>
    <col min="37" max="37" width="13.75390625" style="10" hidden="1" customWidth="1"/>
    <col min="38" max="38" width="12.375" style="10" hidden="1" customWidth="1"/>
    <col min="39" max="39" width="11.125" style="10" hidden="1" customWidth="1"/>
    <col min="40" max="40" width="13.125" style="10" hidden="1" customWidth="1"/>
    <col min="41" max="41" width="11.875" style="10" hidden="1" customWidth="1"/>
    <col min="42" max="42" width="13.25390625" style="10" hidden="1" customWidth="1"/>
    <col min="43" max="44" width="12.25390625" style="10" hidden="1" customWidth="1"/>
    <col min="45" max="45" width="12.375" style="10" hidden="1" customWidth="1"/>
    <col min="46" max="47" width="14.75390625" style="2" customWidth="1"/>
    <col min="48" max="48" width="11.125" style="10" customWidth="1"/>
    <col min="49" max="49" width="22.00390625" style="2" customWidth="1"/>
    <col min="50" max="50" width="27.375" style="2" customWidth="1"/>
    <col min="51" max="51" width="12.875" style="2" customWidth="1"/>
    <col min="52" max="53" width="14.25390625" style="2" customWidth="1"/>
    <col min="54" max="16384" width="6.75390625" style="2" customWidth="1"/>
  </cols>
  <sheetData>
    <row r="1" spans="9:50" ht="19.5" customHeight="1">
      <c r="I1" s="245" t="s">
        <v>42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</row>
    <row r="2" spans="1:50" s="50" customFormat="1" ht="60" customHeight="1">
      <c r="A2" s="252" t="s">
        <v>122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</row>
    <row r="3" spans="1:50" s="50" customFormat="1" ht="60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</row>
    <row r="4" spans="2:50" ht="49.5" customHeight="1">
      <c r="B4" s="246"/>
      <c r="C4" s="246"/>
      <c r="D4" s="246"/>
      <c r="E4" s="246"/>
      <c r="F4" s="246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5"/>
      <c r="AJ5" s="236"/>
      <c r="AK5" s="234" t="s">
        <v>107</v>
      </c>
      <c r="AL5" s="235"/>
      <c r="AM5" s="236"/>
      <c r="AN5" s="234" t="s">
        <v>108</v>
      </c>
      <c r="AO5" s="236"/>
      <c r="AP5" s="234" t="s">
        <v>109</v>
      </c>
      <c r="AQ5" s="236"/>
      <c r="AR5" s="234" t="s">
        <v>110</v>
      </c>
      <c r="AS5" s="236"/>
      <c r="AT5" s="239" t="s">
        <v>111</v>
      </c>
      <c r="AU5" s="240"/>
      <c r="AV5" s="241"/>
      <c r="AW5" s="237" t="s">
        <v>123</v>
      </c>
      <c r="AX5" s="237" t="s">
        <v>124</v>
      </c>
    </row>
    <row r="6" spans="1:50" ht="57.7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238"/>
      <c r="AX6" s="238"/>
    </row>
    <row r="7" spans="1:53" s="10" customFormat="1" ht="34.5" customHeight="1">
      <c r="A7" s="8"/>
      <c r="B7" s="111" t="s">
        <v>92</v>
      </c>
      <c r="C7" s="53">
        <f>SUM(C8:C42)-C33-C34</f>
        <v>8177.9</v>
      </c>
      <c r="D7" s="53">
        <f aca="true" t="shared" si="0" ref="D7:AS7">SUM(D8:D42)-D33-D34</f>
        <v>4542.899999999999</v>
      </c>
      <c r="E7" s="53">
        <f t="shared" si="0"/>
        <v>4137.2</v>
      </c>
      <c r="F7" s="9">
        <f aca="true" t="shared" si="1" ref="F7:F32">E7/D7*100</f>
        <v>91.0695811045808</v>
      </c>
      <c r="G7" s="53">
        <f t="shared" si="0"/>
        <v>4443.2</v>
      </c>
      <c r="H7" s="53">
        <f t="shared" si="0"/>
        <v>4940.7</v>
      </c>
      <c r="I7" s="9">
        <f aca="true" t="shared" si="2" ref="I7:I45">H7/G7*100</f>
        <v>111.19688512783578</v>
      </c>
      <c r="J7" s="53">
        <f>SUM(J8:J42)-J33-J34</f>
        <v>4382.582359999999</v>
      </c>
      <c r="K7" s="53">
        <f>SUM(K8:K42)-K33-K34</f>
        <v>3985.3332700000005</v>
      </c>
      <c r="L7" s="9">
        <f>K7/J7*100</f>
        <v>90.93573018442946</v>
      </c>
      <c r="M7" s="53">
        <f t="shared" si="0"/>
        <v>13368.682359999999</v>
      </c>
      <c r="N7" s="53">
        <f t="shared" si="0"/>
        <v>13063.233270000004</v>
      </c>
      <c r="O7" s="9">
        <f aca="true" t="shared" si="3" ref="O7:O45">N7/M7*100</f>
        <v>97.71518926267618</v>
      </c>
      <c r="P7" s="53">
        <f t="shared" si="0"/>
        <v>3637.68224</v>
      </c>
      <c r="Q7" s="53">
        <f t="shared" si="0"/>
        <v>4128.49108</v>
      </c>
      <c r="R7" s="9">
        <f aca="true" t="shared" si="4" ref="R7:R45">Q7/P7*100</f>
        <v>113.49235055781013</v>
      </c>
      <c r="S7" s="53">
        <f t="shared" si="0"/>
        <v>3891.9</v>
      </c>
      <c r="T7" s="53">
        <f t="shared" si="0"/>
        <v>3305.2000000000003</v>
      </c>
      <c r="U7" s="9">
        <f aca="true" t="shared" si="5" ref="U7:U20">T7/S7*100</f>
        <v>84.92510085048434</v>
      </c>
      <c r="V7" s="53">
        <f t="shared" si="0"/>
        <v>4410.9</v>
      </c>
      <c r="W7" s="53">
        <f t="shared" si="0"/>
        <v>4804.999999999999</v>
      </c>
      <c r="X7" s="53" t="e">
        <f t="shared" si="0"/>
        <v>#DIV/0!</v>
      </c>
      <c r="Y7" s="53">
        <f t="shared" si="0"/>
        <v>11940.48224</v>
      </c>
      <c r="Z7" s="53">
        <f t="shared" si="0"/>
        <v>12238.69108</v>
      </c>
      <c r="AA7" s="9">
        <f aca="true" t="shared" si="6" ref="AA7:AA20">Z7/Y7*100</f>
        <v>102.4974606050752</v>
      </c>
      <c r="AB7" s="53">
        <f t="shared" si="0"/>
        <v>0</v>
      </c>
      <c r="AC7" s="53">
        <f t="shared" si="0"/>
        <v>0</v>
      </c>
      <c r="AD7" s="53" t="e">
        <f t="shared" si="0"/>
        <v>#DIV/0!</v>
      </c>
      <c r="AE7" s="53">
        <f t="shared" si="0"/>
        <v>0</v>
      </c>
      <c r="AF7" s="53">
        <f t="shared" si="0"/>
        <v>0</v>
      </c>
      <c r="AG7" s="53" t="e">
        <f t="shared" si="0"/>
        <v>#DIV/0!</v>
      </c>
      <c r="AH7" s="53">
        <f t="shared" si="0"/>
        <v>0</v>
      </c>
      <c r="AI7" s="53">
        <f t="shared" si="0"/>
        <v>0</v>
      </c>
      <c r="AJ7" s="53" t="e">
        <f t="shared" si="0"/>
        <v>#DIV/0!</v>
      </c>
      <c r="AK7" s="53">
        <f t="shared" si="0"/>
        <v>0</v>
      </c>
      <c r="AL7" s="53">
        <f t="shared" si="0"/>
        <v>0</v>
      </c>
      <c r="AM7" s="9" t="e">
        <f aca="true" t="shared" si="7" ref="AM7:AM20">AL7/AK7*100</f>
        <v>#DIV/0!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0</v>
      </c>
      <c r="AT7" s="53">
        <f>SUM(AT8:AT42)-AT33-AT34</f>
        <v>25309.164600000007</v>
      </c>
      <c r="AU7" s="53">
        <f>SUM(AU8:AU42)-AU33-AU34</f>
        <v>25301.924349999998</v>
      </c>
      <c r="AV7" s="9">
        <f aca="true" t="shared" si="8" ref="AV7:AV44">AU7/AT7*100</f>
        <v>99.97139277366742</v>
      </c>
      <c r="AW7" s="53">
        <f>SUM(AW8:AW42)-AW33-AW34</f>
        <v>7.240249999999492</v>
      </c>
      <c r="AX7" s="53">
        <f>SUM(AX8:AX42)-AX33-AX34</f>
        <v>8185.140249999999</v>
      </c>
      <c r="AY7" s="19">
        <f>M7+Y7+AK7+AN7+AP7+AR7</f>
        <v>25309.164599999996</v>
      </c>
      <c r="AZ7" s="19">
        <f>N7+Z7+AL7+AO7+AQ7+AS7</f>
        <v>25301.924350000005</v>
      </c>
      <c r="BA7" s="38">
        <f>C7+AY7-AZ7</f>
        <v>8185.140249999993</v>
      </c>
    </row>
    <row r="8" spans="1:53" ht="34.5" customHeight="1">
      <c r="A8" s="11" t="s">
        <v>5</v>
      </c>
      <c r="B8" s="56" t="s">
        <v>49</v>
      </c>
      <c r="C8" s="83">
        <v>283.6</v>
      </c>
      <c r="D8" s="34">
        <v>635.8</v>
      </c>
      <c r="E8" s="34">
        <v>625.6</v>
      </c>
      <c r="F8" s="9">
        <f t="shared" si="1"/>
        <v>98.3957219251337</v>
      </c>
      <c r="G8" s="34">
        <v>639.5</v>
      </c>
      <c r="H8" s="34">
        <v>662.6</v>
      </c>
      <c r="I8" s="9">
        <f t="shared" si="2"/>
        <v>103.61219702892885</v>
      </c>
      <c r="J8" s="34">
        <v>667.3</v>
      </c>
      <c r="K8" s="34">
        <v>514</v>
      </c>
      <c r="L8" s="9">
        <f>K8/J8*100</f>
        <v>77.02682451670914</v>
      </c>
      <c r="M8" s="70">
        <f>D8+G8+J8</f>
        <v>1942.6</v>
      </c>
      <c r="N8" s="70">
        <f>E8+H8+K8</f>
        <v>1802.2</v>
      </c>
      <c r="O8" s="9">
        <f t="shared" si="3"/>
        <v>92.77257284052301</v>
      </c>
      <c r="P8" s="34">
        <v>503.2</v>
      </c>
      <c r="Q8" s="34">
        <v>638.1</v>
      </c>
      <c r="R8" s="9">
        <f t="shared" si="4"/>
        <v>126.80842607313197</v>
      </c>
      <c r="S8" s="34">
        <v>536.5</v>
      </c>
      <c r="T8" s="34">
        <v>451.6</v>
      </c>
      <c r="U8" s="9">
        <f t="shared" si="5"/>
        <v>84.17520969245108</v>
      </c>
      <c r="V8" s="34">
        <v>653.7</v>
      </c>
      <c r="W8" s="34">
        <v>643.3</v>
      </c>
      <c r="X8" s="9">
        <f aca="true" t="shared" si="9" ref="X8:X24">W8/V8*100</f>
        <v>98.40905614196113</v>
      </c>
      <c r="Y8" s="70">
        <f aca="true" t="shared" si="10" ref="Y8:Y20">P8+S8+V8</f>
        <v>1693.4</v>
      </c>
      <c r="Z8" s="70">
        <f aca="true" t="shared" si="11" ref="Z8:Z20">Q8+T8+W8</f>
        <v>1733</v>
      </c>
      <c r="AA8" s="9">
        <f t="shared" si="6"/>
        <v>102.33849061060587</v>
      </c>
      <c r="AB8" s="34"/>
      <c r="AC8" s="34"/>
      <c r="AD8" s="9" t="e">
        <f aca="true" t="shared" si="12" ref="AD8:AD45">AC8/AB8*100</f>
        <v>#DIV/0!</v>
      </c>
      <c r="AE8" s="34"/>
      <c r="AF8" s="34"/>
      <c r="AG8" s="9" t="e">
        <f aca="true" t="shared" si="13" ref="AG8:AG45">AF8/AE8*100</f>
        <v>#DIV/0!</v>
      </c>
      <c r="AH8" s="34"/>
      <c r="AI8" s="34"/>
      <c r="AJ8" s="9" t="e">
        <f aca="true" t="shared" si="14" ref="AJ8:AJ45">AI8/AH8*100</f>
        <v>#DIV/0!</v>
      </c>
      <c r="AK8" s="70">
        <f>AB8+AE8+AH8</f>
        <v>0</v>
      </c>
      <c r="AL8" s="70">
        <f>AC8+AF8+AI8</f>
        <v>0</v>
      </c>
      <c r="AM8" s="9" t="e">
        <f t="shared" si="7"/>
        <v>#DIV/0!</v>
      </c>
      <c r="AN8" s="34"/>
      <c r="AO8" s="34"/>
      <c r="AP8" s="34"/>
      <c r="AQ8" s="34"/>
      <c r="AR8" s="34"/>
      <c r="AS8" s="34"/>
      <c r="AT8" s="57">
        <f>M8+Y8+AK8+AN8+AP8+AR8</f>
        <v>3636</v>
      </c>
      <c r="AU8" s="57">
        <f>N8+Z8+AL8+AO8+AQ8+AS8</f>
        <v>3535.2</v>
      </c>
      <c r="AV8" s="9">
        <f t="shared" si="8"/>
        <v>97.22772277227722</v>
      </c>
      <c r="AW8" s="57">
        <f>AT8-AU8</f>
        <v>100.80000000000018</v>
      </c>
      <c r="AX8" s="15">
        <f aca="true" t="shared" si="15" ref="AX8:AX20">C8+AT8-AU8</f>
        <v>384.4000000000001</v>
      </c>
      <c r="AY8" s="19">
        <f aca="true" t="shared" si="16" ref="AY8:AY45">M8+Y8+AK8+AN8+AP8+AR8</f>
        <v>3636</v>
      </c>
      <c r="AZ8" s="19">
        <f aca="true" t="shared" si="17" ref="AZ8:AZ45">N8+Z8+AL8+AO8+AQ8+AS8</f>
        <v>3535.2</v>
      </c>
      <c r="BA8" s="38">
        <f aca="true" t="shared" si="18" ref="BA8:BA45">C8+AY8-AZ8</f>
        <v>384.4000000000001</v>
      </c>
    </row>
    <row r="9" spans="1:53" ht="34.5" customHeight="1">
      <c r="A9" s="11" t="s">
        <v>6</v>
      </c>
      <c r="B9" s="58" t="s">
        <v>65</v>
      </c>
      <c r="C9" s="92">
        <v>13.2</v>
      </c>
      <c r="D9" s="34">
        <v>12.4</v>
      </c>
      <c r="E9" s="34">
        <v>13.2</v>
      </c>
      <c r="F9" s="9">
        <f t="shared" si="1"/>
        <v>106.4516129032258</v>
      </c>
      <c r="G9" s="34">
        <v>14.1</v>
      </c>
      <c r="H9" s="34">
        <v>11.7</v>
      </c>
      <c r="I9" s="9">
        <f t="shared" si="2"/>
        <v>82.97872340425532</v>
      </c>
      <c r="J9" s="34">
        <v>16.13812</v>
      </c>
      <c r="K9" s="34">
        <v>9.02913</v>
      </c>
      <c r="L9" s="9">
        <f aca="true" t="shared" si="19" ref="L9:L45">K9/J9*100</f>
        <v>55.9490820492102</v>
      </c>
      <c r="M9" s="70">
        <f aca="true" t="shared" si="20" ref="M9:M42">D9+G9+J9</f>
        <v>42.63812</v>
      </c>
      <c r="N9" s="70">
        <f aca="true" t="shared" si="21" ref="N9:N42">E9+H9+K9</f>
        <v>33.92913</v>
      </c>
      <c r="O9" s="9">
        <f t="shared" si="3"/>
        <v>79.57463884430177</v>
      </c>
      <c r="P9" s="34">
        <v>13.5</v>
      </c>
      <c r="Q9" s="34">
        <v>19.3</v>
      </c>
      <c r="R9" s="9">
        <f t="shared" si="4"/>
        <v>142.96296296296296</v>
      </c>
      <c r="S9" s="34">
        <v>13.6</v>
      </c>
      <c r="T9" s="34">
        <v>11.5</v>
      </c>
      <c r="U9" s="9">
        <f t="shared" si="5"/>
        <v>84.55882352941177</v>
      </c>
      <c r="V9" s="34">
        <v>12.9</v>
      </c>
      <c r="W9" s="34">
        <v>13.9</v>
      </c>
      <c r="X9" s="9">
        <f t="shared" si="9"/>
        <v>107.75193798449611</v>
      </c>
      <c r="Y9" s="70">
        <f t="shared" si="10"/>
        <v>40</v>
      </c>
      <c r="Z9" s="70">
        <f t="shared" si="11"/>
        <v>44.7</v>
      </c>
      <c r="AA9" s="9">
        <f t="shared" si="6"/>
        <v>111.75000000000001</v>
      </c>
      <c r="AB9" s="34"/>
      <c r="AC9" s="34"/>
      <c r="AD9" s="9" t="e">
        <f t="shared" si="12"/>
        <v>#DIV/0!</v>
      </c>
      <c r="AE9" s="34"/>
      <c r="AF9" s="34"/>
      <c r="AG9" s="9" t="e">
        <f t="shared" si="13"/>
        <v>#DIV/0!</v>
      </c>
      <c r="AH9" s="34"/>
      <c r="AI9" s="34"/>
      <c r="AJ9" s="9" t="e">
        <f t="shared" si="14"/>
        <v>#DIV/0!</v>
      </c>
      <c r="AK9" s="70">
        <f aca="true" t="shared" si="22" ref="AK9:AK42">AB9+AE9+AH9</f>
        <v>0</v>
      </c>
      <c r="AL9" s="70">
        <f aca="true" t="shared" si="23" ref="AL9:AL42">AC9+AF9+AI9</f>
        <v>0</v>
      </c>
      <c r="AM9" s="9" t="e">
        <f t="shared" si="7"/>
        <v>#DIV/0!</v>
      </c>
      <c r="AN9" s="34"/>
      <c r="AO9" s="34"/>
      <c r="AP9" s="34"/>
      <c r="AQ9" s="34"/>
      <c r="AR9" s="34"/>
      <c r="AS9" s="34"/>
      <c r="AT9" s="57">
        <f aca="true" t="shared" si="24" ref="AT9:AT42">M9+Y9+AK9+AN9+AP9+AR9</f>
        <v>82.63812</v>
      </c>
      <c r="AU9" s="57">
        <f aca="true" t="shared" si="25" ref="AU9:AU42">N9+Z9+AL9+AO9+AQ9+AS9</f>
        <v>78.62913</v>
      </c>
      <c r="AV9" s="9">
        <f t="shared" si="8"/>
        <v>95.14874007298327</v>
      </c>
      <c r="AW9" s="57">
        <f aca="true" t="shared" si="26" ref="AW9:AW28">AT9-AU9</f>
        <v>4.008989999999997</v>
      </c>
      <c r="AX9" s="15">
        <f t="shared" si="15"/>
        <v>17.20899</v>
      </c>
      <c r="AY9" s="19">
        <f t="shared" si="16"/>
        <v>82.63812</v>
      </c>
      <c r="AZ9" s="19">
        <f t="shared" si="17"/>
        <v>78.62913</v>
      </c>
      <c r="BA9" s="38">
        <f t="shared" si="18"/>
        <v>17.20899</v>
      </c>
    </row>
    <row r="10" spans="1:53" ht="34.5" customHeight="1">
      <c r="A10" s="11" t="s">
        <v>7</v>
      </c>
      <c r="B10" s="60" t="s">
        <v>81</v>
      </c>
      <c r="C10" s="83"/>
      <c r="D10" s="34"/>
      <c r="E10" s="34"/>
      <c r="F10" s="84" t="e">
        <f t="shared" si="1"/>
        <v>#DIV/0!</v>
      </c>
      <c r="G10" s="34"/>
      <c r="H10" s="34"/>
      <c r="I10" s="84" t="e">
        <f t="shared" si="2"/>
        <v>#DIV/0!</v>
      </c>
      <c r="J10" s="34"/>
      <c r="K10" s="34"/>
      <c r="L10" s="84" t="e">
        <f t="shared" si="19"/>
        <v>#DIV/0!</v>
      </c>
      <c r="M10" s="122">
        <f t="shared" si="20"/>
        <v>0</v>
      </c>
      <c r="N10" s="122">
        <f t="shared" si="21"/>
        <v>0</v>
      </c>
      <c r="O10" s="84" t="e">
        <f t="shared" si="3"/>
        <v>#DIV/0!</v>
      </c>
      <c r="P10" s="34"/>
      <c r="Q10" s="34"/>
      <c r="R10" s="84" t="e">
        <f t="shared" si="4"/>
        <v>#DIV/0!</v>
      </c>
      <c r="S10" s="34"/>
      <c r="T10" s="34"/>
      <c r="U10" s="9"/>
      <c r="V10" s="34"/>
      <c r="W10" s="34"/>
      <c r="X10" s="9"/>
      <c r="Y10" s="70"/>
      <c r="Z10" s="70"/>
      <c r="AA10" s="9"/>
      <c r="AB10" s="34"/>
      <c r="AC10" s="34"/>
      <c r="AD10" s="84" t="e">
        <f t="shared" si="12"/>
        <v>#DIV/0!</v>
      </c>
      <c r="AE10" s="34"/>
      <c r="AF10" s="34"/>
      <c r="AG10" s="84" t="e">
        <f t="shared" si="13"/>
        <v>#DIV/0!</v>
      </c>
      <c r="AH10" s="34"/>
      <c r="AI10" s="34"/>
      <c r="AJ10" s="9"/>
      <c r="AK10" s="70"/>
      <c r="AL10" s="70"/>
      <c r="AM10" s="9"/>
      <c r="AN10" s="34"/>
      <c r="AO10" s="34"/>
      <c r="AP10" s="34"/>
      <c r="AQ10" s="34"/>
      <c r="AR10" s="34"/>
      <c r="AS10" s="34"/>
      <c r="AT10" s="57"/>
      <c r="AU10" s="57"/>
      <c r="AV10" s="84"/>
      <c r="AW10" s="57"/>
      <c r="AX10" s="15"/>
      <c r="AY10" s="19">
        <f t="shared" si="16"/>
        <v>0</v>
      </c>
      <c r="AZ10" s="19">
        <f t="shared" si="17"/>
        <v>0</v>
      </c>
      <c r="BA10" s="38">
        <f t="shared" si="18"/>
        <v>0</v>
      </c>
    </row>
    <row r="11" spans="1:53" ht="34.5" customHeight="1">
      <c r="A11" s="11" t="s">
        <v>8</v>
      </c>
      <c r="B11" s="56" t="s">
        <v>50</v>
      </c>
      <c r="C11" s="83">
        <v>-14.9</v>
      </c>
      <c r="D11" s="34">
        <v>67.3</v>
      </c>
      <c r="E11" s="34">
        <v>74</v>
      </c>
      <c r="F11" s="9">
        <f t="shared" si="1"/>
        <v>109.9554234769688</v>
      </c>
      <c r="G11" s="34">
        <v>60.2</v>
      </c>
      <c r="H11" s="34">
        <v>58.7</v>
      </c>
      <c r="I11" s="9">
        <f t="shared" si="2"/>
        <v>97.50830564784053</v>
      </c>
      <c r="J11" s="34">
        <v>78.9</v>
      </c>
      <c r="K11" s="34">
        <v>55.2</v>
      </c>
      <c r="L11" s="9">
        <f t="shared" si="19"/>
        <v>69.96197718631178</v>
      </c>
      <c r="M11" s="70">
        <f t="shared" si="20"/>
        <v>206.4</v>
      </c>
      <c r="N11" s="70">
        <f t="shared" si="21"/>
        <v>187.89999999999998</v>
      </c>
      <c r="O11" s="9">
        <f t="shared" si="3"/>
        <v>91.03682170542633</v>
      </c>
      <c r="P11" s="34">
        <v>61.9</v>
      </c>
      <c r="Q11" s="34">
        <v>63.5</v>
      </c>
      <c r="R11" s="9">
        <f t="shared" si="4"/>
        <v>102.58481421647821</v>
      </c>
      <c r="S11" s="34">
        <v>59.3</v>
      </c>
      <c r="T11" s="34">
        <v>59.2</v>
      </c>
      <c r="U11" s="9">
        <f t="shared" si="5"/>
        <v>99.83136593591907</v>
      </c>
      <c r="V11" s="34">
        <v>70.8</v>
      </c>
      <c r="W11" s="34">
        <v>72.3</v>
      </c>
      <c r="X11" s="9">
        <f t="shared" si="9"/>
        <v>102.11864406779661</v>
      </c>
      <c r="Y11" s="70">
        <f t="shared" si="10"/>
        <v>192</v>
      </c>
      <c r="Z11" s="70">
        <f t="shared" si="11"/>
        <v>195</v>
      </c>
      <c r="AA11" s="9">
        <f t="shared" si="6"/>
        <v>101.5625</v>
      </c>
      <c r="AB11" s="34"/>
      <c r="AC11" s="34"/>
      <c r="AD11" s="9" t="e">
        <f t="shared" si="12"/>
        <v>#DIV/0!</v>
      </c>
      <c r="AE11" s="34"/>
      <c r="AF11" s="34"/>
      <c r="AG11" s="9" t="e">
        <f t="shared" si="13"/>
        <v>#DIV/0!</v>
      </c>
      <c r="AH11" s="34"/>
      <c r="AI11" s="34"/>
      <c r="AJ11" s="9" t="e">
        <f t="shared" si="14"/>
        <v>#DIV/0!</v>
      </c>
      <c r="AK11" s="70">
        <f t="shared" si="22"/>
        <v>0</v>
      </c>
      <c r="AL11" s="70">
        <f t="shared" si="23"/>
        <v>0</v>
      </c>
      <c r="AM11" s="9" t="e">
        <f t="shared" si="7"/>
        <v>#DIV/0!</v>
      </c>
      <c r="AN11" s="34"/>
      <c r="AO11" s="34"/>
      <c r="AP11" s="34"/>
      <c r="AQ11" s="34"/>
      <c r="AR11" s="34"/>
      <c r="AS11" s="34"/>
      <c r="AT11" s="57">
        <f t="shared" si="24"/>
        <v>398.4</v>
      </c>
      <c r="AU11" s="57">
        <f t="shared" si="25"/>
        <v>382.9</v>
      </c>
      <c r="AV11" s="9">
        <f t="shared" si="8"/>
        <v>96.10943775100401</v>
      </c>
      <c r="AW11" s="57">
        <f t="shared" si="26"/>
        <v>15.5</v>
      </c>
      <c r="AX11" s="15">
        <f t="shared" si="15"/>
        <v>0.6000000000000227</v>
      </c>
      <c r="AY11" s="19">
        <f t="shared" si="16"/>
        <v>398.4</v>
      </c>
      <c r="AZ11" s="19">
        <f t="shared" si="17"/>
        <v>382.9</v>
      </c>
      <c r="BA11" s="38">
        <f t="shared" si="18"/>
        <v>0.6000000000000227</v>
      </c>
    </row>
    <row r="12" spans="1:53" ht="34.5" customHeight="1">
      <c r="A12" s="11" t="s">
        <v>9</v>
      </c>
      <c r="B12" s="56" t="s">
        <v>51</v>
      </c>
      <c r="C12" s="83">
        <v>6.3</v>
      </c>
      <c r="D12" s="34">
        <v>14.8</v>
      </c>
      <c r="E12" s="34">
        <v>14.9</v>
      </c>
      <c r="F12" s="9">
        <f t="shared" si="1"/>
        <v>100.67567567567568</v>
      </c>
      <c r="G12" s="34">
        <v>14.5</v>
      </c>
      <c r="H12" s="34">
        <v>8.5</v>
      </c>
      <c r="I12" s="9">
        <f t="shared" si="2"/>
        <v>58.620689655172406</v>
      </c>
      <c r="J12" s="34">
        <v>18.4</v>
      </c>
      <c r="K12" s="34">
        <v>22.1</v>
      </c>
      <c r="L12" s="9">
        <f t="shared" si="19"/>
        <v>120.10869565217392</v>
      </c>
      <c r="M12" s="70">
        <f t="shared" si="20"/>
        <v>47.7</v>
      </c>
      <c r="N12" s="70">
        <f t="shared" si="21"/>
        <v>45.5</v>
      </c>
      <c r="O12" s="9">
        <f t="shared" si="3"/>
        <v>95.38784067085953</v>
      </c>
      <c r="P12" s="34">
        <v>13.7</v>
      </c>
      <c r="Q12" s="34">
        <v>15.1</v>
      </c>
      <c r="R12" s="9">
        <f t="shared" si="4"/>
        <v>110.2189781021898</v>
      </c>
      <c r="S12" s="34">
        <v>7</v>
      </c>
      <c r="T12" s="34">
        <v>6.4</v>
      </c>
      <c r="U12" s="9">
        <f t="shared" si="5"/>
        <v>91.42857142857143</v>
      </c>
      <c r="V12" s="34">
        <v>12.2</v>
      </c>
      <c r="W12" s="34">
        <v>8.8</v>
      </c>
      <c r="X12" s="9">
        <f t="shared" si="9"/>
        <v>72.13114754098362</v>
      </c>
      <c r="Y12" s="70">
        <f t="shared" si="10"/>
        <v>32.9</v>
      </c>
      <c r="Z12" s="70">
        <f t="shared" si="11"/>
        <v>30.3</v>
      </c>
      <c r="AA12" s="9">
        <f t="shared" si="6"/>
        <v>92.09726443768997</v>
      </c>
      <c r="AB12" s="34"/>
      <c r="AC12" s="34"/>
      <c r="AD12" s="9" t="e">
        <f t="shared" si="12"/>
        <v>#DIV/0!</v>
      </c>
      <c r="AE12" s="34"/>
      <c r="AF12" s="34"/>
      <c r="AG12" s="9" t="e">
        <f t="shared" si="13"/>
        <v>#DIV/0!</v>
      </c>
      <c r="AH12" s="34"/>
      <c r="AI12" s="34"/>
      <c r="AJ12" s="9" t="e">
        <f t="shared" si="14"/>
        <v>#DIV/0!</v>
      </c>
      <c r="AK12" s="70">
        <f t="shared" si="22"/>
        <v>0</v>
      </c>
      <c r="AL12" s="70">
        <f t="shared" si="23"/>
        <v>0</v>
      </c>
      <c r="AM12" s="9" t="e">
        <f t="shared" si="7"/>
        <v>#DIV/0!</v>
      </c>
      <c r="AN12" s="34"/>
      <c r="AO12" s="34"/>
      <c r="AP12" s="34"/>
      <c r="AQ12" s="34"/>
      <c r="AR12" s="34"/>
      <c r="AS12" s="34"/>
      <c r="AT12" s="57">
        <f t="shared" si="24"/>
        <v>80.6</v>
      </c>
      <c r="AU12" s="57">
        <f t="shared" si="25"/>
        <v>75.8</v>
      </c>
      <c r="AV12" s="9">
        <f t="shared" si="8"/>
        <v>94.04466501240695</v>
      </c>
      <c r="AW12" s="57">
        <f t="shared" si="26"/>
        <v>4.799999999999997</v>
      </c>
      <c r="AX12" s="15">
        <f t="shared" si="15"/>
        <v>11.099999999999994</v>
      </c>
      <c r="AY12" s="19">
        <f t="shared" si="16"/>
        <v>80.6</v>
      </c>
      <c r="AZ12" s="19">
        <f t="shared" si="17"/>
        <v>75.8</v>
      </c>
      <c r="BA12" s="38">
        <f t="shared" si="18"/>
        <v>11.099999999999994</v>
      </c>
    </row>
    <row r="13" spans="1:53" ht="34.5" customHeight="1">
      <c r="A13" s="11" t="s">
        <v>10</v>
      </c>
      <c r="B13" s="56" t="s">
        <v>52</v>
      </c>
      <c r="C13" s="83">
        <v>52.8</v>
      </c>
      <c r="D13" s="34">
        <v>137.2</v>
      </c>
      <c r="E13" s="34">
        <v>123.7</v>
      </c>
      <c r="F13" s="9">
        <f t="shared" si="1"/>
        <v>90.16034985422742</v>
      </c>
      <c r="G13" s="34">
        <v>139.4</v>
      </c>
      <c r="H13" s="34">
        <v>144.6</v>
      </c>
      <c r="I13" s="9">
        <f t="shared" si="2"/>
        <v>103.7302725968436</v>
      </c>
      <c r="J13" s="34">
        <v>129.22</v>
      </c>
      <c r="K13" s="34">
        <v>99.95</v>
      </c>
      <c r="L13" s="9">
        <f t="shared" si="19"/>
        <v>77.34870763039777</v>
      </c>
      <c r="M13" s="70">
        <f t="shared" si="20"/>
        <v>405.82000000000005</v>
      </c>
      <c r="N13" s="70">
        <f t="shared" si="21"/>
        <v>368.25</v>
      </c>
      <c r="O13" s="9">
        <f t="shared" si="3"/>
        <v>90.74220097580206</v>
      </c>
      <c r="P13" s="34">
        <v>90.4</v>
      </c>
      <c r="Q13" s="34">
        <v>120.6</v>
      </c>
      <c r="R13" s="9">
        <f t="shared" si="4"/>
        <v>133.40707964601768</v>
      </c>
      <c r="S13" s="34">
        <v>110</v>
      </c>
      <c r="T13" s="34">
        <v>88.3</v>
      </c>
      <c r="U13" s="101">
        <f t="shared" si="5"/>
        <v>80.27272727272728</v>
      </c>
      <c r="V13" s="34">
        <v>132.6</v>
      </c>
      <c r="W13" s="34">
        <v>145.6</v>
      </c>
      <c r="X13" s="9">
        <f t="shared" si="9"/>
        <v>109.80392156862746</v>
      </c>
      <c r="Y13" s="70">
        <f t="shared" si="10"/>
        <v>333</v>
      </c>
      <c r="Z13" s="70">
        <f t="shared" si="11"/>
        <v>354.5</v>
      </c>
      <c r="AA13" s="9">
        <f t="shared" si="6"/>
        <v>106.45645645645645</v>
      </c>
      <c r="AB13" s="34"/>
      <c r="AC13" s="34"/>
      <c r="AD13" s="9" t="e">
        <f t="shared" si="12"/>
        <v>#DIV/0!</v>
      </c>
      <c r="AE13" s="34"/>
      <c r="AF13" s="34"/>
      <c r="AG13" s="9" t="e">
        <f t="shared" si="13"/>
        <v>#DIV/0!</v>
      </c>
      <c r="AH13" s="34"/>
      <c r="AI13" s="34"/>
      <c r="AJ13" s="9" t="e">
        <f t="shared" si="14"/>
        <v>#DIV/0!</v>
      </c>
      <c r="AK13" s="70">
        <f t="shared" si="22"/>
        <v>0</v>
      </c>
      <c r="AL13" s="70">
        <f t="shared" si="23"/>
        <v>0</v>
      </c>
      <c r="AM13" s="9" t="e">
        <f t="shared" si="7"/>
        <v>#DIV/0!</v>
      </c>
      <c r="AN13" s="34"/>
      <c r="AO13" s="34"/>
      <c r="AP13" s="34"/>
      <c r="AQ13" s="34"/>
      <c r="AR13" s="34"/>
      <c r="AS13" s="34"/>
      <c r="AT13" s="57">
        <f t="shared" si="24"/>
        <v>738.82</v>
      </c>
      <c r="AU13" s="57">
        <f t="shared" si="25"/>
        <v>722.75</v>
      </c>
      <c r="AV13" s="9">
        <f t="shared" si="8"/>
        <v>97.82490999160824</v>
      </c>
      <c r="AW13" s="57">
        <f t="shared" si="26"/>
        <v>16.07000000000005</v>
      </c>
      <c r="AX13" s="15">
        <f t="shared" si="15"/>
        <v>68.87</v>
      </c>
      <c r="AY13" s="19">
        <f t="shared" si="16"/>
        <v>738.82</v>
      </c>
      <c r="AZ13" s="19">
        <f t="shared" si="17"/>
        <v>722.75</v>
      </c>
      <c r="BA13" s="38">
        <f t="shared" si="18"/>
        <v>68.87</v>
      </c>
    </row>
    <row r="14" spans="1:53" ht="34.5" customHeight="1">
      <c r="A14" s="11" t="s">
        <v>11</v>
      </c>
      <c r="B14" s="56" t="s">
        <v>82</v>
      </c>
      <c r="C14" s="83">
        <v>-0.2</v>
      </c>
      <c r="D14" s="34">
        <v>15.5</v>
      </c>
      <c r="E14" s="34">
        <v>15.4</v>
      </c>
      <c r="F14" s="9">
        <f t="shared" si="1"/>
        <v>99.35483870967742</v>
      </c>
      <c r="G14" s="34">
        <v>15.6</v>
      </c>
      <c r="H14" s="34">
        <v>15.5</v>
      </c>
      <c r="I14" s="9">
        <f t="shared" si="2"/>
        <v>99.35897435897436</v>
      </c>
      <c r="J14" s="34">
        <v>15.5</v>
      </c>
      <c r="K14" s="34">
        <v>15.5</v>
      </c>
      <c r="L14" s="9">
        <f t="shared" si="19"/>
        <v>100</v>
      </c>
      <c r="M14" s="70">
        <f t="shared" si="20"/>
        <v>46.6</v>
      </c>
      <c r="N14" s="70">
        <f t="shared" si="21"/>
        <v>46.4</v>
      </c>
      <c r="O14" s="9">
        <f t="shared" si="3"/>
        <v>99.57081545064376</v>
      </c>
      <c r="P14" s="34">
        <v>15.4</v>
      </c>
      <c r="Q14" s="34">
        <v>15.5</v>
      </c>
      <c r="R14" s="9">
        <f t="shared" si="4"/>
        <v>100.64935064935065</v>
      </c>
      <c r="S14" s="34">
        <v>10.6</v>
      </c>
      <c r="T14" s="34">
        <v>10.6</v>
      </c>
      <c r="U14" s="9">
        <f t="shared" si="5"/>
        <v>100</v>
      </c>
      <c r="V14" s="34">
        <v>10.5</v>
      </c>
      <c r="W14" s="34">
        <v>10.5</v>
      </c>
      <c r="X14" s="9">
        <f t="shared" si="9"/>
        <v>100</v>
      </c>
      <c r="Y14" s="70">
        <f t="shared" si="10"/>
        <v>36.5</v>
      </c>
      <c r="Z14" s="70">
        <f t="shared" si="11"/>
        <v>36.6</v>
      </c>
      <c r="AA14" s="9">
        <f t="shared" si="6"/>
        <v>100.27397260273973</v>
      </c>
      <c r="AB14" s="34"/>
      <c r="AC14" s="34"/>
      <c r="AD14" s="9" t="e">
        <f t="shared" si="12"/>
        <v>#DIV/0!</v>
      </c>
      <c r="AE14" s="34"/>
      <c r="AF14" s="34"/>
      <c r="AG14" s="9" t="e">
        <f t="shared" si="13"/>
        <v>#DIV/0!</v>
      </c>
      <c r="AH14" s="34"/>
      <c r="AI14" s="34"/>
      <c r="AJ14" s="9" t="e">
        <f t="shared" si="14"/>
        <v>#DIV/0!</v>
      </c>
      <c r="AK14" s="70">
        <f t="shared" si="22"/>
        <v>0</v>
      </c>
      <c r="AL14" s="70">
        <f t="shared" si="23"/>
        <v>0</v>
      </c>
      <c r="AM14" s="9" t="e">
        <f t="shared" si="7"/>
        <v>#DIV/0!</v>
      </c>
      <c r="AN14" s="34"/>
      <c r="AO14" s="34"/>
      <c r="AP14" s="34"/>
      <c r="AQ14" s="34"/>
      <c r="AR14" s="34"/>
      <c r="AS14" s="34"/>
      <c r="AT14" s="57">
        <f t="shared" si="24"/>
        <v>83.1</v>
      </c>
      <c r="AU14" s="57">
        <f t="shared" si="25"/>
        <v>83</v>
      </c>
      <c r="AV14" s="9">
        <f t="shared" si="8"/>
        <v>99.87966305655837</v>
      </c>
      <c r="AW14" s="57">
        <f t="shared" si="26"/>
        <v>0.09999999999999432</v>
      </c>
      <c r="AX14" s="15">
        <f t="shared" si="15"/>
        <v>-0.10000000000000853</v>
      </c>
      <c r="AY14" s="19">
        <f t="shared" si="16"/>
        <v>83.1</v>
      </c>
      <c r="AZ14" s="19">
        <f t="shared" si="17"/>
        <v>83</v>
      </c>
      <c r="BA14" s="38">
        <f t="shared" si="18"/>
        <v>-0.10000000000000853</v>
      </c>
    </row>
    <row r="15" spans="1:53" ht="34.5" customHeight="1">
      <c r="A15" s="11" t="s">
        <v>12</v>
      </c>
      <c r="B15" s="56" t="s">
        <v>53</v>
      </c>
      <c r="C15" s="83">
        <v>473.2</v>
      </c>
      <c r="D15" s="34">
        <v>142.4</v>
      </c>
      <c r="E15" s="34">
        <v>95.8</v>
      </c>
      <c r="F15" s="9">
        <f t="shared" si="1"/>
        <v>67.2752808988764</v>
      </c>
      <c r="G15" s="34">
        <v>141.8</v>
      </c>
      <c r="H15" s="34">
        <v>85.2</v>
      </c>
      <c r="I15" s="9">
        <f t="shared" si="2"/>
        <v>60.08462623413258</v>
      </c>
      <c r="J15" s="34">
        <v>142.7</v>
      </c>
      <c r="K15" s="34">
        <v>96.6</v>
      </c>
      <c r="L15" s="9">
        <f t="shared" si="19"/>
        <v>67.69446391030132</v>
      </c>
      <c r="M15" s="70">
        <f t="shared" si="20"/>
        <v>426.90000000000003</v>
      </c>
      <c r="N15" s="70">
        <f t="shared" si="21"/>
        <v>277.6</v>
      </c>
      <c r="O15" s="9">
        <f t="shared" si="3"/>
        <v>65.02693839306629</v>
      </c>
      <c r="P15" s="34">
        <v>136.7</v>
      </c>
      <c r="Q15" s="34">
        <v>127.5</v>
      </c>
      <c r="R15" s="9">
        <f t="shared" si="4"/>
        <v>93.26993416239942</v>
      </c>
      <c r="S15" s="34">
        <v>158.2</v>
      </c>
      <c r="T15" s="34">
        <v>137.4</v>
      </c>
      <c r="U15" s="101">
        <f t="shared" si="5"/>
        <v>86.85208596713022</v>
      </c>
      <c r="V15" s="34">
        <v>157</v>
      </c>
      <c r="W15" s="34">
        <v>540.2</v>
      </c>
      <c r="X15" s="9">
        <f t="shared" si="9"/>
        <v>344.07643312101914</v>
      </c>
      <c r="Y15" s="70">
        <f t="shared" si="10"/>
        <v>451.9</v>
      </c>
      <c r="Z15" s="70">
        <f t="shared" si="11"/>
        <v>805.1</v>
      </c>
      <c r="AA15" s="9">
        <f t="shared" si="6"/>
        <v>178.15888470900643</v>
      </c>
      <c r="AB15" s="34"/>
      <c r="AC15" s="34"/>
      <c r="AD15" s="9" t="e">
        <f t="shared" si="12"/>
        <v>#DIV/0!</v>
      </c>
      <c r="AE15" s="34"/>
      <c r="AF15" s="34"/>
      <c r="AG15" s="9" t="e">
        <f t="shared" si="13"/>
        <v>#DIV/0!</v>
      </c>
      <c r="AH15" s="34"/>
      <c r="AI15" s="34"/>
      <c r="AJ15" s="9" t="e">
        <f t="shared" si="14"/>
        <v>#DIV/0!</v>
      </c>
      <c r="AK15" s="70">
        <f t="shared" si="22"/>
        <v>0</v>
      </c>
      <c r="AL15" s="70">
        <f t="shared" si="23"/>
        <v>0</v>
      </c>
      <c r="AM15" s="9" t="e">
        <f t="shared" si="7"/>
        <v>#DIV/0!</v>
      </c>
      <c r="AN15" s="34"/>
      <c r="AO15" s="34"/>
      <c r="AP15" s="34"/>
      <c r="AQ15" s="34"/>
      <c r="AR15" s="34"/>
      <c r="AS15" s="34"/>
      <c r="AT15" s="57">
        <f t="shared" si="24"/>
        <v>878.8</v>
      </c>
      <c r="AU15" s="57">
        <f t="shared" si="25"/>
        <v>1082.7</v>
      </c>
      <c r="AV15" s="9">
        <f t="shared" si="8"/>
        <v>123.20209376422395</v>
      </c>
      <c r="AW15" s="57">
        <f t="shared" si="26"/>
        <v>-203.9000000000001</v>
      </c>
      <c r="AX15" s="15">
        <f t="shared" si="15"/>
        <v>269.29999999999995</v>
      </c>
      <c r="AY15" s="19">
        <f t="shared" si="16"/>
        <v>878.8</v>
      </c>
      <c r="AZ15" s="19">
        <f t="shared" si="17"/>
        <v>1082.7</v>
      </c>
      <c r="BA15" s="38">
        <f t="shared" si="18"/>
        <v>269.29999999999995</v>
      </c>
    </row>
    <row r="16" spans="1:53" ht="34.5" customHeight="1">
      <c r="A16" s="11" t="s">
        <v>13</v>
      </c>
      <c r="B16" s="56" t="s">
        <v>54</v>
      </c>
      <c r="C16" s="89">
        <v>2.9</v>
      </c>
      <c r="D16" s="34">
        <v>3</v>
      </c>
      <c r="E16" s="34">
        <v>4.1</v>
      </c>
      <c r="F16" s="9">
        <f t="shared" si="1"/>
        <v>136.66666666666666</v>
      </c>
      <c r="G16" s="34">
        <v>2.4</v>
      </c>
      <c r="H16" s="34">
        <v>2.2</v>
      </c>
      <c r="I16" s="9">
        <f t="shared" si="2"/>
        <v>91.66666666666667</v>
      </c>
      <c r="J16" s="34">
        <v>3.8</v>
      </c>
      <c r="K16" s="34">
        <v>2.1</v>
      </c>
      <c r="L16" s="9">
        <f t="shared" si="19"/>
        <v>55.26315789473685</v>
      </c>
      <c r="M16" s="70">
        <f t="shared" si="20"/>
        <v>9.2</v>
      </c>
      <c r="N16" s="70">
        <f t="shared" si="21"/>
        <v>8.4</v>
      </c>
      <c r="O16" s="9">
        <f t="shared" si="3"/>
        <v>91.30434782608697</v>
      </c>
      <c r="P16" s="34">
        <v>4.652</v>
      </c>
      <c r="Q16" s="34">
        <v>5.9</v>
      </c>
      <c r="R16" s="9">
        <f t="shared" si="4"/>
        <v>126.82717110920035</v>
      </c>
      <c r="S16" s="34">
        <v>2.3</v>
      </c>
      <c r="T16" s="34">
        <v>2</v>
      </c>
      <c r="U16" s="9">
        <f t="shared" si="5"/>
        <v>86.95652173913044</v>
      </c>
      <c r="V16" s="34">
        <v>2.7</v>
      </c>
      <c r="W16" s="34">
        <v>4.4</v>
      </c>
      <c r="X16" s="84">
        <f t="shared" si="9"/>
        <v>162.962962962963</v>
      </c>
      <c r="Y16" s="70">
        <f t="shared" si="10"/>
        <v>9.652000000000001</v>
      </c>
      <c r="Z16" s="70">
        <f t="shared" si="11"/>
        <v>12.3</v>
      </c>
      <c r="AA16" s="9">
        <f t="shared" si="6"/>
        <v>127.43472855366763</v>
      </c>
      <c r="AB16" s="34"/>
      <c r="AC16" s="34"/>
      <c r="AD16" s="9" t="e">
        <f t="shared" si="12"/>
        <v>#DIV/0!</v>
      </c>
      <c r="AE16" s="34"/>
      <c r="AF16" s="34"/>
      <c r="AG16" s="9" t="e">
        <f t="shared" si="13"/>
        <v>#DIV/0!</v>
      </c>
      <c r="AH16" s="34"/>
      <c r="AI16" s="34"/>
      <c r="AJ16" s="9" t="e">
        <f t="shared" si="14"/>
        <v>#DIV/0!</v>
      </c>
      <c r="AK16" s="70">
        <f t="shared" si="22"/>
        <v>0</v>
      </c>
      <c r="AL16" s="70">
        <f t="shared" si="23"/>
        <v>0</v>
      </c>
      <c r="AM16" s="9" t="e">
        <f t="shared" si="7"/>
        <v>#DIV/0!</v>
      </c>
      <c r="AN16" s="34"/>
      <c r="AO16" s="34"/>
      <c r="AP16" s="34"/>
      <c r="AQ16" s="34"/>
      <c r="AR16" s="34"/>
      <c r="AS16" s="34"/>
      <c r="AT16" s="57">
        <f t="shared" si="24"/>
        <v>18.852</v>
      </c>
      <c r="AU16" s="57">
        <f t="shared" si="25"/>
        <v>20.700000000000003</v>
      </c>
      <c r="AV16" s="9">
        <f t="shared" si="8"/>
        <v>109.8026734563972</v>
      </c>
      <c r="AW16" s="57">
        <f>AT16-AU16</f>
        <v>-1.8480000000000025</v>
      </c>
      <c r="AX16" s="15">
        <f t="shared" si="15"/>
        <v>1.051999999999996</v>
      </c>
      <c r="AY16" s="19">
        <f t="shared" si="16"/>
        <v>18.852</v>
      </c>
      <c r="AZ16" s="19">
        <f t="shared" si="17"/>
        <v>20.700000000000003</v>
      </c>
      <c r="BA16" s="38">
        <f t="shared" si="18"/>
        <v>1.051999999999996</v>
      </c>
    </row>
    <row r="17" spans="1:53" ht="34.5" customHeight="1">
      <c r="A17" s="11" t="s">
        <v>14</v>
      </c>
      <c r="B17" s="60" t="s">
        <v>83</v>
      </c>
      <c r="C17" s="89">
        <f>974.8+94.1</f>
        <v>1068.8999999999999</v>
      </c>
      <c r="D17" s="34">
        <f>215.7+43.8</f>
        <v>259.5</v>
      </c>
      <c r="E17" s="34">
        <f>280.3+47.1</f>
        <v>327.40000000000003</v>
      </c>
      <c r="F17" s="9">
        <f t="shared" si="1"/>
        <v>126.16570327552988</v>
      </c>
      <c r="G17" s="34">
        <f>44.1+182.4</f>
        <v>226.5</v>
      </c>
      <c r="H17" s="34">
        <f>43.8+268.3</f>
        <v>312.1</v>
      </c>
      <c r="I17" s="9">
        <f t="shared" si="2"/>
        <v>137.79249448123622</v>
      </c>
      <c r="J17" s="34">
        <f>197.5+45.8</f>
        <v>243.3</v>
      </c>
      <c r="K17" s="34">
        <f>11.3+44.1</f>
        <v>55.400000000000006</v>
      </c>
      <c r="L17" s="9">
        <f t="shared" si="19"/>
        <v>22.77024249897246</v>
      </c>
      <c r="M17" s="70">
        <f t="shared" si="20"/>
        <v>729.3</v>
      </c>
      <c r="N17" s="70">
        <f t="shared" si="21"/>
        <v>694.9</v>
      </c>
      <c r="O17" s="9">
        <f t="shared" si="3"/>
        <v>95.2831482243247</v>
      </c>
      <c r="P17" s="34">
        <f>186.1+48.4</f>
        <v>234.5</v>
      </c>
      <c r="Q17" s="34">
        <f>28.2+46.9</f>
        <v>75.1</v>
      </c>
      <c r="R17" s="9">
        <f t="shared" si="4"/>
        <v>32.02558635394456</v>
      </c>
      <c r="S17" s="34">
        <f>47.7+197.3</f>
        <v>245</v>
      </c>
      <c r="T17" s="34">
        <f>45.9+19.2</f>
        <v>65.1</v>
      </c>
      <c r="U17" s="9">
        <f t="shared" si="5"/>
        <v>26.57142857142857</v>
      </c>
      <c r="V17" s="34">
        <f>44.1+200.7</f>
        <v>244.79999999999998</v>
      </c>
      <c r="W17" s="34">
        <f>42.8+25.9</f>
        <v>68.69999999999999</v>
      </c>
      <c r="X17" s="9">
        <f t="shared" si="9"/>
        <v>28.063725490196074</v>
      </c>
      <c r="Y17" s="70">
        <f t="shared" si="10"/>
        <v>724.3</v>
      </c>
      <c r="Z17" s="70">
        <f t="shared" si="11"/>
        <v>208.89999999999998</v>
      </c>
      <c r="AA17" s="9">
        <f t="shared" si="6"/>
        <v>28.841640204335217</v>
      </c>
      <c r="AB17" s="34"/>
      <c r="AC17" s="34"/>
      <c r="AD17" s="9" t="e">
        <f t="shared" si="12"/>
        <v>#DIV/0!</v>
      </c>
      <c r="AE17" s="34"/>
      <c r="AF17" s="34"/>
      <c r="AG17" s="9" t="e">
        <f t="shared" si="13"/>
        <v>#DIV/0!</v>
      </c>
      <c r="AH17" s="34"/>
      <c r="AI17" s="34"/>
      <c r="AJ17" s="9" t="e">
        <f t="shared" si="14"/>
        <v>#DIV/0!</v>
      </c>
      <c r="AK17" s="70">
        <f t="shared" si="22"/>
        <v>0</v>
      </c>
      <c r="AL17" s="70">
        <f t="shared" si="23"/>
        <v>0</v>
      </c>
      <c r="AM17" s="9" t="e">
        <f t="shared" si="7"/>
        <v>#DIV/0!</v>
      </c>
      <c r="AN17" s="34"/>
      <c r="AO17" s="34"/>
      <c r="AP17" s="34"/>
      <c r="AQ17" s="34"/>
      <c r="AR17" s="34"/>
      <c r="AS17" s="34"/>
      <c r="AT17" s="57">
        <f t="shared" si="24"/>
        <v>1453.6</v>
      </c>
      <c r="AU17" s="57">
        <f t="shared" si="25"/>
        <v>903.8</v>
      </c>
      <c r="AV17" s="9">
        <f t="shared" si="8"/>
        <v>62.176664832140894</v>
      </c>
      <c r="AW17" s="57">
        <f t="shared" si="26"/>
        <v>549.8</v>
      </c>
      <c r="AX17" s="15">
        <f t="shared" si="15"/>
        <v>1618.7</v>
      </c>
      <c r="AY17" s="19">
        <f t="shared" si="16"/>
        <v>1453.6</v>
      </c>
      <c r="AZ17" s="19">
        <f t="shared" si="17"/>
        <v>903.8</v>
      </c>
      <c r="BA17" s="38">
        <f t="shared" si="18"/>
        <v>1618.7</v>
      </c>
    </row>
    <row r="18" spans="1:53" ht="34.5" customHeight="1">
      <c r="A18" s="11" t="s">
        <v>15</v>
      </c>
      <c r="B18" s="60" t="s">
        <v>55</v>
      </c>
      <c r="C18" s="83">
        <v>12.9</v>
      </c>
      <c r="D18" s="34">
        <v>9.8</v>
      </c>
      <c r="E18" s="34">
        <v>11.3</v>
      </c>
      <c r="F18" s="9">
        <f t="shared" si="1"/>
        <v>115.3061224489796</v>
      </c>
      <c r="G18" s="34">
        <v>9.1</v>
      </c>
      <c r="H18" s="34">
        <v>4</v>
      </c>
      <c r="I18" s="9">
        <f t="shared" si="2"/>
        <v>43.956043956043956</v>
      </c>
      <c r="J18" s="34">
        <v>7.9</v>
      </c>
      <c r="K18" s="34">
        <v>8</v>
      </c>
      <c r="L18" s="9">
        <f t="shared" si="19"/>
        <v>101.26582278481011</v>
      </c>
      <c r="M18" s="70">
        <f t="shared" si="20"/>
        <v>26.799999999999997</v>
      </c>
      <c r="N18" s="70">
        <f t="shared" si="21"/>
        <v>23.3</v>
      </c>
      <c r="O18" s="9">
        <f t="shared" si="3"/>
        <v>86.9402985074627</v>
      </c>
      <c r="P18" s="34">
        <v>7.1</v>
      </c>
      <c r="Q18" s="34">
        <v>6.4</v>
      </c>
      <c r="R18" s="9">
        <f t="shared" si="4"/>
        <v>90.14084507042254</v>
      </c>
      <c r="S18" s="34">
        <v>7.1</v>
      </c>
      <c r="T18" s="34">
        <v>11.8</v>
      </c>
      <c r="U18" s="9">
        <f t="shared" si="5"/>
        <v>166.19718309859158</v>
      </c>
      <c r="V18" s="34">
        <v>9.2</v>
      </c>
      <c r="W18" s="34">
        <v>9.4</v>
      </c>
      <c r="X18" s="9">
        <f t="shared" si="9"/>
        <v>102.17391304347827</v>
      </c>
      <c r="Y18" s="70">
        <f t="shared" si="10"/>
        <v>23.4</v>
      </c>
      <c r="Z18" s="70">
        <f t="shared" si="11"/>
        <v>27.6</v>
      </c>
      <c r="AA18" s="9">
        <f t="shared" si="6"/>
        <v>117.94871794871796</v>
      </c>
      <c r="AB18" s="34"/>
      <c r="AC18" s="34"/>
      <c r="AD18" s="9" t="e">
        <f t="shared" si="12"/>
        <v>#DIV/0!</v>
      </c>
      <c r="AE18" s="34"/>
      <c r="AF18" s="34"/>
      <c r="AG18" s="9" t="e">
        <f t="shared" si="13"/>
        <v>#DIV/0!</v>
      </c>
      <c r="AH18" s="34"/>
      <c r="AI18" s="34"/>
      <c r="AJ18" s="9" t="e">
        <f t="shared" si="14"/>
        <v>#DIV/0!</v>
      </c>
      <c r="AK18" s="70">
        <f t="shared" si="22"/>
        <v>0</v>
      </c>
      <c r="AL18" s="70">
        <f t="shared" si="23"/>
        <v>0</v>
      </c>
      <c r="AM18" s="9" t="e">
        <f t="shared" si="7"/>
        <v>#DIV/0!</v>
      </c>
      <c r="AN18" s="34"/>
      <c r="AO18" s="34"/>
      <c r="AP18" s="34"/>
      <c r="AQ18" s="34"/>
      <c r="AR18" s="34"/>
      <c r="AS18" s="34"/>
      <c r="AT18" s="57">
        <f t="shared" si="24"/>
        <v>50.199999999999996</v>
      </c>
      <c r="AU18" s="57">
        <f t="shared" si="25"/>
        <v>50.900000000000006</v>
      </c>
      <c r="AV18" s="9">
        <f t="shared" si="8"/>
        <v>101.394422310757</v>
      </c>
      <c r="AW18" s="57">
        <f t="shared" si="26"/>
        <v>-0.70000000000001</v>
      </c>
      <c r="AX18" s="15">
        <f t="shared" si="15"/>
        <v>12.199999999999989</v>
      </c>
      <c r="AY18" s="19">
        <f t="shared" si="16"/>
        <v>50.199999999999996</v>
      </c>
      <c r="AZ18" s="19">
        <f t="shared" si="17"/>
        <v>50.900000000000006</v>
      </c>
      <c r="BA18" s="38">
        <f t="shared" si="18"/>
        <v>12.199999999999989</v>
      </c>
    </row>
    <row r="19" spans="1:53" ht="34.5" customHeight="1">
      <c r="A19" s="11" t="s">
        <v>16</v>
      </c>
      <c r="B19" s="56" t="s">
        <v>56</v>
      </c>
      <c r="C19" s="83">
        <v>451.6</v>
      </c>
      <c r="D19" s="34">
        <v>265.7</v>
      </c>
      <c r="E19" s="34">
        <v>183.7</v>
      </c>
      <c r="F19" s="9">
        <f t="shared" si="1"/>
        <v>69.1381257056831</v>
      </c>
      <c r="G19" s="34">
        <v>251.2</v>
      </c>
      <c r="H19" s="34">
        <v>276.2</v>
      </c>
      <c r="I19" s="9">
        <f t="shared" si="2"/>
        <v>109.95222929936305</v>
      </c>
      <c r="J19" s="34">
        <v>240.6</v>
      </c>
      <c r="K19" s="34">
        <v>135.2</v>
      </c>
      <c r="L19" s="9">
        <f t="shared" si="19"/>
        <v>56.192851205320025</v>
      </c>
      <c r="M19" s="70">
        <f t="shared" si="20"/>
        <v>757.5</v>
      </c>
      <c r="N19" s="70">
        <f t="shared" si="21"/>
        <v>595.0999999999999</v>
      </c>
      <c r="O19" s="9">
        <f t="shared" si="3"/>
        <v>78.56105610561055</v>
      </c>
      <c r="P19" s="34">
        <v>182.478</v>
      </c>
      <c r="Q19" s="34">
        <v>360.395</v>
      </c>
      <c r="R19" s="9">
        <f t="shared" si="4"/>
        <v>197.50052061070375</v>
      </c>
      <c r="S19" s="34">
        <v>182.8</v>
      </c>
      <c r="T19" s="34">
        <v>114</v>
      </c>
      <c r="U19" s="101">
        <f t="shared" si="5"/>
        <v>62.363238512035004</v>
      </c>
      <c r="V19" s="34">
        <v>171.3</v>
      </c>
      <c r="W19" s="34">
        <v>297.2</v>
      </c>
      <c r="X19" s="9">
        <f t="shared" si="9"/>
        <v>173.49678925861062</v>
      </c>
      <c r="Y19" s="70">
        <f t="shared" si="10"/>
        <v>536.578</v>
      </c>
      <c r="Z19" s="70">
        <f t="shared" si="11"/>
        <v>771.595</v>
      </c>
      <c r="AA19" s="9">
        <f t="shared" si="6"/>
        <v>143.79922397116542</v>
      </c>
      <c r="AB19" s="34"/>
      <c r="AC19" s="34"/>
      <c r="AD19" s="9" t="e">
        <f t="shared" si="12"/>
        <v>#DIV/0!</v>
      </c>
      <c r="AE19" s="34"/>
      <c r="AF19" s="34"/>
      <c r="AG19" s="9" t="e">
        <f t="shared" si="13"/>
        <v>#DIV/0!</v>
      </c>
      <c r="AH19" s="34"/>
      <c r="AI19" s="34"/>
      <c r="AJ19" s="9" t="e">
        <f t="shared" si="14"/>
        <v>#DIV/0!</v>
      </c>
      <c r="AK19" s="70">
        <f t="shared" si="22"/>
        <v>0</v>
      </c>
      <c r="AL19" s="70">
        <f t="shared" si="23"/>
        <v>0</v>
      </c>
      <c r="AM19" s="9" t="e">
        <f t="shared" si="7"/>
        <v>#DIV/0!</v>
      </c>
      <c r="AN19" s="34"/>
      <c r="AO19" s="34"/>
      <c r="AP19" s="34"/>
      <c r="AQ19" s="34"/>
      <c r="AR19" s="34"/>
      <c r="AS19" s="34"/>
      <c r="AT19" s="57">
        <f t="shared" si="24"/>
        <v>1294.078</v>
      </c>
      <c r="AU19" s="57">
        <f t="shared" si="25"/>
        <v>1366.695</v>
      </c>
      <c r="AV19" s="9">
        <f t="shared" si="8"/>
        <v>105.61148555187555</v>
      </c>
      <c r="AW19" s="57">
        <f t="shared" si="26"/>
        <v>-72.61699999999996</v>
      </c>
      <c r="AX19" s="15">
        <f t="shared" si="15"/>
        <v>378.98299999999995</v>
      </c>
      <c r="AY19" s="19">
        <f t="shared" si="16"/>
        <v>1294.078</v>
      </c>
      <c r="AZ19" s="19">
        <f t="shared" si="17"/>
        <v>1366.695</v>
      </c>
      <c r="BA19" s="38">
        <f t="shared" si="18"/>
        <v>378.98299999999995</v>
      </c>
    </row>
    <row r="20" spans="1:53" ht="34.5" customHeight="1">
      <c r="A20" s="11" t="s">
        <v>17</v>
      </c>
      <c r="B20" s="60" t="s">
        <v>57</v>
      </c>
      <c r="C20" s="90">
        <v>-7.2</v>
      </c>
      <c r="D20" s="34">
        <v>8.3</v>
      </c>
      <c r="E20" s="34">
        <v>2.7</v>
      </c>
      <c r="F20" s="9">
        <f t="shared" si="1"/>
        <v>32.53012048192771</v>
      </c>
      <c r="G20" s="34">
        <v>10</v>
      </c>
      <c r="H20" s="34">
        <v>7.7</v>
      </c>
      <c r="I20" s="9">
        <f t="shared" si="2"/>
        <v>77</v>
      </c>
      <c r="J20" s="34">
        <v>7.8</v>
      </c>
      <c r="K20" s="34">
        <v>9.2</v>
      </c>
      <c r="L20" s="9">
        <f t="shared" si="19"/>
        <v>117.94871794871796</v>
      </c>
      <c r="M20" s="70">
        <f t="shared" si="20"/>
        <v>26.1</v>
      </c>
      <c r="N20" s="70">
        <f t="shared" si="21"/>
        <v>19.6</v>
      </c>
      <c r="O20" s="9">
        <f t="shared" si="3"/>
        <v>75.09578544061303</v>
      </c>
      <c r="P20" s="34">
        <v>15.8</v>
      </c>
      <c r="Q20" s="34">
        <v>13.78</v>
      </c>
      <c r="R20" s="9">
        <f t="shared" si="4"/>
        <v>87.21518987341771</v>
      </c>
      <c r="S20" s="34">
        <v>13.2</v>
      </c>
      <c r="T20" s="34">
        <v>14.2</v>
      </c>
      <c r="U20" s="101">
        <f t="shared" si="5"/>
        <v>107.57575757575756</v>
      </c>
      <c r="V20" s="34">
        <v>18.3</v>
      </c>
      <c r="W20" s="34">
        <v>7.6</v>
      </c>
      <c r="X20" s="9">
        <f t="shared" si="9"/>
        <v>41.530054644808736</v>
      </c>
      <c r="Y20" s="70">
        <f t="shared" si="10"/>
        <v>47.3</v>
      </c>
      <c r="Z20" s="70">
        <f t="shared" si="11"/>
        <v>35.58</v>
      </c>
      <c r="AA20" s="9">
        <f t="shared" si="6"/>
        <v>75.22198731501058</v>
      </c>
      <c r="AB20" s="34"/>
      <c r="AC20" s="34"/>
      <c r="AD20" s="9" t="e">
        <f t="shared" si="12"/>
        <v>#DIV/0!</v>
      </c>
      <c r="AE20" s="34"/>
      <c r="AF20" s="34"/>
      <c r="AG20" s="9" t="e">
        <f t="shared" si="13"/>
        <v>#DIV/0!</v>
      </c>
      <c r="AH20" s="34"/>
      <c r="AI20" s="34"/>
      <c r="AJ20" s="9" t="e">
        <f t="shared" si="14"/>
        <v>#DIV/0!</v>
      </c>
      <c r="AK20" s="70">
        <f t="shared" si="22"/>
        <v>0</v>
      </c>
      <c r="AL20" s="70">
        <f t="shared" si="23"/>
        <v>0</v>
      </c>
      <c r="AM20" s="9" t="e">
        <f t="shared" si="7"/>
        <v>#DIV/0!</v>
      </c>
      <c r="AN20" s="34"/>
      <c r="AO20" s="34"/>
      <c r="AP20" s="34"/>
      <c r="AQ20" s="34"/>
      <c r="AR20" s="34"/>
      <c r="AS20" s="34"/>
      <c r="AT20" s="57">
        <f t="shared" si="24"/>
        <v>73.4</v>
      </c>
      <c r="AU20" s="57">
        <f t="shared" si="25"/>
        <v>55.18</v>
      </c>
      <c r="AV20" s="9">
        <f t="shared" si="8"/>
        <v>75.17711171662125</v>
      </c>
      <c r="AW20" s="57">
        <f t="shared" si="26"/>
        <v>18.220000000000006</v>
      </c>
      <c r="AX20" s="15">
        <f t="shared" si="15"/>
        <v>11.020000000000003</v>
      </c>
      <c r="AY20" s="19">
        <f t="shared" si="16"/>
        <v>73.4</v>
      </c>
      <c r="AZ20" s="19">
        <f t="shared" si="17"/>
        <v>55.18</v>
      </c>
      <c r="BA20" s="38">
        <f t="shared" si="18"/>
        <v>11.020000000000003</v>
      </c>
    </row>
    <row r="21" spans="1:53" ht="34.5" customHeight="1">
      <c r="A21" s="11" t="s">
        <v>18</v>
      </c>
      <c r="B21" s="60" t="s">
        <v>58</v>
      </c>
      <c r="C21" s="83"/>
      <c r="D21" s="34"/>
      <c r="E21" s="34"/>
      <c r="F21" s="84" t="e">
        <f t="shared" si="1"/>
        <v>#DIV/0!</v>
      </c>
      <c r="G21" s="34"/>
      <c r="H21" s="34"/>
      <c r="I21" s="84" t="e">
        <f t="shared" si="2"/>
        <v>#DIV/0!</v>
      </c>
      <c r="J21" s="121">
        <v>0</v>
      </c>
      <c r="K21" s="121">
        <v>0</v>
      </c>
      <c r="L21" s="84" t="e">
        <f t="shared" si="19"/>
        <v>#DIV/0!</v>
      </c>
      <c r="M21" s="122">
        <f t="shared" si="20"/>
        <v>0</v>
      </c>
      <c r="N21" s="122">
        <f t="shared" si="21"/>
        <v>0</v>
      </c>
      <c r="O21" s="84" t="e">
        <f t="shared" si="3"/>
        <v>#DIV/0!</v>
      </c>
      <c r="P21" s="121"/>
      <c r="Q21" s="121"/>
      <c r="R21" s="84" t="e">
        <f t="shared" si="4"/>
        <v>#DIV/0!</v>
      </c>
      <c r="S21" s="34"/>
      <c r="T21" s="34"/>
      <c r="U21" s="59"/>
      <c r="V21" s="34"/>
      <c r="W21" s="34"/>
      <c r="X21" s="84" t="e">
        <f t="shared" si="9"/>
        <v>#DIV/0!</v>
      </c>
      <c r="Y21" s="70"/>
      <c r="Z21" s="70"/>
      <c r="AA21" s="9"/>
      <c r="AB21" s="34"/>
      <c r="AC21" s="34"/>
      <c r="AD21" s="84" t="e">
        <f t="shared" si="12"/>
        <v>#DIV/0!</v>
      </c>
      <c r="AE21" s="34"/>
      <c r="AF21" s="34"/>
      <c r="AG21" s="84" t="e">
        <f t="shared" si="13"/>
        <v>#DIV/0!</v>
      </c>
      <c r="AH21" s="34"/>
      <c r="AI21" s="34"/>
      <c r="AJ21" s="9" t="e">
        <f t="shared" si="14"/>
        <v>#DIV/0!</v>
      </c>
      <c r="AK21" s="70"/>
      <c r="AL21" s="70"/>
      <c r="AM21" s="9"/>
      <c r="AN21" s="34"/>
      <c r="AO21" s="34"/>
      <c r="AP21" s="34"/>
      <c r="AQ21" s="34"/>
      <c r="AR21" s="34"/>
      <c r="AS21" s="34"/>
      <c r="AT21" s="57"/>
      <c r="AU21" s="57"/>
      <c r="AV21" s="9"/>
      <c r="AW21" s="57"/>
      <c r="AX21" s="15"/>
      <c r="AY21" s="19">
        <f t="shared" si="16"/>
        <v>0</v>
      </c>
      <c r="AZ21" s="19">
        <f t="shared" si="17"/>
        <v>0</v>
      </c>
      <c r="BA21" s="38">
        <f t="shared" si="18"/>
        <v>0</v>
      </c>
    </row>
    <row r="22" spans="1:53" ht="34.5" customHeight="1">
      <c r="A22" s="11" t="s">
        <v>19</v>
      </c>
      <c r="B22" s="60" t="s">
        <v>41</v>
      </c>
      <c r="C22" s="91">
        <v>10.2</v>
      </c>
      <c r="D22" s="34">
        <v>7</v>
      </c>
      <c r="E22" s="34">
        <v>8</v>
      </c>
      <c r="F22" s="9">
        <f t="shared" si="1"/>
        <v>114.28571428571428</v>
      </c>
      <c r="G22" s="34">
        <v>7.8</v>
      </c>
      <c r="H22" s="34">
        <v>2.7</v>
      </c>
      <c r="I22" s="9">
        <f t="shared" si="2"/>
        <v>34.61538461538462</v>
      </c>
      <c r="J22" s="34">
        <v>2.5</v>
      </c>
      <c r="K22" s="34">
        <v>2.700000000000001</v>
      </c>
      <c r="L22" s="9">
        <f t="shared" si="19"/>
        <v>108.00000000000006</v>
      </c>
      <c r="M22" s="70">
        <f t="shared" si="20"/>
        <v>17.3</v>
      </c>
      <c r="N22" s="70">
        <f t="shared" si="21"/>
        <v>13.4</v>
      </c>
      <c r="O22" s="9">
        <f t="shared" si="3"/>
        <v>77.45664739884393</v>
      </c>
      <c r="P22" s="34">
        <v>12.5</v>
      </c>
      <c r="Q22" s="34">
        <v>19.200000000000003</v>
      </c>
      <c r="R22" s="9">
        <f t="shared" si="4"/>
        <v>153.60000000000002</v>
      </c>
      <c r="S22" s="34">
        <v>1.9</v>
      </c>
      <c r="T22" s="34">
        <v>1.8</v>
      </c>
      <c r="U22" s="101">
        <f>T22/S22*100</f>
        <v>94.73684210526316</v>
      </c>
      <c r="V22" s="34">
        <v>13.2</v>
      </c>
      <c r="W22" s="34">
        <v>8.5</v>
      </c>
      <c r="X22" s="9">
        <f t="shared" si="9"/>
        <v>64.39393939393939</v>
      </c>
      <c r="Y22" s="70">
        <f aca="true" t="shared" si="27" ref="Y22:Z28">P22+S22+V22</f>
        <v>27.6</v>
      </c>
      <c r="Z22" s="70">
        <f t="shared" si="27"/>
        <v>29.500000000000004</v>
      </c>
      <c r="AA22" s="9">
        <f aca="true" t="shared" si="28" ref="AA22:AA28">Z22/Y22*100</f>
        <v>106.8840579710145</v>
      </c>
      <c r="AB22" s="34"/>
      <c r="AC22" s="34"/>
      <c r="AD22" s="9" t="e">
        <f t="shared" si="12"/>
        <v>#DIV/0!</v>
      </c>
      <c r="AE22" s="34"/>
      <c r="AF22" s="34"/>
      <c r="AG22" s="9" t="e">
        <f t="shared" si="13"/>
        <v>#DIV/0!</v>
      </c>
      <c r="AH22" s="34"/>
      <c r="AI22" s="34"/>
      <c r="AJ22" s="9" t="e">
        <f t="shared" si="14"/>
        <v>#DIV/0!</v>
      </c>
      <c r="AK22" s="70">
        <f t="shared" si="22"/>
        <v>0</v>
      </c>
      <c r="AL22" s="70">
        <f t="shared" si="23"/>
        <v>0</v>
      </c>
      <c r="AM22" s="9" t="e">
        <f aca="true" t="shared" si="29" ref="AM22:AM28">AL22/AK22*100</f>
        <v>#DIV/0!</v>
      </c>
      <c r="AN22" s="34"/>
      <c r="AO22" s="34"/>
      <c r="AP22" s="34"/>
      <c r="AQ22" s="34"/>
      <c r="AR22" s="34"/>
      <c r="AS22" s="34"/>
      <c r="AT22" s="57">
        <f t="shared" si="24"/>
        <v>44.900000000000006</v>
      </c>
      <c r="AU22" s="57">
        <f t="shared" si="25"/>
        <v>42.900000000000006</v>
      </c>
      <c r="AV22" s="9">
        <f t="shared" si="8"/>
        <v>95.54565701559021</v>
      </c>
      <c r="AW22" s="57">
        <f t="shared" si="26"/>
        <v>2</v>
      </c>
      <c r="AX22" s="15">
        <f aca="true" t="shared" si="30" ref="AX22:AX28">C22+AT22-AU22</f>
        <v>12.200000000000003</v>
      </c>
      <c r="AY22" s="19">
        <f t="shared" si="16"/>
        <v>44.900000000000006</v>
      </c>
      <c r="AZ22" s="19">
        <f t="shared" si="17"/>
        <v>42.900000000000006</v>
      </c>
      <c r="BA22" s="38">
        <f t="shared" si="18"/>
        <v>12.200000000000003</v>
      </c>
    </row>
    <row r="23" spans="1:53" ht="34.5" customHeight="1">
      <c r="A23" s="11" t="s">
        <v>20</v>
      </c>
      <c r="B23" s="60" t="s">
        <v>84</v>
      </c>
      <c r="C23" s="83">
        <v>1.7</v>
      </c>
      <c r="D23" s="34">
        <v>3.9</v>
      </c>
      <c r="E23" s="34">
        <v>3.2</v>
      </c>
      <c r="F23" s="9">
        <f t="shared" si="1"/>
        <v>82.05128205128206</v>
      </c>
      <c r="G23" s="34">
        <v>4.1</v>
      </c>
      <c r="H23" s="34">
        <v>1.7</v>
      </c>
      <c r="I23" s="9">
        <f t="shared" si="2"/>
        <v>41.463414634146346</v>
      </c>
      <c r="J23" s="34">
        <v>0.9</v>
      </c>
      <c r="K23" s="34">
        <v>2.7</v>
      </c>
      <c r="L23" s="9">
        <f t="shared" si="19"/>
        <v>300</v>
      </c>
      <c r="M23" s="70">
        <f t="shared" si="20"/>
        <v>8.9</v>
      </c>
      <c r="N23" s="70">
        <f t="shared" si="21"/>
        <v>7.6000000000000005</v>
      </c>
      <c r="O23" s="9">
        <f t="shared" si="3"/>
        <v>85.39325842696628</v>
      </c>
      <c r="P23" s="34">
        <v>2.3</v>
      </c>
      <c r="Q23" s="34">
        <v>0.8</v>
      </c>
      <c r="R23" s="9">
        <f t="shared" si="4"/>
        <v>34.78260869565218</v>
      </c>
      <c r="S23" s="34">
        <v>4.3</v>
      </c>
      <c r="T23" s="34">
        <v>3.7</v>
      </c>
      <c r="U23" s="9">
        <f>T23/S23*100</f>
        <v>86.04651162790698</v>
      </c>
      <c r="V23" s="34">
        <v>2.1</v>
      </c>
      <c r="W23" s="34">
        <v>2</v>
      </c>
      <c r="X23" s="9">
        <f t="shared" si="9"/>
        <v>95.23809523809523</v>
      </c>
      <c r="Y23" s="70">
        <f t="shared" si="27"/>
        <v>8.7</v>
      </c>
      <c r="Z23" s="70">
        <f t="shared" si="27"/>
        <v>6.5</v>
      </c>
      <c r="AA23" s="9">
        <f t="shared" si="28"/>
        <v>74.71264367816093</v>
      </c>
      <c r="AB23" s="34"/>
      <c r="AC23" s="34"/>
      <c r="AD23" s="9" t="e">
        <f t="shared" si="12"/>
        <v>#DIV/0!</v>
      </c>
      <c r="AE23" s="34"/>
      <c r="AF23" s="34"/>
      <c r="AG23" s="9" t="e">
        <f t="shared" si="13"/>
        <v>#DIV/0!</v>
      </c>
      <c r="AH23" s="34"/>
      <c r="AI23" s="34"/>
      <c r="AJ23" s="9" t="e">
        <f t="shared" si="14"/>
        <v>#DIV/0!</v>
      </c>
      <c r="AK23" s="70">
        <f t="shared" si="22"/>
        <v>0</v>
      </c>
      <c r="AL23" s="70">
        <f t="shared" si="23"/>
        <v>0</v>
      </c>
      <c r="AM23" s="9" t="e">
        <f t="shared" si="29"/>
        <v>#DIV/0!</v>
      </c>
      <c r="AN23" s="34"/>
      <c r="AO23" s="34"/>
      <c r="AP23" s="34"/>
      <c r="AQ23" s="34"/>
      <c r="AR23" s="34"/>
      <c r="AS23" s="34"/>
      <c r="AT23" s="57">
        <f t="shared" si="24"/>
        <v>17.6</v>
      </c>
      <c r="AU23" s="57">
        <f t="shared" si="25"/>
        <v>14.100000000000001</v>
      </c>
      <c r="AV23" s="9">
        <f t="shared" si="8"/>
        <v>80.11363636363636</v>
      </c>
      <c r="AW23" s="57">
        <f t="shared" si="26"/>
        <v>3.5</v>
      </c>
      <c r="AX23" s="15">
        <f t="shared" si="30"/>
        <v>5.199999999999999</v>
      </c>
      <c r="AY23" s="19">
        <f t="shared" si="16"/>
        <v>17.6</v>
      </c>
      <c r="AZ23" s="19">
        <f t="shared" si="17"/>
        <v>14.100000000000001</v>
      </c>
      <c r="BA23" s="38">
        <f t="shared" si="18"/>
        <v>5.199999999999999</v>
      </c>
    </row>
    <row r="24" spans="1:53" ht="34.5" customHeight="1">
      <c r="A24" s="11" t="s">
        <v>21</v>
      </c>
      <c r="B24" s="60" t="s">
        <v>40</v>
      </c>
      <c r="C24" s="83">
        <v>41.2</v>
      </c>
      <c r="D24" s="34">
        <v>154.3</v>
      </c>
      <c r="E24" s="34">
        <v>155.6</v>
      </c>
      <c r="F24" s="9">
        <f t="shared" si="1"/>
        <v>100.84251458198314</v>
      </c>
      <c r="G24" s="34">
        <v>184.7</v>
      </c>
      <c r="H24" s="34">
        <v>174.8</v>
      </c>
      <c r="I24" s="9">
        <f t="shared" si="2"/>
        <v>94.63995668651869</v>
      </c>
      <c r="J24" s="34">
        <v>153.5</v>
      </c>
      <c r="K24" s="34">
        <v>130.5</v>
      </c>
      <c r="L24" s="9">
        <f t="shared" si="19"/>
        <v>85.01628664495115</v>
      </c>
      <c r="M24" s="70">
        <f t="shared" si="20"/>
        <v>492.5</v>
      </c>
      <c r="N24" s="70">
        <f t="shared" si="21"/>
        <v>460.9</v>
      </c>
      <c r="O24" s="9">
        <f t="shared" si="3"/>
        <v>93.58375634517766</v>
      </c>
      <c r="P24" s="34">
        <v>149.5</v>
      </c>
      <c r="Q24" s="34">
        <v>172.7</v>
      </c>
      <c r="R24" s="9">
        <f t="shared" si="4"/>
        <v>115.51839464882943</v>
      </c>
      <c r="S24" s="34">
        <v>175.9</v>
      </c>
      <c r="T24" s="34">
        <v>144.6</v>
      </c>
      <c r="U24" s="9">
        <f>T24/S24*100</f>
        <v>82.20579874928936</v>
      </c>
      <c r="V24" s="34">
        <v>213.7</v>
      </c>
      <c r="W24" s="34">
        <v>227.5</v>
      </c>
      <c r="X24" s="9">
        <f t="shared" si="9"/>
        <v>106.45765091249415</v>
      </c>
      <c r="Y24" s="70">
        <f t="shared" si="27"/>
        <v>539.0999999999999</v>
      </c>
      <c r="Z24" s="70">
        <f t="shared" si="27"/>
        <v>544.8</v>
      </c>
      <c r="AA24" s="9">
        <f t="shared" si="28"/>
        <v>101.05731775180857</v>
      </c>
      <c r="AB24" s="34"/>
      <c r="AC24" s="34"/>
      <c r="AD24" s="9" t="e">
        <f t="shared" si="12"/>
        <v>#DIV/0!</v>
      </c>
      <c r="AE24" s="34"/>
      <c r="AF24" s="34"/>
      <c r="AG24" s="9" t="e">
        <f t="shared" si="13"/>
        <v>#DIV/0!</v>
      </c>
      <c r="AH24" s="34"/>
      <c r="AI24" s="34"/>
      <c r="AJ24" s="9" t="e">
        <f t="shared" si="14"/>
        <v>#DIV/0!</v>
      </c>
      <c r="AK24" s="70">
        <f t="shared" si="22"/>
        <v>0</v>
      </c>
      <c r="AL24" s="70">
        <f t="shared" si="23"/>
        <v>0</v>
      </c>
      <c r="AM24" s="9" t="e">
        <f t="shared" si="29"/>
        <v>#DIV/0!</v>
      </c>
      <c r="AN24" s="34"/>
      <c r="AO24" s="34"/>
      <c r="AP24" s="34"/>
      <c r="AQ24" s="34"/>
      <c r="AR24" s="34"/>
      <c r="AS24" s="34"/>
      <c r="AT24" s="57">
        <f t="shared" si="24"/>
        <v>1031.6</v>
      </c>
      <c r="AU24" s="57">
        <f t="shared" si="25"/>
        <v>1005.6999999999999</v>
      </c>
      <c r="AV24" s="9">
        <f t="shared" si="8"/>
        <v>97.4893369523071</v>
      </c>
      <c r="AW24" s="57">
        <f t="shared" si="26"/>
        <v>25.899999999999977</v>
      </c>
      <c r="AX24" s="15">
        <f t="shared" si="30"/>
        <v>67.10000000000002</v>
      </c>
      <c r="AY24" s="19">
        <f t="shared" si="16"/>
        <v>1031.6</v>
      </c>
      <c r="AZ24" s="19">
        <f t="shared" si="17"/>
        <v>1005.6999999999999</v>
      </c>
      <c r="BA24" s="38">
        <f t="shared" si="18"/>
        <v>67.10000000000002</v>
      </c>
    </row>
    <row r="25" spans="1:53" ht="34.5" customHeight="1">
      <c r="A25" s="11" t="s">
        <v>22</v>
      </c>
      <c r="B25" s="56" t="s">
        <v>43</v>
      </c>
      <c r="C25" s="83">
        <v>36.9</v>
      </c>
      <c r="D25" s="34">
        <v>31.3</v>
      </c>
      <c r="E25" s="34">
        <v>21.7</v>
      </c>
      <c r="F25" s="9">
        <f t="shared" si="1"/>
        <v>69.32907348242811</v>
      </c>
      <c r="G25" s="34">
        <v>34.4</v>
      </c>
      <c r="H25" s="34">
        <v>39.6</v>
      </c>
      <c r="I25" s="9">
        <f t="shared" si="2"/>
        <v>115.11627906976744</v>
      </c>
      <c r="J25" s="34">
        <v>26.18815</v>
      </c>
      <c r="K25" s="34">
        <v>21.78909</v>
      </c>
      <c r="L25" s="9">
        <f t="shared" si="19"/>
        <v>83.20209713171798</v>
      </c>
      <c r="M25" s="70">
        <f t="shared" si="20"/>
        <v>91.88815</v>
      </c>
      <c r="N25" s="70">
        <f t="shared" si="21"/>
        <v>83.08909</v>
      </c>
      <c r="O25" s="9">
        <f t="shared" si="3"/>
        <v>90.42416241920205</v>
      </c>
      <c r="P25" s="34">
        <v>24.24095</v>
      </c>
      <c r="Q25" s="34">
        <v>35.69396</v>
      </c>
      <c r="R25" s="9">
        <f t="shared" si="4"/>
        <v>147.24653943017907</v>
      </c>
      <c r="S25" s="34">
        <v>25.1</v>
      </c>
      <c r="T25" s="34">
        <v>20.6</v>
      </c>
      <c r="U25" s="9">
        <f>T25/S25*100</f>
        <v>82.07171314741036</v>
      </c>
      <c r="V25" s="34">
        <v>23.1</v>
      </c>
      <c r="W25" s="34">
        <v>28.7</v>
      </c>
      <c r="X25" s="9">
        <f>W25/V25*100</f>
        <v>124.24242424242422</v>
      </c>
      <c r="Y25" s="70">
        <f t="shared" si="27"/>
        <v>72.44095000000002</v>
      </c>
      <c r="Z25" s="70">
        <f t="shared" si="27"/>
        <v>84.99396</v>
      </c>
      <c r="AA25" s="9">
        <f t="shared" si="28"/>
        <v>117.32861040613076</v>
      </c>
      <c r="AB25" s="34"/>
      <c r="AC25" s="34"/>
      <c r="AD25" s="9" t="e">
        <f t="shared" si="12"/>
        <v>#DIV/0!</v>
      </c>
      <c r="AE25" s="34"/>
      <c r="AF25" s="34"/>
      <c r="AG25" s="9" t="e">
        <f t="shared" si="13"/>
        <v>#DIV/0!</v>
      </c>
      <c r="AH25" s="34"/>
      <c r="AI25" s="34"/>
      <c r="AJ25" s="9" t="e">
        <f t="shared" si="14"/>
        <v>#DIV/0!</v>
      </c>
      <c r="AK25" s="70">
        <f t="shared" si="22"/>
        <v>0</v>
      </c>
      <c r="AL25" s="70">
        <f t="shared" si="23"/>
        <v>0</v>
      </c>
      <c r="AM25" s="9" t="e">
        <f t="shared" si="29"/>
        <v>#DIV/0!</v>
      </c>
      <c r="AN25" s="34"/>
      <c r="AO25" s="34"/>
      <c r="AP25" s="34"/>
      <c r="AQ25" s="34"/>
      <c r="AR25" s="34"/>
      <c r="AS25" s="34"/>
      <c r="AT25" s="57">
        <f t="shared" si="24"/>
        <v>164.3291</v>
      </c>
      <c r="AU25" s="57">
        <f t="shared" si="25"/>
        <v>168.08305000000001</v>
      </c>
      <c r="AV25" s="9">
        <f t="shared" si="8"/>
        <v>102.28440976065711</v>
      </c>
      <c r="AW25" s="57">
        <f t="shared" si="26"/>
        <v>-3.7539500000000032</v>
      </c>
      <c r="AX25" s="15">
        <f t="shared" si="30"/>
        <v>33.14605</v>
      </c>
      <c r="AY25" s="19">
        <f t="shared" si="16"/>
        <v>164.3291</v>
      </c>
      <c r="AZ25" s="19">
        <f t="shared" si="17"/>
        <v>168.08305000000001</v>
      </c>
      <c r="BA25" s="38">
        <f t="shared" si="18"/>
        <v>33.14605</v>
      </c>
    </row>
    <row r="26" spans="1:53" ht="34.5" customHeight="1">
      <c r="A26" s="11" t="s">
        <v>23</v>
      </c>
      <c r="B26" s="60" t="s">
        <v>85</v>
      </c>
      <c r="C26" s="83">
        <v>0.8</v>
      </c>
      <c r="D26" s="34">
        <v>1.8</v>
      </c>
      <c r="E26" s="34">
        <v>1.2</v>
      </c>
      <c r="F26" s="9">
        <f t="shared" si="1"/>
        <v>66.66666666666666</v>
      </c>
      <c r="G26" s="34">
        <v>1.6</v>
      </c>
      <c r="H26" s="34">
        <v>1.7</v>
      </c>
      <c r="I26" s="9">
        <f t="shared" si="2"/>
        <v>106.25</v>
      </c>
      <c r="J26" s="34">
        <v>1.5</v>
      </c>
      <c r="K26" s="34">
        <v>1.7</v>
      </c>
      <c r="L26" s="9">
        <f t="shared" si="19"/>
        <v>113.33333333333333</v>
      </c>
      <c r="M26" s="70">
        <f t="shared" si="20"/>
        <v>4.9</v>
      </c>
      <c r="N26" s="70">
        <f t="shared" si="21"/>
        <v>4.6</v>
      </c>
      <c r="O26" s="9">
        <f t="shared" si="3"/>
        <v>93.87755102040815</v>
      </c>
      <c r="P26" s="34">
        <v>0.5</v>
      </c>
      <c r="Q26" s="34">
        <v>1.3</v>
      </c>
      <c r="R26" s="9">
        <f t="shared" si="4"/>
        <v>260</v>
      </c>
      <c r="S26" s="34">
        <v>0.2</v>
      </c>
      <c r="T26" s="34">
        <v>0.2</v>
      </c>
      <c r="U26" s="9">
        <v>0</v>
      </c>
      <c r="V26" s="34">
        <v>0.1</v>
      </c>
      <c r="W26" s="34">
        <v>0.1</v>
      </c>
      <c r="X26" s="9">
        <v>0</v>
      </c>
      <c r="Y26" s="70">
        <f t="shared" si="27"/>
        <v>0.7999999999999999</v>
      </c>
      <c r="Z26" s="70">
        <f t="shared" si="27"/>
        <v>1.6</v>
      </c>
      <c r="AA26" s="9">
        <f t="shared" si="28"/>
        <v>200.00000000000006</v>
      </c>
      <c r="AB26" s="34"/>
      <c r="AC26" s="34"/>
      <c r="AD26" s="9" t="e">
        <f t="shared" si="12"/>
        <v>#DIV/0!</v>
      </c>
      <c r="AE26" s="34"/>
      <c r="AF26" s="34"/>
      <c r="AG26" s="9" t="e">
        <f t="shared" si="13"/>
        <v>#DIV/0!</v>
      </c>
      <c r="AH26" s="34"/>
      <c r="AI26" s="34"/>
      <c r="AJ26" s="9" t="e">
        <f t="shared" si="14"/>
        <v>#DIV/0!</v>
      </c>
      <c r="AK26" s="70">
        <f t="shared" si="22"/>
        <v>0</v>
      </c>
      <c r="AL26" s="70">
        <f t="shared" si="23"/>
        <v>0</v>
      </c>
      <c r="AM26" s="9" t="e">
        <f t="shared" si="29"/>
        <v>#DIV/0!</v>
      </c>
      <c r="AN26" s="34"/>
      <c r="AO26" s="34"/>
      <c r="AP26" s="34"/>
      <c r="AQ26" s="34"/>
      <c r="AR26" s="34"/>
      <c r="AS26" s="34"/>
      <c r="AT26" s="57">
        <f t="shared" si="24"/>
        <v>5.7</v>
      </c>
      <c r="AU26" s="57">
        <f t="shared" si="25"/>
        <v>6.199999999999999</v>
      </c>
      <c r="AV26" s="9">
        <f t="shared" si="8"/>
        <v>108.77192982456138</v>
      </c>
      <c r="AW26" s="57">
        <f t="shared" si="26"/>
        <v>-0.4999999999999991</v>
      </c>
      <c r="AX26" s="15">
        <f t="shared" si="30"/>
        <v>0.3000000000000007</v>
      </c>
      <c r="AY26" s="19">
        <f t="shared" si="16"/>
        <v>5.7</v>
      </c>
      <c r="AZ26" s="19">
        <f t="shared" si="17"/>
        <v>6.199999999999999</v>
      </c>
      <c r="BA26" s="38">
        <f t="shared" si="18"/>
        <v>0.3000000000000007</v>
      </c>
    </row>
    <row r="27" spans="1:53" ht="34.5" customHeight="1">
      <c r="A27" s="11" t="s">
        <v>24</v>
      </c>
      <c r="B27" s="60" t="s">
        <v>59</v>
      </c>
      <c r="C27" s="83">
        <v>0</v>
      </c>
      <c r="D27" s="34">
        <v>5.6</v>
      </c>
      <c r="E27" s="34">
        <v>5.6</v>
      </c>
      <c r="F27" s="9">
        <f t="shared" si="1"/>
        <v>100</v>
      </c>
      <c r="G27" s="34">
        <v>7.3</v>
      </c>
      <c r="H27" s="34">
        <v>7.3</v>
      </c>
      <c r="I27" s="9">
        <f t="shared" si="2"/>
        <v>100</v>
      </c>
      <c r="J27" s="34">
        <v>11.1</v>
      </c>
      <c r="K27" s="34">
        <v>11.1</v>
      </c>
      <c r="L27" s="9">
        <f t="shared" si="19"/>
        <v>100</v>
      </c>
      <c r="M27" s="70">
        <f t="shared" si="20"/>
        <v>24</v>
      </c>
      <c r="N27" s="70">
        <f t="shared" si="21"/>
        <v>24</v>
      </c>
      <c r="O27" s="9">
        <f t="shared" si="3"/>
        <v>100</v>
      </c>
      <c r="P27" s="34">
        <v>12.4</v>
      </c>
      <c r="Q27" s="34">
        <v>12.4</v>
      </c>
      <c r="R27" s="9">
        <f t="shared" si="4"/>
        <v>100</v>
      </c>
      <c r="S27" s="34">
        <v>0</v>
      </c>
      <c r="T27" s="34">
        <v>0</v>
      </c>
      <c r="U27" s="9">
        <v>0</v>
      </c>
      <c r="V27" s="34">
        <v>7.9</v>
      </c>
      <c r="W27" s="34">
        <v>7.9</v>
      </c>
      <c r="X27" s="9">
        <v>0</v>
      </c>
      <c r="Y27" s="70">
        <f t="shared" si="27"/>
        <v>20.3</v>
      </c>
      <c r="Z27" s="70">
        <f t="shared" si="27"/>
        <v>20.3</v>
      </c>
      <c r="AA27" s="9">
        <f t="shared" si="28"/>
        <v>100</v>
      </c>
      <c r="AB27" s="34"/>
      <c r="AC27" s="34"/>
      <c r="AD27" s="9" t="e">
        <f t="shared" si="12"/>
        <v>#DIV/0!</v>
      </c>
      <c r="AE27" s="34"/>
      <c r="AF27" s="34"/>
      <c r="AG27" s="9" t="e">
        <f t="shared" si="13"/>
        <v>#DIV/0!</v>
      </c>
      <c r="AH27" s="34"/>
      <c r="AI27" s="34"/>
      <c r="AJ27" s="9" t="e">
        <f t="shared" si="14"/>
        <v>#DIV/0!</v>
      </c>
      <c r="AK27" s="70">
        <f t="shared" si="22"/>
        <v>0</v>
      </c>
      <c r="AL27" s="70">
        <f t="shared" si="23"/>
        <v>0</v>
      </c>
      <c r="AM27" s="9" t="e">
        <f t="shared" si="29"/>
        <v>#DIV/0!</v>
      </c>
      <c r="AN27" s="34"/>
      <c r="AO27" s="34"/>
      <c r="AP27" s="34"/>
      <c r="AQ27" s="34"/>
      <c r="AR27" s="34"/>
      <c r="AS27" s="34"/>
      <c r="AT27" s="57">
        <f t="shared" si="24"/>
        <v>44.3</v>
      </c>
      <c r="AU27" s="57">
        <f t="shared" si="25"/>
        <v>44.3</v>
      </c>
      <c r="AV27" s="9">
        <f t="shared" si="8"/>
        <v>100</v>
      </c>
      <c r="AW27" s="57">
        <f t="shared" si="26"/>
        <v>0</v>
      </c>
      <c r="AX27" s="15">
        <f t="shared" si="30"/>
        <v>0</v>
      </c>
      <c r="AY27" s="19">
        <f t="shared" si="16"/>
        <v>44.3</v>
      </c>
      <c r="AZ27" s="19">
        <f t="shared" si="17"/>
        <v>44.3</v>
      </c>
      <c r="BA27" s="38">
        <f t="shared" si="18"/>
        <v>0</v>
      </c>
    </row>
    <row r="28" spans="1:53" ht="34.5" customHeight="1">
      <c r="A28" s="11" t="s">
        <v>25</v>
      </c>
      <c r="B28" s="112" t="s">
        <v>86</v>
      </c>
      <c r="C28" s="90">
        <v>124.4</v>
      </c>
      <c r="D28" s="34">
        <v>90.8</v>
      </c>
      <c r="E28" s="34">
        <v>82</v>
      </c>
      <c r="F28" s="9">
        <f t="shared" si="1"/>
        <v>90.30837004405286</v>
      </c>
      <c r="G28" s="34">
        <v>97.1</v>
      </c>
      <c r="H28" s="34">
        <v>103.1</v>
      </c>
      <c r="I28" s="9">
        <f t="shared" si="2"/>
        <v>106.17919670442843</v>
      </c>
      <c r="J28" s="34">
        <v>81.2</v>
      </c>
      <c r="K28" s="34">
        <v>105</v>
      </c>
      <c r="L28" s="9">
        <f t="shared" si="19"/>
        <v>129.31034482758622</v>
      </c>
      <c r="M28" s="70">
        <f t="shared" si="20"/>
        <v>269.09999999999997</v>
      </c>
      <c r="N28" s="70">
        <f t="shared" si="21"/>
        <v>290.1</v>
      </c>
      <c r="O28" s="9">
        <f t="shared" si="3"/>
        <v>107.8037904124861</v>
      </c>
      <c r="P28" s="34">
        <v>100.8</v>
      </c>
      <c r="Q28" s="34">
        <v>113.8</v>
      </c>
      <c r="R28" s="9">
        <f t="shared" si="4"/>
        <v>112.89682539682539</v>
      </c>
      <c r="S28" s="34">
        <v>76.9</v>
      </c>
      <c r="T28" s="34">
        <v>66</v>
      </c>
      <c r="U28" s="9">
        <v>0</v>
      </c>
      <c r="V28" s="34">
        <v>104.6</v>
      </c>
      <c r="W28" s="34">
        <v>99.5</v>
      </c>
      <c r="X28" s="9">
        <v>0</v>
      </c>
      <c r="Y28" s="70">
        <f t="shared" si="27"/>
        <v>282.29999999999995</v>
      </c>
      <c r="Z28" s="70">
        <f t="shared" si="27"/>
        <v>279.3</v>
      </c>
      <c r="AA28" s="9">
        <f t="shared" si="28"/>
        <v>98.9373007438895</v>
      </c>
      <c r="AB28" s="34"/>
      <c r="AC28" s="34"/>
      <c r="AD28" s="9" t="e">
        <f t="shared" si="12"/>
        <v>#DIV/0!</v>
      </c>
      <c r="AE28" s="34"/>
      <c r="AF28" s="78"/>
      <c r="AG28" s="9" t="e">
        <f t="shared" si="13"/>
        <v>#DIV/0!</v>
      </c>
      <c r="AH28" s="34"/>
      <c r="AI28" s="78"/>
      <c r="AJ28" s="9" t="e">
        <f t="shared" si="14"/>
        <v>#DIV/0!</v>
      </c>
      <c r="AK28" s="70">
        <f t="shared" si="22"/>
        <v>0</v>
      </c>
      <c r="AL28" s="70">
        <f t="shared" si="23"/>
        <v>0</v>
      </c>
      <c r="AM28" s="9" t="e">
        <f t="shared" si="29"/>
        <v>#DIV/0!</v>
      </c>
      <c r="AN28" s="34"/>
      <c r="AO28" s="78"/>
      <c r="AP28" s="34"/>
      <c r="AQ28" s="78"/>
      <c r="AR28" s="34"/>
      <c r="AS28" s="78"/>
      <c r="AT28" s="57">
        <f t="shared" si="24"/>
        <v>551.3999999999999</v>
      </c>
      <c r="AU28" s="57">
        <f t="shared" si="25"/>
        <v>569.4000000000001</v>
      </c>
      <c r="AV28" s="9">
        <f t="shared" si="8"/>
        <v>103.26441784548426</v>
      </c>
      <c r="AW28" s="57">
        <f t="shared" si="26"/>
        <v>-18.000000000000227</v>
      </c>
      <c r="AX28" s="15">
        <f t="shared" si="30"/>
        <v>106.39999999999975</v>
      </c>
      <c r="AY28" s="19">
        <f t="shared" si="16"/>
        <v>551.3999999999999</v>
      </c>
      <c r="AZ28" s="19">
        <f t="shared" si="17"/>
        <v>569.4000000000001</v>
      </c>
      <c r="BA28" s="38">
        <f t="shared" si="18"/>
        <v>106.39999999999975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84" t="e">
        <f t="shared" si="1"/>
        <v>#DIV/0!</v>
      </c>
      <c r="G29" s="61"/>
      <c r="H29" s="61"/>
      <c r="I29" s="84" t="e">
        <f t="shared" si="2"/>
        <v>#DIV/0!</v>
      </c>
      <c r="J29" s="61"/>
      <c r="K29" s="61"/>
      <c r="L29" s="84" t="e">
        <f t="shared" si="19"/>
        <v>#DIV/0!</v>
      </c>
      <c r="M29" s="122">
        <f t="shared" si="20"/>
        <v>0</v>
      </c>
      <c r="N29" s="122">
        <f t="shared" si="21"/>
        <v>0</v>
      </c>
      <c r="O29" s="84" t="e">
        <f t="shared" si="3"/>
        <v>#DIV/0!</v>
      </c>
      <c r="P29" s="138"/>
      <c r="Q29" s="138"/>
      <c r="R29" s="84" t="e">
        <f t="shared" si="4"/>
        <v>#DIV/0!</v>
      </c>
      <c r="S29" s="61"/>
      <c r="T29" s="61"/>
      <c r="U29" s="61"/>
      <c r="V29" s="61"/>
      <c r="W29" s="61"/>
      <c r="X29" s="61"/>
      <c r="Y29" s="70"/>
      <c r="Z29" s="70"/>
      <c r="AA29" s="9"/>
      <c r="AB29" s="61"/>
      <c r="AC29" s="61"/>
      <c r="AD29" s="84" t="e">
        <f t="shared" si="12"/>
        <v>#DIV/0!</v>
      </c>
      <c r="AE29" s="52"/>
      <c r="AF29" s="52"/>
      <c r="AG29" s="84" t="e">
        <f t="shared" si="13"/>
        <v>#DIV/0!</v>
      </c>
      <c r="AH29" s="52"/>
      <c r="AI29" s="52"/>
      <c r="AJ29" s="9" t="e">
        <f t="shared" si="14"/>
        <v>#DIV/0!</v>
      </c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16"/>
        <v>0</v>
      </c>
      <c r="AZ29" s="19">
        <f t="shared" si="17"/>
        <v>0</v>
      </c>
      <c r="BA29" s="38">
        <f t="shared" si="18"/>
        <v>0</v>
      </c>
    </row>
    <row r="30" spans="1:53" ht="34.5" customHeight="1">
      <c r="A30" s="11" t="s">
        <v>27</v>
      </c>
      <c r="B30" s="60" t="s">
        <v>39</v>
      </c>
      <c r="C30" s="92">
        <v>10.5</v>
      </c>
      <c r="D30" s="34">
        <v>15.8</v>
      </c>
      <c r="E30" s="34">
        <v>14.6</v>
      </c>
      <c r="F30" s="9">
        <f t="shared" si="1"/>
        <v>92.40506329113923</v>
      </c>
      <c r="G30" s="34">
        <v>14</v>
      </c>
      <c r="H30" s="34">
        <v>18</v>
      </c>
      <c r="I30" s="9">
        <f t="shared" si="2"/>
        <v>128.57142857142858</v>
      </c>
      <c r="J30" s="34">
        <v>11</v>
      </c>
      <c r="K30" s="34">
        <v>9.6</v>
      </c>
      <c r="L30" s="9">
        <f t="shared" si="19"/>
        <v>87.27272727272727</v>
      </c>
      <c r="M30" s="70">
        <f t="shared" si="20"/>
        <v>40.8</v>
      </c>
      <c r="N30" s="70">
        <f t="shared" si="21"/>
        <v>42.2</v>
      </c>
      <c r="O30" s="9">
        <f t="shared" si="3"/>
        <v>103.43137254901961</v>
      </c>
      <c r="P30" s="34">
        <v>11.4</v>
      </c>
      <c r="Q30" s="34">
        <v>8.7</v>
      </c>
      <c r="R30" s="9">
        <f t="shared" si="4"/>
        <v>76.3157894736842</v>
      </c>
      <c r="S30" s="34">
        <v>12.6</v>
      </c>
      <c r="T30" s="34">
        <v>13.6</v>
      </c>
      <c r="U30" s="101">
        <f aca="true" t="shared" si="31" ref="U30:U45">T30/S30*100</f>
        <v>107.93650793650794</v>
      </c>
      <c r="V30" s="34">
        <v>17.7</v>
      </c>
      <c r="W30" s="34">
        <v>17.3</v>
      </c>
      <c r="X30" s="101">
        <f aca="true" t="shared" si="32" ref="X30:X45">W30/V30*100</f>
        <v>97.7401129943503</v>
      </c>
      <c r="Y30" s="70">
        <f aca="true" t="shared" si="33" ref="Y30:Y42">P30+S30+V30</f>
        <v>41.7</v>
      </c>
      <c r="Z30" s="70">
        <f aca="true" t="shared" si="34" ref="Z30:Z42">Q30+T30+W30</f>
        <v>39.599999999999994</v>
      </c>
      <c r="AA30" s="9">
        <f aca="true" t="shared" si="35" ref="AA30:AA45">Z30/Y30*100</f>
        <v>94.9640287769784</v>
      </c>
      <c r="AB30" s="34"/>
      <c r="AC30" s="34"/>
      <c r="AD30" s="9" t="e">
        <f t="shared" si="12"/>
        <v>#DIV/0!</v>
      </c>
      <c r="AE30" s="34"/>
      <c r="AF30" s="34"/>
      <c r="AG30" s="9" t="e">
        <f t="shared" si="13"/>
        <v>#DIV/0!</v>
      </c>
      <c r="AH30" s="34"/>
      <c r="AI30" s="34"/>
      <c r="AJ30" s="9" t="e">
        <f t="shared" si="14"/>
        <v>#DIV/0!</v>
      </c>
      <c r="AK30" s="70">
        <f t="shared" si="22"/>
        <v>0</v>
      </c>
      <c r="AL30" s="70">
        <f t="shared" si="23"/>
        <v>0</v>
      </c>
      <c r="AM30" s="9" t="e">
        <f aca="true" t="shared" si="36" ref="AM30:AM45">AL30/AK30*100</f>
        <v>#DIV/0!</v>
      </c>
      <c r="AN30" s="34"/>
      <c r="AO30" s="34"/>
      <c r="AP30" s="34"/>
      <c r="AQ30" s="34"/>
      <c r="AR30" s="34"/>
      <c r="AS30" s="34"/>
      <c r="AT30" s="57">
        <f t="shared" si="24"/>
        <v>82.5</v>
      </c>
      <c r="AU30" s="57">
        <f t="shared" si="25"/>
        <v>81.8</v>
      </c>
      <c r="AV30" s="9">
        <f t="shared" si="8"/>
        <v>99.15151515151514</v>
      </c>
      <c r="AW30" s="57">
        <f aca="true" t="shared" si="37" ref="AW30:AW44">AT30-AU30</f>
        <v>0.7000000000000028</v>
      </c>
      <c r="AX30" s="15">
        <f aca="true" t="shared" si="38" ref="AX30:AX42">C30+AT30-AU30</f>
        <v>11.200000000000003</v>
      </c>
      <c r="AY30" s="19">
        <f t="shared" si="16"/>
        <v>82.5</v>
      </c>
      <c r="AZ30" s="19">
        <f t="shared" si="17"/>
        <v>81.8</v>
      </c>
      <c r="BA30" s="38">
        <f t="shared" si="18"/>
        <v>11.200000000000003</v>
      </c>
    </row>
    <row r="31" spans="1:53" ht="34.5" customHeight="1">
      <c r="A31" s="11" t="s">
        <v>28</v>
      </c>
      <c r="B31" s="60" t="s">
        <v>3</v>
      </c>
      <c r="C31" s="83">
        <v>3.7</v>
      </c>
      <c r="D31" s="34">
        <v>9.6</v>
      </c>
      <c r="E31" s="34">
        <v>7.7</v>
      </c>
      <c r="F31" s="9">
        <f t="shared" si="1"/>
        <v>80.20833333333334</v>
      </c>
      <c r="G31" s="34">
        <v>8.5</v>
      </c>
      <c r="H31" s="34">
        <v>9.3</v>
      </c>
      <c r="I31" s="9">
        <f t="shared" si="2"/>
        <v>109.41176470588236</v>
      </c>
      <c r="J31" s="34">
        <v>8.2</v>
      </c>
      <c r="K31" s="34">
        <v>10.6</v>
      </c>
      <c r="L31" s="9">
        <f t="shared" si="19"/>
        <v>129.26829268292684</v>
      </c>
      <c r="M31" s="70">
        <f t="shared" si="20"/>
        <v>26.3</v>
      </c>
      <c r="N31" s="70">
        <f t="shared" si="21"/>
        <v>27.6</v>
      </c>
      <c r="O31" s="9">
        <f t="shared" si="3"/>
        <v>104.94296577946768</v>
      </c>
      <c r="P31" s="34">
        <v>8.1</v>
      </c>
      <c r="Q31" s="34">
        <v>6.5</v>
      </c>
      <c r="R31" s="9">
        <f t="shared" si="4"/>
        <v>80.24691358024691</v>
      </c>
      <c r="S31" s="34">
        <v>17.2</v>
      </c>
      <c r="T31" s="34">
        <v>15.8</v>
      </c>
      <c r="U31" s="9">
        <f t="shared" si="31"/>
        <v>91.86046511627907</v>
      </c>
      <c r="V31" s="34">
        <v>13.8</v>
      </c>
      <c r="W31" s="34">
        <v>13.1</v>
      </c>
      <c r="X31" s="9">
        <f t="shared" si="32"/>
        <v>94.92753623188405</v>
      </c>
      <c r="Y31" s="70">
        <f t="shared" si="33"/>
        <v>39.099999999999994</v>
      </c>
      <c r="Z31" s="70">
        <f t="shared" si="34"/>
        <v>35.4</v>
      </c>
      <c r="AA31" s="9">
        <f t="shared" si="35"/>
        <v>90.537084398977</v>
      </c>
      <c r="AB31" s="34"/>
      <c r="AC31" s="34"/>
      <c r="AD31" s="9" t="e">
        <f t="shared" si="12"/>
        <v>#DIV/0!</v>
      </c>
      <c r="AE31" s="34"/>
      <c r="AF31" s="34"/>
      <c r="AG31" s="9" t="e">
        <f t="shared" si="13"/>
        <v>#DIV/0!</v>
      </c>
      <c r="AH31" s="34"/>
      <c r="AI31" s="34"/>
      <c r="AJ31" s="9" t="e">
        <f t="shared" si="14"/>
        <v>#DIV/0!</v>
      </c>
      <c r="AK31" s="70">
        <f t="shared" si="22"/>
        <v>0</v>
      </c>
      <c r="AL31" s="70">
        <f t="shared" si="23"/>
        <v>0</v>
      </c>
      <c r="AM31" s="9" t="e">
        <f t="shared" si="36"/>
        <v>#DIV/0!</v>
      </c>
      <c r="AN31" s="34"/>
      <c r="AO31" s="34"/>
      <c r="AP31" s="34"/>
      <c r="AQ31" s="34"/>
      <c r="AR31" s="34"/>
      <c r="AS31" s="34"/>
      <c r="AT31" s="57">
        <f t="shared" si="24"/>
        <v>65.39999999999999</v>
      </c>
      <c r="AU31" s="57">
        <f t="shared" si="25"/>
        <v>63</v>
      </c>
      <c r="AV31" s="9">
        <f t="shared" si="8"/>
        <v>96.33027522935781</v>
      </c>
      <c r="AW31" s="57">
        <f t="shared" si="37"/>
        <v>2.3999999999999915</v>
      </c>
      <c r="AX31" s="15">
        <f t="shared" si="38"/>
        <v>6.099999999999994</v>
      </c>
      <c r="AY31" s="19">
        <f t="shared" si="16"/>
        <v>65.39999999999999</v>
      </c>
      <c r="AZ31" s="19">
        <f t="shared" si="17"/>
        <v>63</v>
      </c>
      <c r="BA31" s="38">
        <f t="shared" si="18"/>
        <v>6.099999999999994</v>
      </c>
    </row>
    <row r="32" spans="1:53" ht="34.5" customHeight="1">
      <c r="A32" s="11" t="s">
        <v>29</v>
      </c>
      <c r="B32" s="60" t="s">
        <v>87</v>
      </c>
      <c r="C32" s="66">
        <f>SUM(C33:C34)</f>
        <v>567.9000000000001</v>
      </c>
      <c r="D32" s="66">
        <f>SUM(D33:D34)</f>
        <v>227.6</v>
      </c>
      <c r="E32" s="66">
        <f>SUM(E33:E34)</f>
        <v>220.5</v>
      </c>
      <c r="F32" s="9">
        <f t="shared" si="1"/>
        <v>96.8804920913884</v>
      </c>
      <c r="G32" s="66">
        <f>SUM(G33:G34)</f>
        <v>190.4</v>
      </c>
      <c r="H32" s="66">
        <f>SUM(H33:H34)</f>
        <v>103.1</v>
      </c>
      <c r="I32" s="9">
        <f t="shared" si="2"/>
        <v>54.14915966386554</v>
      </c>
      <c r="J32" s="66">
        <f>SUM(J33:J34)</f>
        <v>156.84329</v>
      </c>
      <c r="K32" s="66">
        <f>SUM(K33:K34)</f>
        <v>187.1015</v>
      </c>
      <c r="L32" s="9">
        <f t="shared" si="19"/>
        <v>119.29200158961216</v>
      </c>
      <c r="M32" s="9">
        <f>M33+M34</f>
        <v>574.84329</v>
      </c>
      <c r="N32" s="9">
        <f>N33+N34</f>
        <v>510.7015</v>
      </c>
      <c r="O32" s="9">
        <f t="shared" si="3"/>
        <v>88.8418650585623</v>
      </c>
      <c r="P32" s="9">
        <f aca="true" t="shared" si="39" ref="P32:AS32">P33+P34</f>
        <v>141.60000000000002</v>
      </c>
      <c r="Q32" s="9">
        <f t="shared" si="39"/>
        <v>183.7</v>
      </c>
      <c r="R32" s="9">
        <f t="shared" si="4"/>
        <v>129.73163841807906</v>
      </c>
      <c r="S32" s="9">
        <f t="shared" si="39"/>
        <v>170.4</v>
      </c>
      <c r="T32" s="9">
        <f t="shared" si="39"/>
        <v>152.5</v>
      </c>
      <c r="U32" s="9">
        <f t="shared" si="39"/>
        <v>190.76650452193186</v>
      </c>
      <c r="V32" s="9">
        <f t="shared" si="39"/>
        <v>162.2</v>
      </c>
      <c r="W32" s="9">
        <f t="shared" si="39"/>
        <v>247.6</v>
      </c>
      <c r="X32" s="9">
        <f t="shared" si="39"/>
        <v>304.9374548496255</v>
      </c>
      <c r="Y32" s="9">
        <f t="shared" si="39"/>
        <v>474.20000000000005</v>
      </c>
      <c r="Z32" s="9">
        <f t="shared" si="39"/>
        <v>583.8</v>
      </c>
      <c r="AA32" s="9">
        <f t="shared" si="35"/>
        <v>123.11261071277939</v>
      </c>
      <c r="AB32" s="9">
        <f t="shared" si="39"/>
        <v>0</v>
      </c>
      <c r="AC32" s="9">
        <f t="shared" si="39"/>
        <v>0</v>
      </c>
      <c r="AD32" s="9" t="e">
        <f t="shared" si="39"/>
        <v>#DIV/0!</v>
      </c>
      <c r="AE32" s="9">
        <f t="shared" si="39"/>
        <v>0</v>
      </c>
      <c r="AF32" s="9">
        <f t="shared" si="39"/>
        <v>0</v>
      </c>
      <c r="AG32" s="9" t="e">
        <f t="shared" si="39"/>
        <v>#DIV/0!</v>
      </c>
      <c r="AH32" s="9">
        <f t="shared" si="39"/>
        <v>0</v>
      </c>
      <c r="AI32" s="9">
        <f t="shared" si="39"/>
        <v>0</v>
      </c>
      <c r="AJ32" s="9" t="e">
        <f t="shared" si="39"/>
        <v>#DIV/0!</v>
      </c>
      <c r="AK32" s="9">
        <f t="shared" si="39"/>
        <v>0</v>
      </c>
      <c r="AL32" s="9">
        <f t="shared" si="39"/>
        <v>0</v>
      </c>
      <c r="AM32" s="9" t="e">
        <f t="shared" si="36"/>
        <v>#DIV/0!</v>
      </c>
      <c r="AN32" s="9">
        <f t="shared" si="39"/>
        <v>0</v>
      </c>
      <c r="AO32" s="9">
        <f t="shared" si="39"/>
        <v>0</v>
      </c>
      <c r="AP32" s="9">
        <f t="shared" si="39"/>
        <v>0</v>
      </c>
      <c r="AQ32" s="9">
        <f t="shared" si="39"/>
        <v>0</v>
      </c>
      <c r="AR32" s="9">
        <f t="shared" si="39"/>
        <v>0</v>
      </c>
      <c r="AS32" s="9">
        <f t="shared" si="39"/>
        <v>0</v>
      </c>
      <c r="AT32" s="66">
        <f>SUM(AT33:AT34)</f>
        <v>1049.04329</v>
      </c>
      <c r="AU32" s="66">
        <f>SUM(AU33:AU34)</f>
        <v>1094.5014999999999</v>
      </c>
      <c r="AV32" s="9">
        <f t="shared" si="8"/>
        <v>104.33330163143218</v>
      </c>
      <c r="AW32" s="66">
        <f>SUM(AW33:AW34)</f>
        <v>-45.45821000000001</v>
      </c>
      <c r="AX32" s="66">
        <f>SUM(AX33:AX34)</f>
        <v>522.4417900000001</v>
      </c>
      <c r="AY32" s="19">
        <f t="shared" si="16"/>
        <v>1049.04329</v>
      </c>
      <c r="AZ32" s="19">
        <f t="shared" si="17"/>
        <v>1094.5014999999999</v>
      </c>
      <c r="BA32" s="38">
        <f t="shared" si="18"/>
        <v>522.4417900000003</v>
      </c>
    </row>
    <row r="33" spans="1:53" ht="34.5" customHeight="1">
      <c r="A33" s="11"/>
      <c r="B33" s="60" t="s">
        <v>100</v>
      </c>
      <c r="C33" s="83">
        <v>141.8</v>
      </c>
      <c r="D33" s="78">
        <v>98</v>
      </c>
      <c r="E33" s="78">
        <v>122.4</v>
      </c>
      <c r="F33" s="53">
        <f>E33/D33*100</f>
        <v>124.89795918367348</v>
      </c>
      <c r="G33" s="34">
        <v>82.5</v>
      </c>
      <c r="H33" s="34">
        <v>72.5</v>
      </c>
      <c r="I33" s="9">
        <f t="shared" si="2"/>
        <v>87.87878787878788</v>
      </c>
      <c r="J33" s="34">
        <v>78.52</v>
      </c>
      <c r="K33" s="34">
        <v>65.92</v>
      </c>
      <c r="L33" s="9">
        <f t="shared" si="19"/>
        <v>83.95313295975548</v>
      </c>
      <c r="M33" s="70">
        <f t="shared" si="20"/>
        <v>259.02</v>
      </c>
      <c r="N33" s="70">
        <f t="shared" si="21"/>
        <v>260.82</v>
      </c>
      <c r="O33" s="9">
        <f t="shared" si="3"/>
        <v>100.69492703266158</v>
      </c>
      <c r="P33" s="34">
        <v>74.4</v>
      </c>
      <c r="Q33" s="34">
        <v>113</v>
      </c>
      <c r="R33" s="9">
        <f t="shared" si="4"/>
        <v>151.88172043010752</v>
      </c>
      <c r="S33" s="34">
        <v>98.5</v>
      </c>
      <c r="T33" s="34">
        <v>56.8</v>
      </c>
      <c r="U33" s="9">
        <f t="shared" si="31"/>
        <v>57.66497461928933</v>
      </c>
      <c r="V33" s="34">
        <v>79.7</v>
      </c>
      <c r="W33" s="34">
        <v>113.1</v>
      </c>
      <c r="X33" s="9">
        <f t="shared" si="32"/>
        <v>141.90715181932245</v>
      </c>
      <c r="Y33" s="70">
        <f t="shared" si="33"/>
        <v>252.60000000000002</v>
      </c>
      <c r="Z33" s="70">
        <f t="shared" si="34"/>
        <v>282.9</v>
      </c>
      <c r="AA33" s="9">
        <f t="shared" si="35"/>
        <v>111.99524940617576</v>
      </c>
      <c r="AB33" s="34"/>
      <c r="AC33" s="34"/>
      <c r="AD33" s="9" t="e">
        <f t="shared" si="12"/>
        <v>#DIV/0!</v>
      </c>
      <c r="AE33" s="34"/>
      <c r="AF33" s="34"/>
      <c r="AG33" s="9" t="e">
        <f t="shared" si="13"/>
        <v>#DIV/0!</v>
      </c>
      <c r="AH33" s="34"/>
      <c r="AI33" s="34"/>
      <c r="AJ33" s="9" t="e">
        <f t="shared" si="14"/>
        <v>#DIV/0!</v>
      </c>
      <c r="AK33" s="70">
        <f t="shared" si="22"/>
        <v>0</v>
      </c>
      <c r="AL33" s="70">
        <f t="shared" si="23"/>
        <v>0</v>
      </c>
      <c r="AM33" s="9" t="e">
        <f t="shared" si="36"/>
        <v>#DIV/0!</v>
      </c>
      <c r="AN33" s="34"/>
      <c r="AO33" s="34"/>
      <c r="AP33" s="34"/>
      <c r="AQ33" s="34"/>
      <c r="AR33" s="34"/>
      <c r="AS33" s="34"/>
      <c r="AT33" s="57">
        <f t="shared" si="24"/>
        <v>511.62</v>
      </c>
      <c r="AU33" s="57">
        <f t="shared" si="25"/>
        <v>543.72</v>
      </c>
      <c r="AV33" s="9">
        <f t="shared" si="8"/>
        <v>106.2741878738126</v>
      </c>
      <c r="AW33" s="57">
        <f t="shared" si="37"/>
        <v>-32.10000000000002</v>
      </c>
      <c r="AX33" s="15">
        <f t="shared" si="38"/>
        <v>109.70000000000005</v>
      </c>
      <c r="AY33" s="19">
        <f t="shared" si="16"/>
        <v>511.62</v>
      </c>
      <c r="AZ33" s="19">
        <f t="shared" si="17"/>
        <v>543.72</v>
      </c>
      <c r="BA33" s="38">
        <f t="shared" si="18"/>
        <v>109.70000000000005</v>
      </c>
    </row>
    <row r="34" spans="1:53" ht="34.5" customHeight="1">
      <c r="A34" s="11"/>
      <c r="B34" s="60" t="s">
        <v>88</v>
      </c>
      <c r="C34" s="87">
        <v>426.1</v>
      </c>
      <c r="D34" s="78">
        <v>129.6</v>
      </c>
      <c r="E34" s="78">
        <v>98.1</v>
      </c>
      <c r="F34" s="53">
        <f>E34/D34*100</f>
        <v>75.69444444444444</v>
      </c>
      <c r="G34" s="34">
        <v>107.9</v>
      </c>
      <c r="H34" s="34">
        <v>30.6</v>
      </c>
      <c r="I34" s="9">
        <f t="shared" si="2"/>
        <v>28.3595922150139</v>
      </c>
      <c r="J34" s="34">
        <v>78.32329</v>
      </c>
      <c r="K34" s="34">
        <v>121.1815</v>
      </c>
      <c r="L34" s="9">
        <f t="shared" si="19"/>
        <v>154.71962426501747</v>
      </c>
      <c r="M34" s="70">
        <f t="shared" si="20"/>
        <v>315.82329</v>
      </c>
      <c r="N34" s="70">
        <f t="shared" si="21"/>
        <v>249.8815</v>
      </c>
      <c r="O34" s="9">
        <f t="shared" si="3"/>
        <v>79.1206690298236</v>
      </c>
      <c r="P34" s="34">
        <v>67.2</v>
      </c>
      <c r="Q34" s="34">
        <v>70.7</v>
      </c>
      <c r="R34" s="9">
        <f t="shared" si="4"/>
        <v>105.20833333333333</v>
      </c>
      <c r="S34" s="34">
        <v>71.9</v>
      </c>
      <c r="T34" s="34">
        <v>95.7</v>
      </c>
      <c r="U34" s="9">
        <f t="shared" si="31"/>
        <v>133.10152990264254</v>
      </c>
      <c r="V34" s="34">
        <v>82.5</v>
      </c>
      <c r="W34" s="34">
        <v>134.5</v>
      </c>
      <c r="X34" s="9">
        <f t="shared" si="32"/>
        <v>163.03030303030303</v>
      </c>
      <c r="Y34" s="70">
        <f>P34+S34+V34</f>
        <v>221.60000000000002</v>
      </c>
      <c r="Z34" s="70">
        <f>Q34+T34+W34</f>
        <v>300.9</v>
      </c>
      <c r="AA34" s="9">
        <f>Z34/Y34*100</f>
        <v>135.78519855595664</v>
      </c>
      <c r="AB34" s="34"/>
      <c r="AC34" s="34"/>
      <c r="AD34" s="9" t="e">
        <f t="shared" si="12"/>
        <v>#DIV/0!</v>
      </c>
      <c r="AE34" s="34"/>
      <c r="AF34" s="34"/>
      <c r="AG34" s="9" t="e">
        <f t="shared" si="13"/>
        <v>#DIV/0!</v>
      </c>
      <c r="AH34" s="34"/>
      <c r="AI34" s="34"/>
      <c r="AJ34" s="9" t="e">
        <f t="shared" si="14"/>
        <v>#DIV/0!</v>
      </c>
      <c r="AK34" s="70">
        <f t="shared" si="22"/>
        <v>0</v>
      </c>
      <c r="AL34" s="70">
        <f t="shared" si="23"/>
        <v>0</v>
      </c>
      <c r="AM34" s="9" t="e">
        <f t="shared" si="36"/>
        <v>#DIV/0!</v>
      </c>
      <c r="AN34" s="34"/>
      <c r="AO34" s="34"/>
      <c r="AP34" s="34"/>
      <c r="AQ34" s="34"/>
      <c r="AR34" s="34"/>
      <c r="AS34" s="34"/>
      <c r="AT34" s="57">
        <f t="shared" si="24"/>
        <v>537.42329</v>
      </c>
      <c r="AU34" s="57">
        <f t="shared" si="25"/>
        <v>550.7814999999999</v>
      </c>
      <c r="AV34" s="9">
        <f t="shared" si="8"/>
        <v>102.48560310811985</v>
      </c>
      <c r="AW34" s="57">
        <f t="shared" si="37"/>
        <v>-13.358209999999985</v>
      </c>
      <c r="AX34" s="15">
        <f t="shared" si="38"/>
        <v>412.74179000000004</v>
      </c>
      <c r="AY34" s="19">
        <f t="shared" si="16"/>
        <v>537.42329</v>
      </c>
      <c r="AZ34" s="19">
        <f t="shared" si="17"/>
        <v>550.7814999999999</v>
      </c>
      <c r="BA34" s="38">
        <f t="shared" si="18"/>
        <v>412.74179000000004</v>
      </c>
    </row>
    <row r="35" spans="1:53" ht="34.5" customHeight="1">
      <c r="A35" s="11" t="s">
        <v>30</v>
      </c>
      <c r="B35" s="60" t="s">
        <v>60</v>
      </c>
      <c r="C35" s="87">
        <v>1539</v>
      </c>
      <c r="D35" s="33">
        <v>263.3</v>
      </c>
      <c r="E35" s="33">
        <v>189.2</v>
      </c>
      <c r="F35" s="9">
        <f>E35/D35*100</f>
        <v>71.85719711355867</v>
      </c>
      <c r="G35" s="34">
        <v>282.2</v>
      </c>
      <c r="H35" s="34">
        <v>124</v>
      </c>
      <c r="I35" s="9">
        <f t="shared" si="2"/>
        <v>43.940467753366406</v>
      </c>
      <c r="J35" s="34">
        <v>262.1</v>
      </c>
      <c r="K35" s="34">
        <v>387</v>
      </c>
      <c r="L35" s="9">
        <f t="shared" si="19"/>
        <v>147.65356734070966</v>
      </c>
      <c r="M35" s="70">
        <f t="shared" si="20"/>
        <v>807.6</v>
      </c>
      <c r="N35" s="70">
        <f t="shared" si="21"/>
        <v>700.2</v>
      </c>
      <c r="O35" s="9">
        <f t="shared" si="3"/>
        <v>86.70133729569093</v>
      </c>
      <c r="P35" s="34">
        <v>267.3</v>
      </c>
      <c r="Q35" s="34">
        <v>157.1</v>
      </c>
      <c r="R35" s="9">
        <f t="shared" si="4"/>
        <v>58.77291432846988</v>
      </c>
      <c r="S35" s="34">
        <v>258.1</v>
      </c>
      <c r="T35" s="34">
        <v>184.4</v>
      </c>
      <c r="U35" s="9">
        <f t="shared" si="31"/>
        <v>71.44517628826036</v>
      </c>
      <c r="V35" s="34">
        <v>243.5</v>
      </c>
      <c r="W35" s="34">
        <v>350.9</v>
      </c>
      <c r="X35" s="9">
        <f t="shared" si="32"/>
        <v>144.10677618069815</v>
      </c>
      <c r="Y35" s="70">
        <f t="shared" si="33"/>
        <v>768.9000000000001</v>
      </c>
      <c r="Z35" s="70">
        <f t="shared" si="34"/>
        <v>692.4</v>
      </c>
      <c r="AA35" s="9">
        <f t="shared" si="35"/>
        <v>90.05072181037845</v>
      </c>
      <c r="AB35" s="34"/>
      <c r="AC35" s="34"/>
      <c r="AD35" s="9" t="e">
        <f t="shared" si="12"/>
        <v>#DIV/0!</v>
      </c>
      <c r="AE35" s="34"/>
      <c r="AF35" s="34"/>
      <c r="AG35" s="9" t="e">
        <f t="shared" si="13"/>
        <v>#DIV/0!</v>
      </c>
      <c r="AH35" s="34"/>
      <c r="AI35" s="34"/>
      <c r="AJ35" s="9" t="e">
        <f t="shared" si="14"/>
        <v>#DIV/0!</v>
      </c>
      <c r="AK35" s="70">
        <f t="shared" si="22"/>
        <v>0</v>
      </c>
      <c r="AL35" s="70">
        <f t="shared" si="23"/>
        <v>0</v>
      </c>
      <c r="AM35" s="9" t="e">
        <f t="shared" si="36"/>
        <v>#DIV/0!</v>
      </c>
      <c r="AN35" s="34"/>
      <c r="AO35" s="34"/>
      <c r="AP35" s="34"/>
      <c r="AQ35" s="34"/>
      <c r="AR35" s="34"/>
      <c r="AS35" s="34"/>
      <c r="AT35" s="57">
        <f t="shared" si="24"/>
        <v>1576.5</v>
      </c>
      <c r="AU35" s="57">
        <f t="shared" si="25"/>
        <v>1392.6</v>
      </c>
      <c r="AV35" s="9">
        <f t="shared" si="8"/>
        <v>88.33491912464319</v>
      </c>
      <c r="AW35" s="57">
        <f t="shared" si="37"/>
        <v>183.9000000000001</v>
      </c>
      <c r="AX35" s="15">
        <f t="shared" si="38"/>
        <v>1722.9</v>
      </c>
      <c r="AY35" s="19">
        <f t="shared" si="16"/>
        <v>1576.5</v>
      </c>
      <c r="AZ35" s="19">
        <f t="shared" si="17"/>
        <v>1392.6</v>
      </c>
      <c r="BA35" s="38">
        <f t="shared" si="18"/>
        <v>1722.9</v>
      </c>
    </row>
    <row r="36" spans="1:53" ht="34.5" customHeight="1">
      <c r="A36" s="11" t="s">
        <v>31</v>
      </c>
      <c r="B36" s="113" t="s">
        <v>61</v>
      </c>
      <c r="C36" s="89">
        <v>19.5</v>
      </c>
      <c r="D36" s="63">
        <v>20.8</v>
      </c>
      <c r="E36" s="63">
        <v>14.1</v>
      </c>
      <c r="F36" s="9">
        <f aca="true" t="shared" si="40" ref="F36:F44">E36/D36*100</f>
        <v>67.78846153846153</v>
      </c>
      <c r="G36" s="34">
        <v>17.1</v>
      </c>
      <c r="H36" s="34">
        <v>16.5</v>
      </c>
      <c r="I36" s="9">
        <f t="shared" si="2"/>
        <v>96.49122807017542</v>
      </c>
      <c r="J36" s="34">
        <v>23.3</v>
      </c>
      <c r="K36" s="34">
        <v>10.6</v>
      </c>
      <c r="L36" s="9">
        <f t="shared" si="19"/>
        <v>45.493562231759654</v>
      </c>
      <c r="M36" s="70">
        <f t="shared" si="20"/>
        <v>61.2</v>
      </c>
      <c r="N36" s="70">
        <f t="shared" si="21"/>
        <v>41.2</v>
      </c>
      <c r="O36" s="9">
        <f t="shared" si="3"/>
        <v>67.3202614379085</v>
      </c>
      <c r="P36" s="34">
        <v>32.2</v>
      </c>
      <c r="Q36" s="34">
        <v>14.3</v>
      </c>
      <c r="R36" s="9">
        <f t="shared" si="4"/>
        <v>44.409937888198755</v>
      </c>
      <c r="S36" s="34">
        <v>14.2</v>
      </c>
      <c r="T36" s="34">
        <v>16.2</v>
      </c>
      <c r="U36" s="101">
        <f t="shared" si="31"/>
        <v>114.08450704225352</v>
      </c>
      <c r="V36" s="34">
        <v>19.9</v>
      </c>
      <c r="W36" s="34">
        <v>14</v>
      </c>
      <c r="X36" s="101">
        <f t="shared" si="32"/>
        <v>70.35175879396985</v>
      </c>
      <c r="Y36" s="70">
        <f t="shared" si="33"/>
        <v>66.30000000000001</v>
      </c>
      <c r="Z36" s="70">
        <f t="shared" si="34"/>
        <v>44.5</v>
      </c>
      <c r="AA36" s="9">
        <f t="shared" si="35"/>
        <v>67.11915535444946</v>
      </c>
      <c r="AB36" s="34"/>
      <c r="AC36" s="34"/>
      <c r="AD36" s="9" t="e">
        <f t="shared" si="12"/>
        <v>#DIV/0!</v>
      </c>
      <c r="AE36" s="34"/>
      <c r="AF36" s="34"/>
      <c r="AG36" s="9" t="e">
        <f t="shared" si="13"/>
        <v>#DIV/0!</v>
      </c>
      <c r="AH36" s="34"/>
      <c r="AI36" s="34"/>
      <c r="AJ36" s="9" t="e">
        <f t="shared" si="14"/>
        <v>#DIV/0!</v>
      </c>
      <c r="AK36" s="70">
        <f>AB36+AE36+AH36</f>
        <v>0</v>
      </c>
      <c r="AL36" s="70">
        <f>AC36+AF36+AI36</f>
        <v>0</v>
      </c>
      <c r="AM36" s="9" t="e">
        <f t="shared" si="36"/>
        <v>#DIV/0!</v>
      </c>
      <c r="AN36" s="34"/>
      <c r="AO36" s="34"/>
      <c r="AP36" s="34"/>
      <c r="AQ36" s="34"/>
      <c r="AR36" s="34"/>
      <c r="AS36" s="34"/>
      <c r="AT36" s="57">
        <f t="shared" si="24"/>
        <v>127.50000000000001</v>
      </c>
      <c r="AU36" s="57">
        <f t="shared" si="25"/>
        <v>85.7</v>
      </c>
      <c r="AV36" s="9">
        <f t="shared" si="8"/>
        <v>67.2156862745098</v>
      </c>
      <c r="AW36" s="57">
        <f t="shared" si="37"/>
        <v>41.80000000000001</v>
      </c>
      <c r="AX36" s="15">
        <f t="shared" si="38"/>
        <v>61.3</v>
      </c>
      <c r="AY36" s="19">
        <f t="shared" si="16"/>
        <v>127.50000000000001</v>
      </c>
      <c r="AZ36" s="19">
        <f t="shared" si="17"/>
        <v>85.7</v>
      </c>
      <c r="BA36" s="38">
        <f t="shared" si="18"/>
        <v>61.3</v>
      </c>
    </row>
    <row r="37" spans="1:53" ht="34.5" customHeight="1">
      <c r="A37" s="11" t="s">
        <v>32</v>
      </c>
      <c r="B37" s="114" t="s">
        <v>62</v>
      </c>
      <c r="C37" s="83">
        <v>70.7</v>
      </c>
      <c r="D37" s="34">
        <v>206.2</v>
      </c>
      <c r="E37" s="34">
        <v>219.7</v>
      </c>
      <c r="F37" s="9">
        <f t="shared" si="40"/>
        <v>106.54704170708051</v>
      </c>
      <c r="G37" s="34">
        <v>163.5</v>
      </c>
      <c r="H37" s="34">
        <v>145.1</v>
      </c>
      <c r="I37" s="9">
        <f t="shared" si="2"/>
        <v>88.74617737003058</v>
      </c>
      <c r="J37" s="34">
        <v>207</v>
      </c>
      <c r="K37" s="34">
        <v>187.8</v>
      </c>
      <c r="L37" s="9">
        <f t="shared" si="19"/>
        <v>90.72463768115942</v>
      </c>
      <c r="M37" s="70">
        <f t="shared" si="20"/>
        <v>576.7</v>
      </c>
      <c r="N37" s="70">
        <f t="shared" si="21"/>
        <v>552.5999999999999</v>
      </c>
      <c r="O37" s="9">
        <f t="shared" si="3"/>
        <v>95.82105080631175</v>
      </c>
      <c r="P37" s="34">
        <v>146.9</v>
      </c>
      <c r="Q37" s="34">
        <v>162.4</v>
      </c>
      <c r="R37" s="9">
        <f t="shared" si="4"/>
        <v>110.55139550714772</v>
      </c>
      <c r="S37" s="34">
        <v>141.6</v>
      </c>
      <c r="T37" s="34">
        <v>139.2</v>
      </c>
      <c r="U37" s="9">
        <f t="shared" si="31"/>
        <v>98.3050847457627</v>
      </c>
      <c r="V37" s="34">
        <v>249.4</v>
      </c>
      <c r="W37" s="34">
        <v>202.2</v>
      </c>
      <c r="X37" s="9">
        <f t="shared" si="32"/>
        <v>81.07457898957497</v>
      </c>
      <c r="Y37" s="70">
        <f t="shared" si="33"/>
        <v>537.9</v>
      </c>
      <c r="Z37" s="70">
        <f t="shared" si="34"/>
        <v>503.8</v>
      </c>
      <c r="AA37" s="9">
        <f t="shared" si="35"/>
        <v>93.66053169734153</v>
      </c>
      <c r="AB37" s="34"/>
      <c r="AC37" s="34"/>
      <c r="AD37" s="9" t="e">
        <f t="shared" si="12"/>
        <v>#DIV/0!</v>
      </c>
      <c r="AE37" s="34"/>
      <c r="AF37" s="34"/>
      <c r="AG37" s="9" t="e">
        <f t="shared" si="13"/>
        <v>#DIV/0!</v>
      </c>
      <c r="AH37" s="34"/>
      <c r="AI37" s="34"/>
      <c r="AJ37" s="9" t="e">
        <f t="shared" si="14"/>
        <v>#DIV/0!</v>
      </c>
      <c r="AK37" s="70">
        <f t="shared" si="22"/>
        <v>0</v>
      </c>
      <c r="AL37" s="70">
        <f t="shared" si="23"/>
        <v>0</v>
      </c>
      <c r="AM37" s="9" t="e">
        <f t="shared" si="36"/>
        <v>#DIV/0!</v>
      </c>
      <c r="AN37" s="34"/>
      <c r="AO37" s="34"/>
      <c r="AP37" s="34"/>
      <c r="AQ37" s="34"/>
      <c r="AR37" s="34"/>
      <c r="AS37" s="34"/>
      <c r="AT37" s="57">
        <f t="shared" si="24"/>
        <v>1114.6</v>
      </c>
      <c r="AU37" s="57">
        <f t="shared" si="25"/>
        <v>1056.3999999999999</v>
      </c>
      <c r="AV37" s="9">
        <f t="shared" si="8"/>
        <v>94.7783958370716</v>
      </c>
      <c r="AW37" s="57">
        <f t="shared" si="37"/>
        <v>58.200000000000045</v>
      </c>
      <c r="AX37" s="15">
        <f t="shared" si="38"/>
        <v>128.9000000000001</v>
      </c>
      <c r="AY37" s="19">
        <f t="shared" si="16"/>
        <v>1114.6</v>
      </c>
      <c r="AZ37" s="19">
        <f t="shared" si="17"/>
        <v>1056.3999999999999</v>
      </c>
      <c r="BA37" s="38">
        <f t="shared" si="18"/>
        <v>128.9000000000001</v>
      </c>
    </row>
    <row r="38" spans="1:53" ht="34.5" customHeight="1">
      <c r="A38" s="11" t="s">
        <v>33</v>
      </c>
      <c r="B38" s="114" t="s">
        <v>89</v>
      </c>
      <c r="C38" s="83">
        <v>385.6</v>
      </c>
      <c r="D38" s="34">
        <v>867</v>
      </c>
      <c r="E38" s="34">
        <v>735.8</v>
      </c>
      <c r="F38" s="9">
        <f t="shared" si="40"/>
        <v>84.86735870818916</v>
      </c>
      <c r="G38" s="34">
        <v>819.2</v>
      </c>
      <c r="H38" s="34">
        <v>996.8</v>
      </c>
      <c r="I38" s="9">
        <f t="shared" si="2"/>
        <v>121.67968749999997</v>
      </c>
      <c r="J38" s="34">
        <v>861.6</v>
      </c>
      <c r="K38" s="34">
        <v>842.2</v>
      </c>
      <c r="L38" s="9">
        <f t="shared" si="19"/>
        <v>97.74837511606314</v>
      </c>
      <c r="M38" s="70">
        <f t="shared" si="20"/>
        <v>2547.8</v>
      </c>
      <c r="N38" s="70">
        <f t="shared" si="21"/>
        <v>2574.8</v>
      </c>
      <c r="O38" s="9">
        <f t="shared" si="3"/>
        <v>101.05973781301516</v>
      </c>
      <c r="P38" s="34">
        <v>699.6</v>
      </c>
      <c r="Q38" s="34">
        <v>811</v>
      </c>
      <c r="R38" s="9">
        <f t="shared" si="4"/>
        <v>115.92338479130933</v>
      </c>
      <c r="S38" s="34">
        <v>733.1</v>
      </c>
      <c r="T38" s="34">
        <v>721.3</v>
      </c>
      <c r="U38" s="9">
        <f t="shared" si="31"/>
        <v>98.39039694448233</v>
      </c>
      <c r="V38" s="34">
        <v>743.6</v>
      </c>
      <c r="W38" s="34">
        <v>743.2</v>
      </c>
      <c r="X38" s="9">
        <f t="shared" si="32"/>
        <v>99.94620763851533</v>
      </c>
      <c r="Y38" s="70">
        <f t="shared" si="33"/>
        <v>2176.3</v>
      </c>
      <c r="Z38" s="70">
        <f t="shared" si="34"/>
        <v>2275.5</v>
      </c>
      <c r="AA38" s="9">
        <f t="shared" si="35"/>
        <v>104.55819510177824</v>
      </c>
      <c r="AB38" s="34"/>
      <c r="AC38" s="34"/>
      <c r="AD38" s="9" t="e">
        <f t="shared" si="12"/>
        <v>#DIV/0!</v>
      </c>
      <c r="AE38" s="34"/>
      <c r="AF38" s="34"/>
      <c r="AG38" s="9" t="e">
        <f t="shared" si="13"/>
        <v>#DIV/0!</v>
      </c>
      <c r="AH38" s="34"/>
      <c r="AI38" s="34"/>
      <c r="AJ38" s="9" t="e">
        <f t="shared" si="14"/>
        <v>#DIV/0!</v>
      </c>
      <c r="AK38" s="70">
        <f t="shared" si="22"/>
        <v>0</v>
      </c>
      <c r="AL38" s="70">
        <f t="shared" si="23"/>
        <v>0</v>
      </c>
      <c r="AM38" s="9" t="e">
        <f t="shared" si="36"/>
        <v>#DIV/0!</v>
      </c>
      <c r="AN38" s="34"/>
      <c r="AO38" s="34"/>
      <c r="AP38" s="34"/>
      <c r="AQ38" s="34"/>
      <c r="AR38" s="34"/>
      <c r="AS38" s="34"/>
      <c r="AT38" s="57">
        <f t="shared" si="24"/>
        <v>4724.1</v>
      </c>
      <c r="AU38" s="57">
        <f t="shared" si="25"/>
        <v>4850.3</v>
      </c>
      <c r="AV38" s="9">
        <f t="shared" si="8"/>
        <v>102.67140831057769</v>
      </c>
      <c r="AW38" s="57">
        <f t="shared" si="37"/>
        <v>-126.19999999999982</v>
      </c>
      <c r="AX38" s="15">
        <f t="shared" si="38"/>
        <v>259.40000000000055</v>
      </c>
      <c r="AY38" s="19">
        <f t="shared" si="16"/>
        <v>4724.1</v>
      </c>
      <c r="AZ38" s="19">
        <f t="shared" si="17"/>
        <v>4850.3</v>
      </c>
      <c r="BA38" s="38">
        <f t="shared" si="18"/>
        <v>259.40000000000055</v>
      </c>
    </row>
    <row r="39" spans="1:53" ht="34.5" customHeight="1">
      <c r="A39" s="11" t="s">
        <v>34</v>
      </c>
      <c r="B39" s="114" t="s">
        <v>4</v>
      </c>
      <c r="C39" s="83">
        <v>1658.1</v>
      </c>
      <c r="D39" s="34">
        <v>413.5</v>
      </c>
      <c r="E39" s="34">
        <v>338.5</v>
      </c>
      <c r="F39" s="9">
        <f t="shared" si="40"/>
        <v>81.8621523579202</v>
      </c>
      <c r="G39" s="34">
        <v>444.8</v>
      </c>
      <c r="H39" s="34">
        <v>906</v>
      </c>
      <c r="I39" s="9">
        <f t="shared" si="2"/>
        <v>203.68705035971223</v>
      </c>
      <c r="J39" s="34">
        <v>362</v>
      </c>
      <c r="K39" s="34">
        <v>406.2</v>
      </c>
      <c r="L39" s="9">
        <f t="shared" si="19"/>
        <v>112.20994475138122</v>
      </c>
      <c r="M39" s="70">
        <f t="shared" si="20"/>
        <v>1220.3</v>
      </c>
      <c r="N39" s="70">
        <f t="shared" si="21"/>
        <v>1650.7</v>
      </c>
      <c r="O39" s="9">
        <f t="shared" si="3"/>
        <v>135.27001556994182</v>
      </c>
      <c r="P39" s="34">
        <v>233.9</v>
      </c>
      <c r="Q39" s="34">
        <v>425</v>
      </c>
      <c r="R39" s="9">
        <f t="shared" si="4"/>
        <v>181.70158187259514</v>
      </c>
      <c r="S39" s="34">
        <v>309.5</v>
      </c>
      <c r="T39" s="34">
        <v>242.4</v>
      </c>
      <c r="U39" s="9">
        <f t="shared" si="31"/>
        <v>78.31987075928917</v>
      </c>
      <c r="V39" s="34">
        <v>388</v>
      </c>
      <c r="W39" s="34">
        <v>401</v>
      </c>
      <c r="X39" s="9">
        <f t="shared" si="32"/>
        <v>103.35051546391753</v>
      </c>
      <c r="Y39" s="70">
        <f t="shared" si="33"/>
        <v>931.4</v>
      </c>
      <c r="Z39" s="70">
        <f t="shared" si="34"/>
        <v>1068.4</v>
      </c>
      <c r="AA39" s="9">
        <f t="shared" si="35"/>
        <v>114.70904015460599</v>
      </c>
      <c r="AB39" s="34"/>
      <c r="AC39" s="34"/>
      <c r="AD39" s="9" t="e">
        <f t="shared" si="12"/>
        <v>#DIV/0!</v>
      </c>
      <c r="AE39" s="34"/>
      <c r="AF39" s="34"/>
      <c r="AG39" s="9" t="e">
        <f t="shared" si="13"/>
        <v>#DIV/0!</v>
      </c>
      <c r="AH39" s="34"/>
      <c r="AI39" s="34"/>
      <c r="AJ39" s="9" t="e">
        <f t="shared" si="14"/>
        <v>#DIV/0!</v>
      </c>
      <c r="AK39" s="70">
        <f t="shared" si="22"/>
        <v>0</v>
      </c>
      <c r="AL39" s="70">
        <f t="shared" si="23"/>
        <v>0</v>
      </c>
      <c r="AM39" s="9" t="e">
        <f t="shared" si="36"/>
        <v>#DIV/0!</v>
      </c>
      <c r="AN39" s="34"/>
      <c r="AO39" s="34"/>
      <c r="AP39" s="34"/>
      <c r="AQ39" s="34"/>
      <c r="AR39" s="34"/>
      <c r="AS39" s="34"/>
      <c r="AT39" s="57">
        <f t="shared" si="24"/>
        <v>2151.7</v>
      </c>
      <c r="AU39" s="57">
        <f t="shared" si="25"/>
        <v>2719.1000000000004</v>
      </c>
      <c r="AV39" s="9">
        <f t="shared" si="8"/>
        <v>126.36984709764376</v>
      </c>
      <c r="AW39" s="57">
        <f t="shared" si="37"/>
        <v>-567.4000000000005</v>
      </c>
      <c r="AX39" s="15">
        <f t="shared" si="38"/>
        <v>1090.6999999999994</v>
      </c>
      <c r="AY39" s="19">
        <f t="shared" si="16"/>
        <v>2151.7</v>
      </c>
      <c r="AZ39" s="19">
        <f t="shared" si="17"/>
        <v>2719.1000000000004</v>
      </c>
      <c r="BA39" s="38">
        <f t="shared" si="18"/>
        <v>1090.6999999999994</v>
      </c>
    </row>
    <row r="40" spans="1:53" ht="34.5" customHeight="1">
      <c r="A40" s="11" t="s">
        <v>35</v>
      </c>
      <c r="B40" s="114" t="s">
        <v>63</v>
      </c>
      <c r="C40" s="83">
        <v>397.3</v>
      </c>
      <c r="D40" s="34">
        <v>210.2</v>
      </c>
      <c r="E40" s="34">
        <v>228.2</v>
      </c>
      <c r="F40" s="9">
        <f t="shared" si="40"/>
        <v>108.56327307326356</v>
      </c>
      <c r="G40" s="34">
        <v>232.6</v>
      </c>
      <c r="H40" s="34">
        <v>190.4</v>
      </c>
      <c r="I40" s="9">
        <f t="shared" si="2"/>
        <v>81.85726569217542</v>
      </c>
      <c r="J40" s="34">
        <v>182.8</v>
      </c>
      <c r="K40" s="34">
        <v>226.5</v>
      </c>
      <c r="L40" s="9">
        <f t="shared" si="19"/>
        <v>123.90590809628009</v>
      </c>
      <c r="M40" s="70">
        <f t="shared" si="20"/>
        <v>625.5999999999999</v>
      </c>
      <c r="N40" s="70">
        <f t="shared" si="21"/>
        <v>645.1</v>
      </c>
      <c r="O40" s="9">
        <f t="shared" si="3"/>
        <v>103.1170076726343</v>
      </c>
      <c r="P40" s="34">
        <v>178.3</v>
      </c>
      <c r="Q40" s="34">
        <v>174.9</v>
      </c>
      <c r="R40" s="9">
        <f t="shared" si="4"/>
        <v>98.09310151430174</v>
      </c>
      <c r="S40" s="34">
        <v>252.9</v>
      </c>
      <c r="T40" s="34">
        <v>174.8</v>
      </c>
      <c r="U40" s="9">
        <f t="shared" si="31"/>
        <v>69.11822854883354</v>
      </c>
      <c r="V40" s="34">
        <v>319.1</v>
      </c>
      <c r="W40" s="34">
        <v>230.5</v>
      </c>
      <c r="X40" s="9">
        <f t="shared" si="32"/>
        <v>72.234409276089</v>
      </c>
      <c r="Y40" s="70">
        <f t="shared" si="33"/>
        <v>750.3000000000001</v>
      </c>
      <c r="Z40" s="70">
        <f t="shared" si="34"/>
        <v>580.2</v>
      </c>
      <c r="AA40" s="9">
        <f t="shared" si="35"/>
        <v>77.32906837265094</v>
      </c>
      <c r="AB40" s="34"/>
      <c r="AC40" s="34"/>
      <c r="AD40" s="9" t="e">
        <f t="shared" si="12"/>
        <v>#DIV/0!</v>
      </c>
      <c r="AE40" s="34"/>
      <c r="AF40" s="34"/>
      <c r="AG40" s="9" t="e">
        <f t="shared" si="13"/>
        <v>#DIV/0!</v>
      </c>
      <c r="AH40" s="34"/>
      <c r="AI40" s="34"/>
      <c r="AJ40" s="9" t="e">
        <f t="shared" si="14"/>
        <v>#DIV/0!</v>
      </c>
      <c r="AK40" s="70">
        <f t="shared" si="22"/>
        <v>0</v>
      </c>
      <c r="AL40" s="70">
        <f t="shared" si="23"/>
        <v>0</v>
      </c>
      <c r="AM40" s="9" t="e">
        <f t="shared" si="36"/>
        <v>#DIV/0!</v>
      </c>
      <c r="AN40" s="34"/>
      <c r="AO40" s="34"/>
      <c r="AP40" s="34"/>
      <c r="AQ40" s="34"/>
      <c r="AR40" s="34"/>
      <c r="AS40" s="34"/>
      <c r="AT40" s="57">
        <f t="shared" si="24"/>
        <v>1375.9</v>
      </c>
      <c r="AU40" s="57">
        <f t="shared" si="25"/>
        <v>1225.3000000000002</v>
      </c>
      <c r="AV40" s="9">
        <f t="shared" si="8"/>
        <v>89.05443709571918</v>
      </c>
      <c r="AW40" s="57">
        <f t="shared" si="37"/>
        <v>150.5999999999999</v>
      </c>
      <c r="AX40" s="15">
        <f t="shared" si="38"/>
        <v>547.8999999999999</v>
      </c>
      <c r="AY40" s="19">
        <f t="shared" si="16"/>
        <v>1375.9</v>
      </c>
      <c r="AZ40" s="19">
        <f t="shared" si="17"/>
        <v>1225.3000000000002</v>
      </c>
      <c r="BA40" s="38">
        <f t="shared" si="18"/>
        <v>547.8999999999999</v>
      </c>
    </row>
    <row r="41" spans="1:53" ht="34.5" customHeight="1">
      <c r="A41" s="11" t="s">
        <v>36</v>
      </c>
      <c r="B41" s="58" t="s">
        <v>64</v>
      </c>
      <c r="C41" s="89">
        <v>87.4</v>
      </c>
      <c r="D41" s="34">
        <v>132.2</v>
      </c>
      <c r="E41" s="34">
        <v>107</v>
      </c>
      <c r="F41" s="9">
        <f t="shared" si="40"/>
        <v>80.93797276853253</v>
      </c>
      <c r="G41" s="34">
        <v>142.2</v>
      </c>
      <c r="H41" s="34">
        <v>123.3</v>
      </c>
      <c r="I41" s="9">
        <f t="shared" si="2"/>
        <v>86.70886075949367</v>
      </c>
      <c r="J41" s="34">
        <v>162.4928</v>
      </c>
      <c r="K41" s="34">
        <v>160.16355000000001</v>
      </c>
      <c r="L41" s="9">
        <f t="shared" si="19"/>
        <v>98.5665518718368</v>
      </c>
      <c r="M41" s="70">
        <f t="shared" si="20"/>
        <v>436.89279999999997</v>
      </c>
      <c r="N41" s="70">
        <f t="shared" si="21"/>
        <v>390.46355000000005</v>
      </c>
      <c r="O41" s="9">
        <f t="shared" si="3"/>
        <v>89.37285073134647</v>
      </c>
      <c r="P41" s="34">
        <v>122.11129</v>
      </c>
      <c r="Q41" s="34">
        <v>168.12212</v>
      </c>
      <c r="R41" s="9">
        <f t="shared" si="4"/>
        <v>137.67942341776916</v>
      </c>
      <c r="S41" s="34">
        <v>128</v>
      </c>
      <c r="T41" s="34">
        <v>114.9</v>
      </c>
      <c r="U41" s="101">
        <f t="shared" si="31"/>
        <v>89.765625</v>
      </c>
      <c r="V41" s="34">
        <v>144.2</v>
      </c>
      <c r="W41" s="34">
        <v>81.4</v>
      </c>
      <c r="X41" s="101">
        <f t="shared" si="32"/>
        <v>56.449375866851604</v>
      </c>
      <c r="Y41" s="70">
        <f t="shared" si="33"/>
        <v>394.31129</v>
      </c>
      <c r="Z41" s="70">
        <f t="shared" si="34"/>
        <v>364.42211999999995</v>
      </c>
      <c r="AA41" s="9">
        <f t="shared" si="35"/>
        <v>92.41990509579372</v>
      </c>
      <c r="AB41" s="34"/>
      <c r="AC41" s="34"/>
      <c r="AD41" s="9" t="e">
        <f t="shared" si="12"/>
        <v>#DIV/0!</v>
      </c>
      <c r="AE41" s="34"/>
      <c r="AF41" s="34"/>
      <c r="AG41" s="9" t="e">
        <f t="shared" si="13"/>
        <v>#DIV/0!</v>
      </c>
      <c r="AH41" s="34"/>
      <c r="AI41" s="34"/>
      <c r="AJ41" s="9" t="e">
        <f t="shared" si="14"/>
        <v>#DIV/0!</v>
      </c>
      <c r="AK41" s="70">
        <f t="shared" si="22"/>
        <v>0</v>
      </c>
      <c r="AL41" s="70">
        <f t="shared" si="23"/>
        <v>0</v>
      </c>
      <c r="AM41" s="9" t="e">
        <f t="shared" si="36"/>
        <v>#DIV/0!</v>
      </c>
      <c r="AN41" s="34"/>
      <c r="AO41" s="34"/>
      <c r="AP41" s="34"/>
      <c r="AQ41" s="34"/>
      <c r="AR41" s="34"/>
      <c r="AS41" s="34"/>
      <c r="AT41" s="57">
        <f t="shared" si="24"/>
        <v>831.20409</v>
      </c>
      <c r="AU41" s="57">
        <f t="shared" si="25"/>
        <v>754.88567</v>
      </c>
      <c r="AV41" s="9">
        <f t="shared" si="8"/>
        <v>90.81832958738208</v>
      </c>
      <c r="AW41" s="57">
        <f t="shared" si="37"/>
        <v>76.31841999999995</v>
      </c>
      <c r="AX41" s="15">
        <f t="shared" si="38"/>
        <v>163.71841999999992</v>
      </c>
      <c r="AY41" s="19">
        <f t="shared" si="16"/>
        <v>831.20409</v>
      </c>
      <c r="AZ41" s="19">
        <f t="shared" si="17"/>
        <v>754.88567</v>
      </c>
      <c r="BA41" s="38">
        <f t="shared" si="18"/>
        <v>163.71841999999992</v>
      </c>
    </row>
    <row r="42" spans="1:53" ht="34.5" customHeight="1">
      <c r="A42" s="11" t="s">
        <v>37</v>
      </c>
      <c r="B42" s="114" t="s">
        <v>48</v>
      </c>
      <c r="C42" s="83">
        <v>879.9</v>
      </c>
      <c r="D42" s="34">
        <v>310.3</v>
      </c>
      <c r="E42" s="34">
        <v>292.8</v>
      </c>
      <c r="F42" s="9">
        <f t="shared" si="40"/>
        <v>94.36029648727038</v>
      </c>
      <c r="G42" s="34">
        <v>267.4</v>
      </c>
      <c r="H42" s="34">
        <v>388.3</v>
      </c>
      <c r="I42" s="9">
        <f t="shared" si="2"/>
        <v>145.21316379955124</v>
      </c>
      <c r="J42" s="34">
        <v>296.8</v>
      </c>
      <c r="K42" s="34">
        <v>259.8</v>
      </c>
      <c r="L42" s="9">
        <f t="shared" si="19"/>
        <v>87.53369272237197</v>
      </c>
      <c r="M42" s="70">
        <f t="shared" si="20"/>
        <v>874.5</v>
      </c>
      <c r="N42" s="70">
        <f t="shared" si="21"/>
        <v>940.9000000000001</v>
      </c>
      <c r="O42" s="9">
        <f t="shared" si="3"/>
        <v>107.59291023441968</v>
      </c>
      <c r="P42" s="34">
        <v>214.7</v>
      </c>
      <c r="Q42" s="34">
        <v>199.7</v>
      </c>
      <c r="R42" s="9">
        <f t="shared" si="4"/>
        <v>93.01350721937587</v>
      </c>
      <c r="S42" s="34">
        <v>224.4</v>
      </c>
      <c r="T42" s="34">
        <v>321.1</v>
      </c>
      <c r="U42" s="101">
        <f t="shared" si="31"/>
        <v>143.0926916221034</v>
      </c>
      <c r="V42" s="34">
        <v>248.8</v>
      </c>
      <c r="W42" s="34">
        <v>307.7</v>
      </c>
      <c r="X42" s="101">
        <f t="shared" si="32"/>
        <v>123.67363344051445</v>
      </c>
      <c r="Y42" s="70">
        <f t="shared" si="33"/>
        <v>687.9000000000001</v>
      </c>
      <c r="Z42" s="70">
        <f t="shared" si="34"/>
        <v>828.5</v>
      </c>
      <c r="AA42" s="9">
        <f t="shared" si="35"/>
        <v>120.43901729902599</v>
      </c>
      <c r="AB42" s="34"/>
      <c r="AC42" s="34"/>
      <c r="AD42" s="9" t="e">
        <f t="shared" si="12"/>
        <v>#DIV/0!</v>
      </c>
      <c r="AE42" s="34"/>
      <c r="AF42" s="34"/>
      <c r="AG42" s="9" t="e">
        <f t="shared" si="13"/>
        <v>#DIV/0!</v>
      </c>
      <c r="AH42" s="34"/>
      <c r="AI42" s="34"/>
      <c r="AJ42" s="9" t="e">
        <f t="shared" si="14"/>
        <v>#DIV/0!</v>
      </c>
      <c r="AK42" s="70">
        <f t="shared" si="22"/>
        <v>0</v>
      </c>
      <c r="AL42" s="70">
        <f t="shared" si="23"/>
        <v>0</v>
      </c>
      <c r="AM42" s="9" t="e">
        <f t="shared" si="36"/>
        <v>#DIV/0!</v>
      </c>
      <c r="AN42" s="34"/>
      <c r="AO42" s="34"/>
      <c r="AP42" s="34"/>
      <c r="AQ42" s="34"/>
      <c r="AR42" s="34"/>
      <c r="AS42" s="34"/>
      <c r="AT42" s="57">
        <f t="shared" si="24"/>
        <v>1562.4</v>
      </c>
      <c r="AU42" s="57">
        <f t="shared" si="25"/>
        <v>1769.4</v>
      </c>
      <c r="AV42" s="9">
        <f t="shared" si="8"/>
        <v>113.24884792626729</v>
      </c>
      <c r="AW42" s="57">
        <f t="shared" si="37"/>
        <v>-207</v>
      </c>
      <c r="AX42" s="15">
        <f t="shared" si="38"/>
        <v>672.9000000000001</v>
      </c>
      <c r="AY42" s="19">
        <f t="shared" si="16"/>
        <v>1562.4</v>
      </c>
      <c r="AZ42" s="19">
        <f t="shared" si="17"/>
        <v>1769.4</v>
      </c>
      <c r="BA42" s="38">
        <f t="shared" si="18"/>
        <v>672.9000000000001</v>
      </c>
    </row>
    <row r="43" spans="1:53" s="10" customFormat="1" ht="34.5" customHeight="1">
      <c r="A43" s="11" t="s">
        <v>38</v>
      </c>
      <c r="B43" s="13" t="s">
        <v>66</v>
      </c>
      <c r="C43" s="66">
        <f>SUM(C44:C44)</f>
        <v>915955.2</v>
      </c>
      <c r="D43" s="15">
        <f>SUM(D44:D44)</f>
        <v>69034.6</v>
      </c>
      <c r="E43" s="15">
        <f>SUM(E44:E44)</f>
        <v>25910.6</v>
      </c>
      <c r="F43" s="9">
        <f t="shared" si="40"/>
        <v>37.53277342086431</v>
      </c>
      <c r="G43" s="15">
        <f>SUM(G44:G44)</f>
        <v>76070.2</v>
      </c>
      <c r="H43" s="15">
        <f>SUM(H44:H44)</f>
        <v>24427.3</v>
      </c>
      <c r="I43" s="9">
        <f t="shared" si="2"/>
        <v>32.11152330347495</v>
      </c>
      <c r="J43" s="15">
        <f>SUM(J44:J44)</f>
        <v>79004.8</v>
      </c>
      <c r="K43" s="15">
        <f>SUM(K44:K44)</f>
        <v>30971.1</v>
      </c>
      <c r="L43" s="9">
        <f t="shared" si="19"/>
        <v>39.201542184778646</v>
      </c>
      <c r="M43" s="15">
        <f>SUM(M44:M44)</f>
        <v>224109.59999999998</v>
      </c>
      <c r="N43" s="15">
        <f>SUM(N44:N44)</f>
        <v>81309</v>
      </c>
      <c r="O43" s="9">
        <f t="shared" si="3"/>
        <v>36.280908983818634</v>
      </c>
      <c r="P43" s="15">
        <f>SUM(P44:P44)</f>
        <v>72715.6</v>
      </c>
      <c r="Q43" s="15">
        <f>SUM(Q44:Q44)</f>
        <v>31464.9</v>
      </c>
      <c r="R43" s="9">
        <f t="shared" si="4"/>
        <v>43.27118252479523</v>
      </c>
      <c r="S43" s="15">
        <f>SUM(S44:S44)</f>
        <v>72908.2</v>
      </c>
      <c r="T43" s="15">
        <f>SUM(T44:T44)</f>
        <v>26709.1</v>
      </c>
      <c r="U43" s="9">
        <f t="shared" si="31"/>
        <v>36.63387657355414</v>
      </c>
      <c r="V43" s="15">
        <f>SUM(V44:V44)</f>
        <v>63259.9</v>
      </c>
      <c r="W43" s="15">
        <f>SUM(W44:W44)</f>
        <v>27668.1</v>
      </c>
      <c r="X43" s="9">
        <f t="shared" si="32"/>
        <v>43.737185800167246</v>
      </c>
      <c r="Y43" s="15">
        <f>SUM(Y44:Y44)</f>
        <v>208883.69999999998</v>
      </c>
      <c r="Z43" s="15">
        <f>SUM(Z44:Z44)</f>
        <v>85842.1</v>
      </c>
      <c r="AA43" s="9">
        <f t="shared" si="35"/>
        <v>41.09564317368948</v>
      </c>
      <c r="AB43" s="15">
        <f>SUM(AB44:AB44)</f>
        <v>0</v>
      </c>
      <c r="AC43" s="15">
        <f>SUM(AC44:AC44)</f>
        <v>0</v>
      </c>
      <c r="AD43" s="9" t="e">
        <f t="shared" si="12"/>
        <v>#DIV/0!</v>
      </c>
      <c r="AE43" s="15">
        <f>SUM(AE44:AE44)</f>
        <v>0</v>
      </c>
      <c r="AF43" s="15">
        <f>SUM(AF44:AF44)</f>
        <v>0</v>
      </c>
      <c r="AG43" s="9" t="e">
        <f t="shared" si="13"/>
        <v>#DIV/0!</v>
      </c>
      <c r="AH43" s="15">
        <f>SUM(AH44:AH44)</f>
        <v>0</v>
      </c>
      <c r="AI43" s="15">
        <f>SUM(AI44:AI44)</f>
        <v>0</v>
      </c>
      <c r="AJ43" s="9" t="e">
        <f t="shared" si="14"/>
        <v>#DIV/0!</v>
      </c>
      <c r="AK43" s="15">
        <f>SUM(AK44:AK44)</f>
        <v>0</v>
      </c>
      <c r="AL43" s="15">
        <f>SUM(AL44:AL44)</f>
        <v>0</v>
      </c>
      <c r="AM43" s="9" t="e">
        <f t="shared" si="36"/>
        <v>#DIV/0!</v>
      </c>
      <c r="AN43" s="15">
        <f aca="true" t="shared" si="41" ref="AN43:AS43">SUM(AN44:AN44)</f>
        <v>0</v>
      </c>
      <c r="AO43" s="15">
        <f t="shared" si="41"/>
        <v>0</v>
      </c>
      <c r="AP43" s="15">
        <f t="shared" si="41"/>
        <v>0</v>
      </c>
      <c r="AQ43" s="15">
        <f t="shared" si="41"/>
        <v>0</v>
      </c>
      <c r="AR43" s="15">
        <f t="shared" si="41"/>
        <v>0</v>
      </c>
      <c r="AS43" s="15">
        <f t="shared" si="41"/>
        <v>0</v>
      </c>
      <c r="AT43" s="101">
        <f>AT44</f>
        <v>432993.29999999993</v>
      </c>
      <c r="AU43" s="101">
        <f>AU44</f>
        <v>167151.1</v>
      </c>
      <c r="AV43" s="9">
        <f t="shared" si="8"/>
        <v>38.60362273504002</v>
      </c>
      <c r="AW43" s="15">
        <f>SUM(AW44:AW44)</f>
        <v>265842.19999999995</v>
      </c>
      <c r="AX43" s="15">
        <f>SUM(AX44:AX44)</f>
        <v>1181797.4</v>
      </c>
      <c r="AY43" s="19">
        <f t="shared" si="16"/>
        <v>432993.29999999993</v>
      </c>
      <c r="AZ43" s="19">
        <f t="shared" si="17"/>
        <v>167151.1</v>
      </c>
      <c r="BA43" s="38">
        <f t="shared" si="18"/>
        <v>1181797.4</v>
      </c>
    </row>
    <row r="44" spans="1:53" s="10" customFormat="1" ht="34.5" customHeight="1">
      <c r="A44" s="11"/>
      <c r="B44" s="37" t="s">
        <v>67</v>
      </c>
      <c r="C44" s="83">
        <v>915955.2</v>
      </c>
      <c r="D44" s="34">
        <v>69034.6</v>
      </c>
      <c r="E44" s="34">
        <v>25910.6</v>
      </c>
      <c r="F44" s="9">
        <f t="shared" si="40"/>
        <v>37.53277342086431</v>
      </c>
      <c r="G44" s="34">
        <v>76070.2</v>
      </c>
      <c r="H44" s="34">
        <v>24427.3</v>
      </c>
      <c r="I44" s="9">
        <f t="shared" si="2"/>
        <v>32.11152330347495</v>
      </c>
      <c r="J44" s="34">
        <v>79004.8</v>
      </c>
      <c r="K44" s="34">
        <v>30971.1</v>
      </c>
      <c r="L44" s="9">
        <f t="shared" si="19"/>
        <v>39.201542184778646</v>
      </c>
      <c r="M44" s="70">
        <f>D44+G44+J44</f>
        <v>224109.59999999998</v>
      </c>
      <c r="N44" s="70">
        <f>E44+H44+K44</f>
        <v>81309</v>
      </c>
      <c r="O44" s="9">
        <f t="shared" si="3"/>
        <v>36.280908983818634</v>
      </c>
      <c r="P44" s="34">
        <v>72715.6</v>
      </c>
      <c r="Q44" s="34">
        <v>31464.9</v>
      </c>
      <c r="R44" s="9">
        <f t="shared" si="4"/>
        <v>43.27118252479523</v>
      </c>
      <c r="S44" s="34">
        <v>72908.2</v>
      </c>
      <c r="T44" s="34">
        <v>26709.1</v>
      </c>
      <c r="U44" s="9">
        <f t="shared" si="31"/>
        <v>36.63387657355414</v>
      </c>
      <c r="V44" s="34">
        <v>63259.9</v>
      </c>
      <c r="W44" s="34">
        <v>27668.1</v>
      </c>
      <c r="X44" s="9">
        <f t="shared" si="32"/>
        <v>43.737185800167246</v>
      </c>
      <c r="Y44" s="70">
        <f>P44+S44+V44</f>
        <v>208883.69999999998</v>
      </c>
      <c r="Z44" s="70">
        <f>Q44+T44+W44</f>
        <v>85842.1</v>
      </c>
      <c r="AA44" s="9">
        <f t="shared" si="35"/>
        <v>41.09564317368948</v>
      </c>
      <c r="AB44" s="34"/>
      <c r="AC44" s="34"/>
      <c r="AD44" s="9" t="e">
        <f t="shared" si="12"/>
        <v>#DIV/0!</v>
      </c>
      <c r="AE44" s="34"/>
      <c r="AF44" s="34"/>
      <c r="AG44" s="9" t="e">
        <f t="shared" si="13"/>
        <v>#DIV/0!</v>
      </c>
      <c r="AH44" s="34"/>
      <c r="AI44" s="34"/>
      <c r="AJ44" s="9" t="e">
        <f t="shared" si="14"/>
        <v>#DIV/0!</v>
      </c>
      <c r="AK44" s="70">
        <f>AB44+AE44+AH44</f>
        <v>0</v>
      </c>
      <c r="AL44" s="70">
        <f>AC44+AF44+AI44</f>
        <v>0</v>
      </c>
      <c r="AM44" s="9" t="e">
        <f t="shared" si="36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432993.29999999993</v>
      </c>
      <c r="AU44" s="57">
        <f>N44+Z44+AL44+AO44+AQ44+AS44</f>
        <v>167151.1</v>
      </c>
      <c r="AV44" s="9">
        <f t="shared" si="8"/>
        <v>38.60362273504002</v>
      </c>
      <c r="AW44" s="57">
        <f t="shared" si="37"/>
        <v>265842.19999999995</v>
      </c>
      <c r="AX44" s="15">
        <f>C44+AT44-AU44</f>
        <v>1181797.4</v>
      </c>
      <c r="AY44" s="19">
        <f t="shared" si="16"/>
        <v>432993.29999999993</v>
      </c>
      <c r="AZ44" s="19">
        <f t="shared" si="17"/>
        <v>167151.1</v>
      </c>
      <c r="BA44" s="38">
        <f t="shared" si="18"/>
        <v>1181797.4</v>
      </c>
    </row>
    <row r="45" spans="1:53" ht="34.5" customHeight="1">
      <c r="A45" s="11"/>
      <c r="B45" s="13" t="s">
        <v>90</v>
      </c>
      <c r="C45" s="66">
        <f>C43+C7</f>
        <v>924133.1</v>
      </c>
      <c r="D45" s="15">
        <f>D43+D7</f>
        <v>73577.5</v>
      </c>
      <c r="E45" s="15">
        <f>E43+E7</f>
        <v>30047.8</v>
      </c>
      <c r="F45" s="9">
        <f>E45/D45*100</f>
        <v>40.83829975196222</v>
      </c>
      <c r="G45" s="15">
        <f>G7+G43</f>
        <v>80513.4</v>
      </c>
      <c r="H45" s="15">
        <f>H7+H43</f>
        <v>29368</v>
      </c>
      <c r="I45" s="9">
        <f t="shared" si="2"/>
        <v>36.47591581028748</v>
      </c>
      <c r="J45" s="15">
        <f>J7+J43</f>
        <v>83387.38236</v>
      </c>
      <c r="K45" s="15">
        <f>K7+K43</f>
        <v>34956.43327</v>
      </c>
      <c r="L45" s="9">
        <f t="shared" si="19"/>
        <v>41.920530757382565</v>
      </c>
      <c r="M45" s="15">
        <f>M7+M43</f>
        <v>237478.28235999998</v>
      </c>
      <c r="N45" s="15">
        <f>N7+N43</f>
        <v>94372.23327</v>
      </c>
      <c r="O45" s="9">
        <f t="shared" si="3"/>
        <v>39.73931103600391</v>
      </c>
      <c r="P45" s="15">
        <f>P7+P43</f>
        <v>76353.28224</v>
      </c>
      <c r="Q45" s="15">
        <f>Q7+Q43</f>
        <v>35593.39108</v>
      </c>
      <c r="R45" s="9">
        <f t="shared" si="4"/>
        <v>46.61671382786124</v>
      </c>
      <c r="S45" s="15">
        <f>S7+S43</f>
        <v>76800.09999999999</v>
      </c>
      <c r="T45" s="15">
        <f>T7+T43</f>
        <v>30014.3</v>
      </c>
      <c r="U45" s="9">
        <f t="shared" si="31"/>
        <v>39.0810689048582</v>
      </c>
      <c r="V45" s="15">
        <f>V7+V43</f>
        <v>67670.8</v>
      </c>
      <c r="W45" s="15">
        <f>W7+W43</f>
        <v>32473.1</v>
      </c>
      <c r="X45" s="9">
        <f t="shared" si="32"/>
        <v>47.98687173788399</v>
      </c>
      <c r="Y45" s="15">
        <f>Y7+Y43</f>
        <v>220824.18224</v>
      </c>
      <c r="Z45" s="15">
        <f>Z7+Z43</f>
        <v>98080.79108000001</v>
      </c>
      <c r="AA45" s="9">
        <f t="shared" si="35"/>
        <v>44.415783672370694</v>
      </c>
      <c r="AB45" s="15">
        <f>AB7+AB43</f>
        <v>0</v>
      </c>
      <c r="AC45" s="15">
        <f>AC7+AC43</f>
        <v>0</v>
      </c>
      <c r="AD45" s="9" t="e">
        <f t="shared" si="12"/>
        <v>#DIV/0!</v>
      </c>
      <c r="AE45" s="15">
        <f>AE43+AE7</f>
        <v>0</v>
      </c>
      <c r="AF45" s="15">
        <f>AF43+AF7</f>
        <v>0</v>
      </c>
      <c r="AG45" s="9" t="e">
        <f t="shared" si="13"/>
        <v>#DIV/0!</v>
      </c>
      <c r="AH45" s="15">
        <f>AH43+AH7</f>
        <v>0</v>
      </c>
      <c r="AI45" s="15">
        <f>AI43+AI7</f>
        <v>0</v>
      </c>
      <c r="AJ45" s="9" t="e">
        <f t="shared" si="14"/>
        <v>#DIV/0!</v>
      </c>
      <c r="AK45" s="15">
        <f>AK7+AK43</f>
        <v>0</v>
      </c>
      <c r="AL45" s="15">
        <f>AL7+AL43</f>
        <v>0</v>
      </c>
      <c r="AM45" s="9" t="e">
        <f t="shared" si="36"/>
        <v>#DIV/0!</v>
      </c>
      <c r="AN45" s="15">
        <f aca="true" t="shared" si="42" ref="AN45:AS45">AN43+AN7</f>
        <v>0</v>
      </c>
      <c r="AO45" s="15">
        <f t="shared" si="42"/>
        <v>0</v>
      </c>
      <c r="AP45" s="15">
        <f t="shared" si="42"/>
        <v>0</v>
      </c>
      <c r="AQ45" s="15">
        <f t="shared" si="42"/>
        <v>0</v>
      </c>
      <c r="AR45" s="15">
        <f t="shared" si="42"/>
        <v>0</v>
      </c>
      <c r="AS45" s="15">
        <f t="shared" si="42"/>
        <v>0</v>
      </c>
      <c r="AT45" s="66">
        <f>AT7+AT43</f>
        <v>458302.46459999995</v>
      </c>
      <c r="AU45" s="66">
        <f>AU7+AU43</f>
        <v>192453.02435</v>
      </c>
      <c r="AV45" s="9">
        <f>AU45/AT45*100</f>
        <v>41.99257896593908</v>
      </c>
      <c r="AW45" s="15">
        <f>AW7+AW43</f>
        <v>265849.4402499999</v>
      </c>
      <c r="AX45" s="15">
        <f>AX7+AX43</f>
        <v>1189982.5402499998</v>
      </c>
      <c r="AY45" s="19">
        <f t="shared" si="16"/>
        <v>458302.46459999995</v>
      </c>
      <c r="AZ45" s="19">
        <f t="shared" si="17"/>
        <v>192453.02435000002</v>
      </c>
      <c r="BA45" s="38">
        <f t="shared" si="18"/>
        <v>1189982.5402499998</v>
      </c>
    </row>
    <row r="46" spans="1:62" s="110" customFormat="1" ht="78.75" customHeight="1">
      <c r="A46" s="242" t="s">
        <v>95</v>
      </c>
      <c r="B46" s="242"/>
      <c r="C46" s="24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20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250" t="s">
        <v>75</v>
      </c>
      <c r="AX47" s="251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99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1" s="28" customFormat="1" ht="46.5" customHeight="1">
      <c r="A51" s="25"/>
      <c r="B51" s="233" t="s">
        <v>76</v>
      </c>
      <c r="C51" s="233"/>
      <c r="D51" s="233"/>
      <c r="E51" s="233"/>
      <c r="F51" s="233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  <c r="AY51" s="27"/>
    </row>
    <row r="52" spans="1:50" ht="73.5" customHeight="1" hidden="1">
      <c r="A52" s="243" t="s">
        <v>72</v>
      </c>
      <c r="B52" s="243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18.75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7:50" ht="18.75"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2:50" ht="18.75">
      <c r="B55" s="93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18.75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18.75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2:50" ht="18.75">
      <c r="B58" s="93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2:50" ht="18.75">
      <c r="B59" s="93"/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18.75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18.75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18.75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18.75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18.75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18.75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18.75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18.75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18.75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18.75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18.75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18.75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18.75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18.75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18.75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18.75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18.75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18.75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18.75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18.75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18.75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18.75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18.75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18.75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18.75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18.75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18.75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18.75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18.75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18.75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18.75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18.75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18.75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18.75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18.75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18.75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18.75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18.75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</sheetData>
  <sheetProtection/>
  <mergeCells count="25">
    <mergeCell ref="A2:AX3"/>
    <mergeCell ref="I1:AX1"/>
    <mergeCell ref="B4:F4"/>
    <mergeCell ref="D5:F5"/>
    <mergeCell ref="AK5:AM5"/>
    <mergeCell ref="G5:I5"/>
    <mergeCell ref="AE5:AG5"/>
    <mergeCell ref="J5:L5"/>
    <mergeCell ref="AH5:AJ5"/>
    <mergeCell ref="AW47:AX47"/>
    <mergeCell ref="AW5:AW6"/>
    <mergeCell ref="V5:X5"/>
    <mergeCell ref="AB5:AD5"/>
    <mergeCell ref="AT5:AV5"/>
    <mergeCell ref="Y5:AA5"/>
    <mergeCell ref="AX5:AX6"/>
    <mergeCell ref="AP5:AQ5"/>
    <mergeCell ref="AR5:AS5"/>
    <mergeCell ref="A52:B52"/>
    <mergeCell ref="B51:F51"/>
    <mergeCell ref="M5:O5"/>
    <mergeCell ref="S5:U5"/>
    <mergeCell ref="P5:R5"/>
    <mergeCell ref="AN5:AO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2020-07-16T13:11:45Z</cp:lastPrinted>
  <dcterms:created xsi:type="dcterms:W3CDTF">2001-09-14T09:33:50Z</dcterms:created>
  <dcterms:modified xsi:type="dcterms:W3CDTF">2020-07-16T13:11:51Z</dcterms:modified>
  <cp:category/>
  <cp:version/>
  <cp:contentType/>
  <cp:contentStatus/>
</cp:coreProperties>
</file>