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'Всього'!$F$1:$F$96</definedName>
    <definedName name="_xlnm.Print_Area" localSheetId="0">'Всього'!$A$1:$AW$49</definedName>
    <definedName name="_xlnm.Print_Area" localSheetId="7">'госпрозрахунк.'!$A$1:$AW$49</definedName>
    <definedName name="_xlnm.Print_Area" localSheetId="4">'держ.бюджет'!$A$1:$AW$49</definedName>
    <definedName name="_xlnm.Print_Area" localSheetId="2">'льготи'!$A$1:$AW$49</definedName>
    <definedName name="_xlnm.Print_Area" localSheetId="5">'місц.-район.бюджет'!$A$1:$AW$49</definedName>
    <definedName name="_xlnm.Print_Area" localSheetId="1">'населення'!$A$1:$AX$50</definedName>
    <definedName name="_xlnm.Print_Area" localSheetId="6">'обласной'!$A$1:$AW$49</definedName>
    <definedName name="_xlnm.Print_Area" localSheetId="3">'субсидии'!$A$1:$AW$51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<sst xmlns="http://schemas.openxmlformats.org/spreadsheetml/2006/main" count="981" uniqueCount="102">
  <si>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</si>
  <si>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</si>
  <si>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</si>
  <si>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</si>
  <si>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</si>
  <si>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</si>
  <si>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</si>
  <si>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</si>
  <si>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</si>
  <si>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</si>
  <si>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</si>
  <si>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</si>
  <si>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</si>
  <si>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</si>
  <si>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</si>
  <si>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</si>
  <si>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</si>
  <si>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</si>
  <si>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</si>
  <si>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</si>
  <si>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</si>
  <si>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</si>
  <si>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</si>
  <si>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</si>
  <si>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</si>
  <si>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</si>
  <si>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</si>
  <si>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</si>
  <si>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</si>
  <si>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</si>
  <si>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</si>
  <si>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</si>
  <si>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</si>
  <si>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</si>
  <si>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</si>
  <si>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</si>
  <si>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</si>
  <si>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</si>
  <si>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</si>
  <si>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</si>
  <si>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</si>
  <si>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</si>
  <si>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</si>
  <si>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</si>
  <si>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</si>
  <si>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</si>
  <si>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</si>
  <si>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</si>
  <si>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</si>
  <si>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</si>
  <si>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</si>
  <si>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</si>
  <si>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</si>
  <si>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</si>
  <si>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</si>
  <si>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</si>
  <si>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</si>
  <si>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</si>
  <si>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</si>
  <si>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</si>
  <si>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</si>
  <si>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</si>
  <si>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</si>
  <si>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</si>
  <si>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</si>
  <si>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</si>
  <si>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</si>
  <si>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</si>
  <si>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</si>
  <si>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на 01.01.2019</t>
  </si>
  <si>
    <t>лютий</t>
  </si>
  <si>
    <t>березень</t>
  </si>
  <si>
    <t>квітень</t>
  </si>
  <si>
    <t>1 квартал 2019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</si>
  <si>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</si>
  <si>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</si>
  <si>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</si>
  <si>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</si>
  <si>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</si>
  <si>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</si>
  <si>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</si>
  <si>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</si>
  <si>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</si>
  <si>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</si>
  <si>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</si>
  <si>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</si>
  <si>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на 01.01.2020</t>
  </si>
  <si>
    <t>з початку 2020 року</t>
  </si>
  <si>
    <t>2 квартал 2020</t>
  </si>
  <si>
    <t>3 квартал 2020</t>
  </si>
  <si>
    <t>на 01.02.2019</t>
  </si>
  <si>
    <t>Заборгованість за 2020 рік станом на 01.03.2020</t>
  </si>
  <si>
    <t>Загальна заборгованість станом на 01.03.2020 (з урахуванням боргів минулих років)</t>
  </si>
  <si>
    <t>Інформація щодо заборгованості споживачів за послуги теплопостачання станом на 01.03.2020</t>
  </si>
  <si>
    <t>Інформація щодо заборгованості населення за послуги теплопостачання станом на 01.03.2020</t>
  </si>
  <si>
    <t>Відшкодування пільг за надані послуги теплопостачання станом на 01.03.2020</t>
  </si>
  <si>
    <t>Відшкодування субсидій за надані послуги теплопостачання станом на 01.03.2020</t>
  </si>
  <si>
    <t>Інформація щодо заборгованості установ, які фінансуються з державного бюджету, за послуги теплопостачання станом на 01.03.2020</t>
  </si>
  <si>
    <t>Інформація щодо заборгованості установ, які фінансуються з місцевого бюджету, за послуги теплопостачання станом на 01.03.2020</t>
  </si>
  <si>
    <t>Інформація щодо заборгованості установ, які фінансуються з обласного бюджету, за послуги теплопостачання станом на 01.03.2020</t>
  </si>
  <si>
    <t>Інформація щодо заборгованості інших споживачів за послуги теплопостачання станом на 01.03.2020</t>
  </si>
  <si>
    <t>ТОВ "ТЕЦРП"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</si>
</sst>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7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8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70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1" fillId="0" borderId="0" xfId="0" applyFont="1" applyFill="1" applyAlignment="1">
      <alignment horizontal="center"/>
    </xf>
    <xf numFmtId="0" fontId="67" fillId="0" borderId="0" xfId="0" applyFont="1" applyFill="1" applyAlignment="1">
      <alignment wrapText="1"/>
    </xf>
    <xf numFmtId="188" fontId="67" fillId="0" borderId="0" xfId="0" applyNumberFormat="1" applyFont="1" applyFill="1" applyAlignment="1">
      <alignment/>
    </xf>
    <xf numFmtId="188" fontId="71" fillId="0" borderId="0" xfId="0" applyNumberFormat="1" applyFont="1" applyFill="1" applyAlignment="1">
      <alignment/>
    </xf>
    <xf numFmtId="0" fontId="67" fillId="0" borderId="0" xfId="0" applyFont="1" applyFill="1" applyAlignment="1">
      <alignment horizontal="left" vertical="center" wrapText="1"/>
    </xf>
    <xf numFmtId="0" fontId="71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72" fillId="0" borderId="10" xfId="0" applyNumberFormat="1" applyFont="1" applyFill="1" applyBorder="1" applyAlignment="1">
      <alignment/>
    </xf>
    <xf numFmtId="192" fontId="71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 vertical="center" wrapText="1"/>
    </xf>
    <xf numFmtId="192" fontId="71" fillId="0" borderId="10" xfId="0" applyNumberFormat="1" applyFont="1" applyFill="1" applyBorder="1" applyAlignment="1">
      <alignment wrapText="1"/>
    </xf>
    <xf numFmtId="192" fontId="73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192" fontId="74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7" fillId="0" borderId="1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192" fontId="73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3" fillId="0" borderId="1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192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192" fontId="67" fillId="0" borderId="10" xfId="0" applyNumberFormat="1" applyFont="1" applyFill="1" applyBorder="1" applyAlignment="1">
      <alignment horizontal="right"/>
    </xf>
    <xf numFmtId="192" fontId="71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 quotePrefix="1">
      <alignment wrapText="1"/>
    </xf>
    <xf numFmtId="0" fontId="70" fillId="0" borderId="0" xfId="0" applyFont="1" applyFill="1" applyAlignment="1">
      <alignment/>
    </xf>
    <xf numFmtId="192" fontId="68" fillId="0" borderId="0" xfId="0" applyNumberFormat="1" applyFont="1" applyFill="1" applyBorder="1" applyAlignment="1">
      <alignment wrapText="1"/>
    </xf>
    <xf numFmtId="1" fontId="70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188" fontId="70" fillId="0" borderId="0" xfId="0" applyNumberFormat="1" applyFont="1" applyFill="1" applyAlignment="1">
      <alignment/>
    </xf>
    <xf numFmtId="188" fontId="68" fillId="0" borderId="0" xfId="0" applyNumberFormat="1" applyFont="1" applyFill="1" applyAlignment="1">
      <alignment/>
    </xf>
    <xf numFmtId="0" fontId="75" fillId="0" borderId="16" xfId="0" applyFont="1" applyFill="1" applyBorder="1" applyAlignment="1">
      <alignment vertical="center"/>
    </xf>
    <xf numFmtId="1" fontId="68" fillId="0" borderId="0" xfId="0" applyNumberFormat="1" applyFont="1" applyFill="1" applyAlignment="1">
      <alignment/>
    </xf>
    <xf numFmtId="0" fontId="74" fillId="0" borderId="10" xfId="0" applyFont="1" applyFill="1" applyBorder="1" applyAlignment="1">
      <alignment vertical="center"/>
    </xf>
    <xf numFmtId="192" fontId="74" fillId="0" borderId="10" xfId="0" applyNumberFormat="1" applyFont="1" applyFill="1" applyBorder="1" applyAlignment="1">
      <alignment vertical="center"/>
    </xf>
    <xf numFmtId="192" fontId="74" fillId="0" borderId="10" xfId="0" applyNumberFormat="1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/>
    </xf>
    <xf numFmtId="192" fontId="67" fillId="0" borderId="10" xfId="0" applyNumberFormat="1" applyFont="1" applyFill="1" applyBorder="1" applyAlignment="1">
      <alignment vertical="center"/>
    </xf>
    <xf numFmtId="192" fontId="68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70" fillId="0" borderId="0" xfId="0" applyNumberFormat="1" applyFont="1" applyFill="1" applyBorder="1" applyAlignment="1">
      <alignment/>
    </xf>
    <xf numFmtId="192" fontId="70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67" fillId="33" borderId="10" xfId="0" applyNumberFormat="1" applyFont="1" applyFill="1" applyBorder="1" applyAlignment="1">
      <alignment/>
    </xf>
    <xf numFmtId="19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1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73" fillId="33" borderId="10" xfId="0" applyNumberFormat="1" applyFont="1" applyFill="1" applyBorder="1" applyAlignment="1">
      <alignment wrapText="1"/>
    </xf>
    <xf numFmtId="192" fontId="74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 wrapText="1"/>
    </xf>
    <xf numFmtId="192" fontId="67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70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71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7" fillId="33" borderId="15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192" fontId="71" fillId="33" borderId="10" xfId="0" applyNumberFormat="1" applyFont="1" applyFill="1" applyBorder="1" applyAlignment="1">
      <alignment/>
    </xf>
    <xf numFmtId="192" fontId="70" fillId="33" borderId="10" xfId="0" applyNumberFormat="1" applyFont="1" applyFill="1" applyBorder="1" applyAlignment="1">
      <alignment/>
    </xf>
    <xf numFmtId="0" fontId="70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4" fillId="33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vertical="center"/>
    </xf>
    <xf numFmtId="0" fontId="71" fillId="33" borderId="10" xfId="0" applyFont="1" applyFill="1" applyBorder="1" applyAlignment="1">
      <alignment vertical="center"/>
    </xf>
    <xf numFmtId="192" fontId="67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192" fontId="14" fillId="33" borderId="10" xfId="0" applyNumberFormat="1" applyFont="1" applyFill="1" applyBorder="1" applyAlignment="1">
      <alignment/>
    </xf>
    <xf numFmtId="192" fontId="74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4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68" fillId="33" borderId="0" xfId="0" applyNumberFormat="1" applyFont="1" applyFill="1" applyBorder="1" applyAlignment="1">
      <alignment wrapText="1"/>
    </xf>
    <xf numFmtId="1" fontId="70" fillId="33" borderId="0" xfId="0" applyNumberFormat="1" applyFont="1" applyFill="1" applyAlignment="1">
      <alignment/>
    </xf>
    <xf numFmtId="1" fontId="68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192" fontId="14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92" fontId="12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/>
    </xf>
    <xf numFmtId="0" fontId="67" fillId="33" borderId="0" xfId="0" applyFont="1" applyFill="1" applyAlignment="1">
      <alignment wrapText="1"/>
    </xf>
    <xf numFmtId="188" fontId="67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188" fontId="71" fillId="33" borderId="0" xfId="0" applyNumberFormat="1" applyFont="1" applyFill="1" applyAlignment="1">
      <alignment/>
    </xf>
    <xf numFmtId="0" fontId="67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88" fontId="13" fillId="33" borderId="10" xfId="0" applyNumberFormat="1" applyFont="1" applyFill="1" applyBorder="1" applyAlignment="1">
      <alignment/>
    </xf>
    <xf numFmtId="188" fontId="13" fillId="33" borderId="0" xfId="0" applyNumberFormat="1" applyFont="1" applyFill="1" applyAlignment="1">
      <alignment/>
    </xf>
    <xf numFmtId="192" fontId="72" fillId="0" borderId="10" xfId="0" applyNumberFormat="1" applyFont="1" applyFill="1" applyBorder="1" applyAlignment="1">
      <alignment wrapText="1"/>
    </xf>
    <xf numFmtId="0" fontId="70" fillId="0" borderId="10" xfId="0" applyFont="1" applyFill="1" applyBorder="1" applyAlignment="1">
      <alignment horizontal="center"/>
    </xf>
    <xf numFmtId="192" fontId="74" fillId="0" borderId="10" xfId="0" applyNumberFormat="1" applyFont="1" applyFill="1" applyBorder="1" applyAlignment="1">
      <alignment/>
    </xf>
    <xf numFmtId="192" fontId="76" fillId="0" borderId="10" xfId="0" applyNumberFormat="1" applyFont="1" applyFill="1" applyBorder="1" applyAlignment="1">
      <alignment/>
    </xf>
    <xf numFmtId="192" fontId="68" fillId="0" borderId="0" xfId="0" applyNumberFormat="1" applyFont="1" applyFill="1" applyAlignment="1">
      <alignment/>
    </xf>
    <xf numFmtId="0" fontId="67" fillId="0" borderId="10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0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7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7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6"/>
  <sheetViews>
    <sheetView tabSelected="1" view="pageBreakPreview" zoomScale="70" zoomScaleNormal="70" zoomScaleSheetLayoutView="70" zoomScalePageLayoutView="80" workbookViewId="0" topLeftCell="A3">
      <pane xSplit="6" ySplit="6" topLeftCell="H16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2" sqref="A2:AW3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32" customWidth="1"/>
    <col min="4" max="4" width="18.125" style="5" customWidth="1"/>
    <col min="5" max="5" width="17.875" style="5" customWidth="1"/>
    <col min="6" max="6" width="13.75390625" style="8" customWidth="1"/>
    <col min="7" max="7" width="16.625" style="5" customWidth="1"/>
    <col min="8" max="8" width="16.125" style="5" customWidth="1"/>
    <col min="9" max="9" width="12.00390625" style="8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5" width="14.75390625" style="8" hidden="1" customWidth="1"/>
    <col min="16" max="16" width="14.75390625" style="5" hidden="1" customWidth="1"/>
    <col min="17" max="17" width="17.25390625" style="5" hidden="1" customWidth="1"/>
    <col min="18" max="18" width="15.625" style="8" hidden="1" customWidth="1"/>
    <col min="19" max="19" width="17.125" style="5" hidden="1" customWidth="1"/>
    <col min="20" max="20" width="19.00390625" style="5" hidden="1" customWidth="1"/>
    <col min="21" max="24" width="13.25390625" style="8" hidden="1" customWidth="1"/>
    <col min="25" max="25" width="15.375" style="8" hidden="1" customWidth="1"/>
    <col min="26" max="26" width="15.00390625" style="8" hidden="1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625" style="8" hidden="1" customWidth="1"/>
    <col min="38" max="38" width="12.00390625" style="8" hidden="1" customWidth="1"/>
    <col min="39" max="42" width="13.25390625" style="8" hidden="1" customWidth="1"/>
    <col min="43" max="43" width="14.375" style="8" hidden="1" customWidth="1"/>
    <col min="44" max="44" width="13.25390625" style="8" hidden="1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33"/>
      <c r="G1" s="9"/>
      <c r="H1" s="9"/>
      <c r="I1" s="133"/>
      <c r="J1" s="9"/>
      <c r="K1" s="9"/>
      <c r="L1" s="133"/>
      <c r="M1" s="133"/>
      <c r="N1" s="133"/>
      <c r="O1" s="133"/>
      <c r="P1" s="9"/>
      <c r="Q1" s="9"/>
      <c r="R1" s="133"/>
      <c r="S1" s="9"/>
      <c r="T1" s="9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9"/>
      <c r="AW1" s="133"/>
    </row>
    <row r="2" spans="1:49" s="30" customFormat="1" ht="60" customHeight="1">
      <c r="A2" s="242" t="s">
        <v>93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</row>
    <row r="3" spans="1:49" s="134" customFormat="1" ht="60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</row>
    <row r="4" spans="2:49" ht="34.5" customHeight="1">
      <c r="B4" s="238"/>
      <c r="C4" s="238"/>
      <c r="AW4" s="11" t="s">
        <v>26</v>
      </c>
    </row>
    <row r="5" spans="1:51" ht="36.75" customHeight="1">
      <c r="A5" s="22" t="s">
        <v>4</v>
      </c>
      <c r="B5" s="23"/>
      <c r="C5" s="24" t="s">
        <v>1</v>
      </c>
      <c r="D5" s="235" t="s">
        <v>68</v>
      </c>
      <c r="E5" s="236"/>
      <c r="F5" s="237"/>
      <c r="G5" s="232" t="s">
        <v>70</v>
      </c>
      <c r="H5" s="233"/>
      <c r="I5" s="234"/>
      <c r="J5" s="232" t="s">
        <v>71</v>
      </c>
      <c r="K5" s="233"/>
      <c r="L5" s="234"/>
      <c r="M5" s="232" t="s">
        <v>85</v>
      </c>
      <c r="N5" s="233"/>
      <c r="O5" s="234"/>
      <c r="P5" s="232" t="s">
        <v>72</v>
      </c>
      <c r="Q5" s="233"/>
      <c r="R5" s="234"/>
      <c r="S5" s="232" t="s">
        <v>75</v>
      </c>
      <c r="T5" s="233"/>
      <c r="U5" s="234"/>
      <c r="V5" s="232" t="s">
        <v>76</v>
      </c>
      <c r="W5" s="233"/>
      <c r="X5" s="234"/>
      <c r="Y5" s="232" t="s">
        <v>88</v>
      </c>
      <c r="Z5" s="233"/>
      <c r="AA5" s="234"/>
      <c r="AB5" s="232" t="s">
        <v>78</v>
      </c>
      <c r="AC5" s="233"/>
      <c r="AD5" s="234"/>
      <c r="AE5" s="232" t="s">
        <v>79</v>
      </c>
      <c r="AF5" s="233"/>
      <c r="AG5" s="234"/>
      <c r="AH5" s="232" t="s">
        <v>80</v>
      </c>
      <c r="AI5" s="234"/>
      <c r="AJ5" s="232" t="s">
        <v>89</v>
      </c>
      <c r="AK5" s="233"/>
      <c r="AL5" s="234"/>
      <c r="AM5" s="232" t="s">
        <v>82</v>
      </c>
      <c r="AN5" s="234"/>
      <c r="AO5" s="232" t="s">
        <v>83</v>
      </c>
      <c r="AP5" s="234"/>
      <c r="AQ5" s="232" t="s">
        <v>84</v>
      </c>
      <c r="AR5" s="234"/>
      <c r="AS5" s="235" t="s">
        <v>87</v>
      </c>
      <c r="AT5" s="236"/>
      <c r="AU5" s="237"/>
      <c r="AV5" s="240" t="s">
        <v>91</v>
      </c>
      <c r="AW5" s="240" t="s">
        <v>92</v>
      </c>
      <c r="AY5" s="135">
        <f>AZ7-AV7</f>
        <v>0</v>
      </c>
    </row>
    <row r="6" spans="1:53" ht="59.25" customHeight="1">
      <c r="A6" s="25" t="s">
        <v>2</v>
      </c>
      <c r="B6" s="26" t="s">
        <v>61</v>
      </c>
      <c r="C6" s="97" t="s">
        <v>69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41"/>
      <c r="AW6" s="241"/>
      <c r="AX6" s="135"/>
      <c r="AY6" s="135"/>
      <c r="BA6" s="135"/>
    </row>
    <row r="7" spans="1:53" s="8" customFormat="1" ht="34.5" customHeight="1">
      <c r="A7" s="12"/>
      <c r="B7" s="13" t="s">
        <v>62</v>
      </c>
      <c r="C7" s="136">
        <f>населення!C8+льготи!C7+субсидии!C7+'держ.бюджет'!C7+'місц.-район.бюджет'!C7+обласной!C7+'госпрозрахунк.'!C7</f>
        <v>345349.1</v>
      </c>
      <c r="D7" s="136">
        <f>населення!D8+льготи!D7+субсидии!D7+'держ.бюджет'!D7+'місц.-район.бюджет'!D7+обласной!D7+'госпрозрахунк.'!D7</f>
        <v>210717.69999999998</v>
      </c>
      <c r="E7" s="136">
        <f>населення!E8+льготи!E7+субсидии!E7+'держ.бюджет'!E7+'місц.-район.бюджет'!E7+обласной!E7+'госпрозрахунк.'!E7</f>
        <v>113303.00000000001</v>
      </c>
      <c r="F7" s="94">
        <f>E7/D7*100</f>
        <v>53.770043997253204</v>
      </c>
      <c r="G7" s="136">
        <f>населення!G8+льготи!G7+субсидии!G7+'держ.бюджет'!G7+'місц.-район.бюджет'!G7+обласной!G7+'госпрозрахунк.'!G7</f>
        <v>183700.30000000002</v>
      </c>
      <c r="H7" s="136">
        <f>населення!H8+льготи!H7+субсидии!H7+'держ.бюджет'!H7+'місц.-район.бюджет'!H7+обласной!H7+'госпрозрахунк.'!H7</f>
        <v>164654.9</v>
      </c>
      <c r="I7" s="14">
        <f aca="true" t="shared" si="0" ref="I7:I22">H7/G7*100</f>
        <v>89.63235226072031</v>
      </c>
      <c r="J7" s="136">
        <f>населення!J8+льготи!J7+субсидии!J7+'держ.бюджет'!J7+'місц.-район.бюджет'!J7+обласной!J7+'госпрозрахунк.'!J7</f>
        <v>0</v>
      </c>
      <c r="K7" s="136">
        <f>населення!K8+льготи!K7+субсидии!K7+'держ.бюджет'!K7+'місц.-район.бюджет'!K7+обласной!K7+'госпрозрахунк.'!K7</f>
        <v>0</v>
      </c>
      <c r="L7" s="14" t="e">
        <f aca="true" t="shared" si="1" ref="L7:L49">K7/J7*100</f>
        <v>#DIV/0!</v>
      </c>
      <c r="M7" s="136">
        <f>населення!M8+льготи!M7+субсидии!M7+'держ.бюджет'!M7+'місц.-район.бюджет'!M7+обласной!M7+'госпрозрахунк.'!M7</f>
        <v>394418</v>
      </c>
      <c r="N7" s="136">
        <f>населення!N8+льготи!N7+субсидии!N7+'держ.бюджет'!N7+'місц.-район.бюджет'!N7+обласной!N7+'госпрозрахунк.'!N7</f>
        <v>277957.89999999997</v>
      </c>
      <c r="O7" s="136">
        <f>N7/M7*100</f>
        <v>70.47292466368167</v>
      </c>
      <c r="P7" s="136">
        <f>населення!P8+льготи!P7+субсидии!P7+'держ.бюджет'!P7+'місц.-район.бюджет'!P7+обласной!P7+'госпрозрахунк.'!P7</f>
        <v>0</v>
      </c>
      <c r="Q7" s="136">
        <f>населення!Q8+льготи!Q7+субсидии!Q7+'держ.бюджет'!Q7+'місц.-район.бюджет'!Q7+обласной!Q7+'госпрозрахунк.'!Q7</f>
        <v>0</v>
      </c>
      <c r="R7" s="136" t="e">
        <f>Q7/P7*100</f>
        <v>#DIV/0!</v>
      </c>
      <c r="S7" s="136">
        <f>населення!S8+льготи!S7+субсидии!S7+'держ.бюджет'!S7+'місц.-район.бюджет'!S7+обласной!S7+'госпрозрахунк.'!S7</f>
        <v>0</v>
      </c>
      <c r="T7" s="136">
        <f>населення!T8+льготи!T7+субсидии!T7+'держ.бюджет'!T7+'місц.-район.бюджет'!T7+обласной!T7+'госпрозрахунк.'!T7</f>
        <v>0</v>
      </c>
      <c r="U7" s="136" t="e">
        <f>T7/S7*100</f>
        <v>#DIV/0!</v>
      </c>
      <c r="V7" s="136">
        <f>населення!V8+льготи!V7+субсидии!V7+'держ.бюджет'!V7+'місц.-район.бюджет'!V7+обласной!V7+'госпрозрахунк.'!V7</f>
        <v>0</v>
      </c>
      <c r="W7" s="136">
        <f>населення!W8+льготи!W7+субсидии!W7+'держ.бюджет'!W7+'місц.-район.бюджет'!W7+обласной!W7+'госпрозрахунк.'!W7</f>
        <v>0</v>
      </c>
      <c r="X7" s="136" t="e">
        <f>W7/V7*100</f>
        <v>#DIV/0!</v>
      </c>
      <c r="Y7" s="136">
        <f>населення!Y8+льготи!Y7+субсидии!Y7+'держ.бюджет'!Y7+'місц.-район.бюджет'!Y7+обласной!Y7+'госпрозрахунк.'!Y7</f>
        <v>0</v>
      </c>
      <c r="Z7" s="136">
        <f>населення!Z8+льготи!Z7+субсидии!Z7+'держ.бюджет'!Z7+'місц.-район.бюджет'!Z7+обласной!Z7+'госпрозрахунк.'!Z7</f>
        <v>0</v>
      </c>
      <c r="AA7" s="136" t="e">
        <f aca="true" t="shared" si="2" ref="AA7:AA19">Z7/Y7*100</f>
        <v>#DIV/0!</v>
      </c>
      <c r="AB7" s="136">
        <f>населення!AB8+льготи!AB7+субсидии!AB7+'держ.бюджет'!AB7+'місц.-район.бюджет'!AB7+обласной!AB7+'госпрозрахунк.'!AB7</f>
        <v>0</v>
      </c>
      <c r="AC7" s="136">
        <f>населення!AC8+льготи!AC7+субсидии!AC7+'держ.бюджет'!AC7+'місц.-район.бюджет'!AC7+обласной!AC7+'госпрозрахунк.'!AC7</f>
        <v>0</v>
      </c>
      <c r="AD7" s="136" t="e">
        <f>AC7/AB7*100</f>
        <v>#DIV/0!</v>
      </c>
      <c r="AE7" s="136">
        <f>населення!AE8+льготи!AE7+субсидии!AE7+'держ.бюджет'!AE7+'місц.-район.бюджет'!AE7+обласной!AE7+'госпрозрахунк.'!AE7</f>
        <v>0</v>
      </c>
      <c r="AF7" s="136">
        <f>населення!AF8+льготи!AF7+субсидии!AF7+'держ.бюджет'!AF7+'місц.-район.бюджет'!AF7+обласной!AF7+'госпрозрахунк.'!AF7</f>
        <v>0</v>
      </c>
      <c r="AG7" s="136" t="e">
        <f>AF7/AE7*100</f>
        <v>#DIV/0!</v>
      </c>
      <c r="AH7" s="136">
        <f>населення!AH8+льготи!AH7+субсидии!AH7+'держ.бюджет'!AH7+'місц.-район.бюджет'!AH7+обласной!AH7+'госпрозрахунк.'!AH7</f>
        <v>0</v>
      </c>
      <c r="AI7" s="136">
        <f>населення!AI8+льготи!AI7+субсидии!AI7+'держ.бюджет'!AI7+'місц.-район.бюджет'!AI7+обласной!AI7+'госпрозрахунк.'!AI7</f>
        <v>0</v>
      </c>
      <c r="AJ7" s="136">
        <f>населення!AJ8+льготи!AJ7+субсидии!AJ7+'держ.бюджет'!AJ7+'місц.-район.бюджет'!AJ7+обласной!AJ7+'госпрозрахунк.'!AJ7</f>
        <v>0</v>
      </c>
      <c r="AK7" s="136">
        <f>населення!AK8+льготи!AK7+субсидии!AK7+'держ.бюджет'!AK7+'місц.-район.бюджет'!AK7+обласной!AK7+'госпрозрахунк.'!AK7</f>
        <v>0</v>
      </c>
      <c r="AL7" s="136" t="e">
        <f>AK7/AJ7*100</f>
        <v>#DIV/0!</v>
      </c>
      <c r="AM7" s="136">
        <f>населення!AM8+льготи!AM7+субсидии!AM7+'держ.бюджет'!AM7+'місц.-район.бюджет'!AM7+обласной!AM7+'госпрозрахунк.'!AM7</f>
        <v>0</v>
      </c>
      <c r="AN7" s="136">
        <f>населення!AN8+льготи!AN7+субсидии!AN7+'держ.бюджет'!AN7+'місц.-район.бюджет'!AN7+обласной!AN7+'госпрозрахунк.'!AN7</f>
        <v>0</v>
      </c>
      <c r="AO7" s="136">
        <f>населення!AO8+льготи!AO7+субсидии!AO7+'держ.бюджет'!AO7+'місц.-район.бюджет'!AO7+обласной!AO7+'госпрозрахунк.'!AO7</f>
        <v>0</v>
      </c>
      <c r="AP7" s="136">
        <f>населення!AP8+льготи!AP7+субсидии!AP7+'держ.бюджет'!AP7+'місц.-район.бюджет'!AP7+обласной!AP7+'госпрозрахунк.'!AP7</f>
        <v>0</v>
      </c>
      <c r="AQ7" s="136">
        <f>населення!AR8+льготи!AQ7+субсидии!AQ7+'держ.бюджет'!AQ7+'місц.-район.бюджет'!AQ7+обласной!AQ7+'госпрозрахунк.'!AQ7</f>
        <v>0</v>
      </c>
      <c r="AR7" s="136">
        <f>населення!AS8+льготи!AR7+субсидии!AR7+'держ.бюджет'!AR7+'місц.-район.бюджет'!AR7+обласной!AR7+'госпрозрахунк.'!AR7</f>
        <v>0</v>
      </c>
      <c r="AS7" s="136">
        <f>населення!AT8+льготи!AS7+субсидии!AS7+'держ.бюджет'!AS7+'місц.-район.бюджет'!AS7+обласной!AS7+'госпрозрахунк.'!AS7</f>
        <v>394418</v>
      </c>
      <c r="AT7" s="136">
        <f>населення!AU8+льготи!AT7+субсидии!AT7+'держ.бюджет'!AT7+'місц.-район.бюджет'!AT7+обласной!AT7+'госпрозрахунк.'!AT7</f>
        <v>277957.89999999997</v>
      </c>
      <c r="AU7" s="136">
        <f>AT7/AS7*100</f>
        <v>70.47292466368167</v>
      </c>
      <c r="AV7" s="136">
        <f>населення!AW8+льготи!AV7+субсидии!AV7+'держ.бюджет'!AV7+'місц.-район.бюджет'!AV7+обласной!AV7+'госпрозрахунк.'!AV7</f>
        <v>116460.10000000002</v>
      </c>
      <c r="AW7" s="136">
        <f>населення!AX8+льготи!AW7+субсидии!AW7+'держ.бюджет'!AW7+'місц.-район.бюджет'!AW7+обласной!AW7+'госпрозрахунк.'!AW7</f>
        <v>461809.2</v>
      </c>
      <c r="AX7" s="136">
        <f>M7+Y7+AJ7+AM7+AO7+AQ7</f>
        <v>394418</v>
      </c>
      <c r="AY7" s="136">
        <f>N7+Z7+AK7+AN7+AP7+AR7</f>
        <v>277957.89999999997</v>
      </c>
      <c r="AZ7" s="20">
        <f>AX7-AY7</f>
        <v>116460.10000000003</v>
      </c>
      <c r="BA7" s="20">
        <f>C7+AX7-AY7</f>
        <v>461809.2</v>
      </c>
    </row>
    <row r="8" spans="1:54" ht="34.5" customHeight="1">
      <c r="A8" s="6">
        <v>1</v>
      </c>
      <c r="B8" s="1" t="s">
        <v>27</v>
      </c>
      <c r="C8" s="136">
        <f>населення!C9+льготи!C8+субсидии!C8+'держ.бюджет'!C8+'місц.-район.бюджет'!C8+обласной!C8+'госпрозрахунк.'!C8</f>
        <v>38642.19999999999</v>
      </c>
      <c r="D8" s="137">
        <f>населення!D9+льготи!D8+субсидии!D8+'держ.бюджет'!D8+'місц.-район.бюджет'!D8+обласной!D8+'госпрозрахунк.'!D8</f>
        <v>13708.900000000001</v>
      </c>
      <c r="E8" s="137">
        <f>населення!E9+льготи!E8+субсидии!E8+'держ.бюджет'!E8+'місц.-район.бюджет'!E8+обласной!E8+'госпрозрахунк.'!E8</f>
        <v>8902.199999999999</v>
      </c>
      <c r="F8" s="14">
        <f aca="true" t="shared" si="3" ref="F8:F49">E8/D8*100</f>
        <v>64.93737644887626</v>
      </c>
      <c r="G8" s="137">
        <f>населення!G9+льготи!G8+субсидии!G8+'держ.бюджет'!G8+'місц.-район.бюджет'!G8+обласной!G8+'госпрозрахунк.'!G8</f>
        <v>11687.8</v>
      </c>
      <c r="H8" s="137">
        <f>населення!H9+льготи!H8+субсидии!H8+'держ.бюджет'!H8+'місц.-район.бюджет'!H8+обласной!H8+'госпрозрахунк.'!H8</f>
        <v>10796.2</v>
      </c>
      <c r="I8" s="14">
        <f t="shared" si="0"/>
        <v>92.37153270932085</v>
      </c>
      <c r="J8" s="137">
        <f>населення!J9+льготи!J8+субсидии!J8+'держ.бюджет'!J8+'місц.-район.бюджет'!J8+обласной!J8+'госпрозрахунк.'!J8</f>
        <v>0</v>
      </c>
      <c r="K8" s="137">
        <f>населення!K9+льготи!K8+субсидии!K8+'держ.бюджет'!K8+'місц.-район.бюджет'!K8+обласной!K8+'госпрозрахунк.'!K8</f>
        <v>0</v>
      </c>
      <c r="L8" s="14" t="e">
        <f t="shared" si="1"/>
        <v>#DIV/0!</v>
      </c>
      <c r="M8" s="136">
        <f>населення!M9+льготи!M8+субсидии!M8+'держ.бюджет'!M8+'місц.-район.бюджет'!M8+обласной!M8+'госпрозрахунк.'!M8</f>
        <v>25396.700000000004</v>
      </c>
      <c r="N8" s="136">
        <f>населення!N9+льготи!N8+субсидии!N8+'держ.бюджет'!N8+'місц.-район.бюджет'!N8+обласной!N8+'госпрозрахунк.'!N8</f>
        <v>19698.4</v>
      </c>
      <c r="O8" s="136">
        <f aca="true" t="shared" si="4" ref="O8:O49">N8/M8*100</f>
        <v>77.56283296648776</v>
      </c>
      <c r="P8" s="136">
        <f>населення!P9+льготи!P8+субсидии!P8+'держ.бюджет'!P8+'місц.-район.бюджет'!P8+обласной!P8+'госпрозрахунк.'!P8</f>
        <v>0</v>
      </c>
      <c r="Q8" s="136">
        <f>населення!Q9+льготи!Q8+субсидии!Q8+'держ.бюджет'!Q8+'місц.-район.бюджет'!Q8+обласной!Q8+'госпрозрахунк.'!Q8</f>
        <v>0</v>
      </c>
      <c r="R8" s="136" t="e">
        <f aca="true" t="shared" si="5" ref="R8:R49">Q8/P8*100</f>
        <v>#DIV/0!</v>
      </c>
      <c r="S8" s="136">
        <f>населення!S9+льготи!S8+субсидии!S8+'держ.бюджет'!S8+'місц.-район.бюджет'!S8+обласной!S8+'госпрозрахунк.'!S8</f>
        <v>0</v>
      </c>
      <c r="T8" s="136">
        <f>населення!T9+льготи!T8+субсидии!T8+'держ.бюджет'!T8+'місц.-район.бюджет'!T8+обласной!T8+'госпрозрахунк.'!T8</f>
        <v>0</v>
      </c>
      <c r="U8" s="136"/>
      <c r="V8" s="136">
        <f>населення!V9+льготи!V8+субсидии!V8+'держ.бюджет'!V8+'місц.-район.бюджет'!V8+обласной!V8+'госпрозрахунк.'!V8</f>
        <v>0</v>
      </c>
      <c r="W8" s="136">
        <f>населення!W9+льготи!W8+субсидии!W8+'держ.бюджет'!W8+'місц.-район.бюджет'!W8+обласной!W8+'госпрозрахунк.'!W8</f>
        <v>0</v>
      </c>
      <c r="X8" s="136"/>
      <c r="Y8" s="136">
        <f>населення!Y9+льготи!Y8+субсидии!Y8+'держ.бюджет'!Y8+'місц.-район.бюджет'!Y8+обласной!Y8+'госпрозрахунк.'!Y8</f>
        <v>0</v>
      </c>
      <c r="Z8" s="136">
        <f>населення!Z9+льготи!Z8+субсидии!Z8+'держ.бюджет'!Z8+'місц.-район.бюджет'!Z8+обласной!Z8+'госпрозрахунк.'!Z8</f>
        <v>0</v>
      </c>
      <c r="AA8" s="136" t="e">
        <f t="shared" si="2"/>
        <v>#DIV/0!</v>
      </c>
      <c r="AB8" s="136">
        <f>населення!AB9+льготи!AB8+субсидии!AB8+'держ.бюджет'!AB8+'місц.-район.бюджет'!AB8+обласной!AB8+'госпрозрахунк.'!AB8</f>
        <v>0</v>
      </c>
      <c r="AC8" s="136">
        <f>населення!AC9+льготи!AC8+субсидии!AC8+'держ.бюджет'!AC8+'місц.-район.бюджет'!AC8+обласной!AC8+'госпрозрахунк.'!AC8</f>
        <v>0</v>
      </c>
      <c r="AD8" s="136" t="e">
        <f aca="true" t="shared" si="6" ref="AD8:AD49">AC8/AB8*100</f>
        <v>#DIV/0!</v>
      </c>
      <c r="AE8" s="136">
        <f>населення!AE9+льготи!AE8+субсидии!AE8+'держ.бюджет'!AE8+'місц.-район.бюджет'!AE8+обласной!AE8+'госпрозрахунк.'!AE8</f>
        <v>0</v>
      </c>
      <c r="AF8" s="136">
        <f>населення!AF9+льготи!AF8+субсидии!AF8+'держ.бюджет'!AF8+'місц.-район.бюджет'!AF8+обласной!AF8+'госпрозрахунк.'!AF8</f>
        <v>0</v>
      </c>
      <c r="AG8" s="99" t="e">
        <f>AF8/AE8*100</f>
        <v>#DIV/0!</v>
      </c>
      <c r="AH8" s="136">
        <f>населення!AH9+льготи!AH8+субсидии!AH8+'держ.бюджет'!AH8+'місц.-район.бюджет'!AH8+обласной!AH8+'госпрозрахунк.'!AH8</f>
        <v>0</v>
      </c>
      <c r="AI8" s="136">
        <f>населення!AI9+льготи!AI8+субсидии!AI8+'держ.бюджет'!AI8+'місц.-район.бюджет'!AI8+обласной!AI8+'госпрозрахунк.'!AI8</f>
        <v>0</v>
      </c>
      <c r="AJ8" s="136">
        <f>населення!AJ9+льготи!AJ8+субсидии!AJ8+'держ.бюджет'!AJ8+'місц.-район.бюджет'!AJ8+обласной!AJ8+'госпрозрахунк.'!AJ8</f>
        <v>0</v>
      </c>
      <c r="AK8" s="136">
        <f>населення!AK9+льготи!AK8+субсидии!AK8+'держ.бюджет'!AK8+'місц.-район.бюджет'!AK8+обласной!AK8+'госпрозрахунк.'!AK8</f>
        <v>0</v>
      </c>
      <c r="AL8" s="99" t="e">
        <f aca="true" t="shared" si="7" ref="AL8:AL49">AK8/AJ8*100</f>
        <v>#DIV/0!</v>
      </c>
      <c r="AM8" s="136">
        <f>населення!AM9+льготи!AM8+субсидии!AM8+'держ.бюджет'!AM8+'місц.-район.бюджет'!AM8+обласной!AM8+'госпрозрахунк.'!AM8</f>
        <v>0</v>
      </c>
      <c r="AN8" s="136">
        <f>населення!AN9+льготи!AN8+субсидии!AN8+'держ.бюджет'!AN8+'місц.-район.бюджет'!AN8+обласной!AN8+'госпрозрахунк.'!AN8</f>
        <v>0</v>
      </c>
      <c r="AO8" s="136">
        <f>населення!AO9+льготи!AO8+субсидии!AO8+'держ.бюджет'!AO8+'місц.-район.бюджет'!AO8+обласной!AO8+'госпрозрахунк.'!AO8</f>
        <v>0</v>
      </c>
      <c r="AP8" s="136">
        <f>населення!AP9+льготи!AP8+субсидии!AP8+'держ.бюджет'!AP8+'місц.-район.бюджет'!AP8+обласной!AP8+'госпрозрахунк.'!AP8</f>
        <v>0</v>
      </c>
      <c r="AQ8" s="136">
        <f>населення!AR9+льготи!AQ8+субсидии!AQ8+'держ.бюджет'!AQ8+'місц.-район.бюджет'!AQ8+обласной!AQ8+'госпрозрахунк.'!AQ8</f>
        <v>0</v>
      </c>
      <c r="AR8" s="136">
        <f>населення!AS9+льготи!AR8+субсидии!AR8+'держ.бюджет'!AR8+'місц.-район.бюджет'!AR8+обласной!AR8+'госпрозрахунк.'!AR8</f>
        <v>0</v>
      </c>
      <c r="AS8" s="136">
        <f>населення!AT9+льготи!AS8+субсидии!AS8+'держ.бюджет'!AS8+'місц.-район.бюджет'!AS8+обласной!AS8+'госпрозрахунк.'!AS8</f>
        <v>25396.700000000004</v>
      </c>
      <c r="AT8" s="136">
        <f>населення!AU9+льготи!AT8+субсидии!AT8+'держ.бюджет'!AT8+'місц.-район.бюджет'!AT8+обласной!AT8+'госпрозрахунк.'!AT8</f>
        <v>19698.4</v>
      </c>
      <c r="AU8" s="136">
        <f aca="true" t="shared" si="8" ref="AU8:AU49">AT8/AS8*100</f>
        <v>77.56283296648776</v>
      </c>
      <c r="AV8" s="136">
        <f>населення!AW9+льготи!AV8+субсидии!AV8+'держ.бюджет'!AV8+'місц.-район.бюджет'!AV8+обласной!AV8+'госпрозрахунк.'!AV8</f>
        <v>5698.3</v>
      </c>
      <c r="AW8" s="136">
        <f>населення!AX9+льготи!AW8+субсидии!AW8+'держ.бюджет'!AW8+'місц.-район.бюджет'!AW8+обласной!AW8+'госпрозрахунк.'!AW8</f>
        <v>44340.5</v>
      </c>
      <c r="AX8" s="136">
        <f aca="true" t="shared" si="9" ref="AX8:AX47">M8+Y8+AJ8+AM8+AO8+AQ8</f>
        <v>25396.700000000004</v>
      </c>
      <c r="AY8" s="136">
        <f aca="true" t="shared" si="10" ref="AY8:AY47">N8+Z8+AK8+AN8+AP8+AR8</f>
        <v>19698.4</v>
      </c>
      <c r="AZ8" s="20">
        <f aca="true" t="shared" si="11" ref="AZ8:AZ48">AX8-AY8</f>
        <v>5698.300000000003</v>
      </c>
      <c r="BA8" s="20">
        <f aca="true" t="shared" si="12" ref="BA8:BA48">C8+AX8-AY8</f>
        <v>44340.49999999999</v>
      </c>
      <c r="BB8" s="135"/>
    </row>
    <row r="9" spans="1:53" ht="34.5" customHeight="1">
      <c r="A9" s="6">
        <v>2</v>
      </c>
      <c r="B9" s="32" t="s">
        <v>28</v>
      </c>
      <c r="C9" s="136">
        <f>населення!C10+льготи!C9+субсидии!C9+'держ.бюджет'!C9+'місц.-район.бюджет'!C9+обласной!C9+'госпрозрахунк.'!C9</f>
        <v>-1320.3000000000002</v>
      </c>
      <c r="D9" s="137">
        <f>населення!D10+льготи!D9+субсидии!D9+'держ.бюджет'!D9+'місц.-район.бюджет'!D9+обласной!D9+'госпрозрахунк.'!D9</f>
        <v>2731.2</v>
      </c>
      <c r="E9" s="137">
        <f>населення!E10+льготи!E9+субсидии!E9+'держ.бюджет'!E9+'місц.-район.бюджет'!E9+обласной!E9+'госпрозрахунк.'!E9</f>
        <v>241</v>
      </c>
      <c r="F9" s="14">
        <f t="shared" si="3"/>
        <v>8.823960164030463</v>
      </c>
      <c r="G9" s="137">
        <f>населення!G10+льготи!G9+субсидии!G9+'держ.бюджет'!G9+'місц.-район.бюджет'!G9+обласной!G9+'госпрозрахунк.'!G9</f>
        <v>2489.4</v>
      </c>
      <c r="H9" s="137">
        <f>населення!H10+льготи!H9+субсидии!H9+'держ.бюджет'!H9+'місц.-район.бюджет'!H9+обласной!H9+'госпрозрахунк.'!H9</f>
        <v>1817.4</v>
      </c>
      <c r="I9" s="14">
        <f t="shared" si="0"/>
        <v>73.0055435044589</v>
      </c>
      <c r="J9" s="137">
        <f>населення!J10+льготи!J9+субсидии!J9+'держ.бюджет'!J9+'місц.-район.бюджет'!J9+обласной!J9+'госпрозрахунк.'!J9</f>
        <v>0</v>
      </c>
      <c r="K9" s="137">
        <f>населення!K10+льготи!K9+субсидии!K9+'держ.бюджет'!K9+'місц.-район.бюджет'!K9+обласной!K9+'госпрозрахунк.'!K9</f>
        <v>0</v>
      </c>
      <c r="L9" s="14" t="e">
        <f t="shared" si="1"/>
        <v>#DIV/0!</v>
      </c>
      <c r="M9" s="136">
        <f>населення!M10+льготи!M9+субсидии!M9+'держ.бюджет'!M9+'місц.-район.бюджет'!M9+обласной!M9+'госпрозрахунк.'!M9</f>
        <v>5220.6</v>
      </c>
      <c r="N9" s="136">
        <f>населення!N10+льготи!N9+субсидии!N9+'держ.бюджет'!N9+'місц.-район.бюджет'!N9+обласной!N9+'госпрозрахунк.'!N9</f>
        <v>2058.4</v>
      </c>
      <c r="O9" s="136">
        <f t="shared" si="4"/>
        <v>39.42841818948013</v>
      </c>
      <c r="P9" s="136">
        <f>населення!P10+льготи!P9+субсидии!P9+'держ.бюджет'!P9+'місц.-район.бюджет'!P9+обласной!P9+'госпрозрахунк.'!P9</f>
        <v>0</v>
      </c>
      <c r="Q9" s="136">
        <f>населення!Q10+льготи!Q9+субсидии!Q9+'держ.бюджет'!Q9+'місц.-район.бюджет'!Q9+обласной!Q9+'госпрозрахунк.'!Q9</f>
        <v>0</v>
      </c>
      <c r="R9" s="136" t="e">
        <f t="shared" si="5"/>
        <v>#DIV/0!</v>
      </c>
      <c r="S9" s="136">
        <f>населення!S10+льготи!S9+субсидии!S9+'держ.бюджет'!S9+'місц.-район.бюджет'!S9+обласной!S9+'госпрозрахунк.'!S9</f>
        <v>0</v>
      </c>
      <c r="T9" s="136">
        <f>населення!T10+льготи!T9+субсидии!T9+'держ.бюджет'!T9+'місц.-район.бюджет'!T9+обласной!T9+'госпрозрахунк.'!T9</f>
        <v>0</v>
      </c>
      <c r="U9" s="136"/>
      <c r="V9" s="136">
        <f>населення!V10+льготи!V9+субсидии!V9+'держ.бюджет'!V9+'місц.-район.бюджет'!V9+обласной!V9+'госпрозрахунк.'!V9</f>
        <v>0</v>
      </c>
      <c r="W9" s="136">
        <f>населення!W10+льготи!W9+субсидии!W9+'держ.бюджет'!W9+'місц.-район.бюджет'!W9+обласной!W9+'госпрозрахунк.'!W9</f>
        <v>0</v>
      </c>
      <c r="X9" s="136"/>
      <c r="Y9" s="136">
        <f>населення!Y10+льготи!Y9+субсидии!Y9+'держ.бюджет'!Y9+'місц.-район.бюджет'!Y9+обласной!Y9+'госпрозрахунк.'!Y9</f>
        <v>0</v>
      </c>
      <c r="Z9" s="136">
        <f>населення!Z10+льготи!Z9+субсидии!Z9+'держ.бюджет'!Z9+'місц.-район.бюджет'!Z9+обласной!Z9+'госпрозрахунк.'!Z9</f>
        <v>0</v>
      </c>
      <c r="AA9" s="136" t="e">
        <f t="shared" si="2"/>
        <v>#DIV/0!</v>
      </c>
      <c r="AB9" s="136">
        <f>населення!AB10+льготи!AB9+субсидии!AB9+'держ.бюджет'!AB9+'місц.-район.бюджет'!AB9+обласной!AB9+'госпрозрахунк.'!AB9</f>
        <v>0</v>
      </c>
      <c r="AC9" s="136">
        <f>населення!AC10+льготи!AC9+субсидии!AC9+'держ.бюджет'!AC9+'місц.-район.бюджет'!AC9+обласной!AC9+'госпрозрахунк.'!AC9</f>
        <v>0</v>
      </c>
      <c r="AD9" s="99" t="e">
        <f t="shared" si="6"/>
        <v>#DIV/0!</v>
      </c>
      <c r="AE9" s="136">
        <f>населення!AE10+льготи!AE9+субсидии!AE9+'держ.бюджет'!AE9+'місц.-район.бюджет'!AE9+обласной!AE9+'госпрозрахунк.'!AE9</f>
        <v>0</v>
      </c>
      <c r="AF9" s="136">
        <f>населення!AF10+льготи!AF9+субсидии!AF9+'держ.бюджет'!AF9+'місц.-район.бюджет'!AF9+обласной!AF9+'госпрозрахунк.'!AF9</f>
        <v>0</v>
      </c>
      <c r="AG9" s="99" t="e">
        <f>AF9/AE9*100</f>
        <v>#DIV/0!</v>
      </c>
      <c r="AH9" s="136">
        <f>населення!AH10+льготи!AH9+субсидии!AH9+'держ.бюджет'!AH9+'місц.-район.бюджет'!AH9+обласной!AH9+'госпрозрахунк.'!AH9</f>
        <v>0</v>
      </c>
      <c r="AI9" s="136">
        <f>населення!AI10+льготи!AI9+субсидии!AI9+'держ.бюджет'!AI9+'місц.-район.бюджет'!AI9+обласной!AI9+'госпрозрахунк.'!AI9</f>
        <v>0</v>
      </c>
      <c r="AJ9" s="136">
        <f>населення!AJ10+льготи!AJ9+субсидии!AJ9+'держ.бюджет'!AJ9+'місц.-район.бюджет'!AJ9+обласной!AJ9+'госпрозрахунк.'!AJ9</f>
        <v>0</v>
      </c>
      <c r="AK9" s="136">
        <f>населення!AK10+льготи!AK9+субсидии!AK9+'держ.бюджет'!AK9+'місц.-район.бюджет'!AK9+обласной!AK9+'госпрозрахунк.'!AK9</f>
        <v>0</v>
      </c>
      <c r="AL9" s="99" t="e">
        <f t="shared" si="7"/>
        <v>#DIV/0!</v>
      </c>
      <c r="AM9" s="136">
        <f>населення!AM10+льготи!AM9+субсидии!AM9+'держ.бюджет'!AM9+'місц.-район.бюджет'!AM9+обласной!AM9+'госпрозрахунк.'!AM9</f>
        <v>0</v>
      </c>
      <c r="AN9" s="136">
        <f>населення!AN10+льготи!AN9+субсидии!AN9+'держ.бюджет'!AN9+'місц.-район.бюджет'!AN9+обласной!AN9+'госпрозрахунк.'!AN9</f>
        <v>0</v>
      </c>
      <c r="AO9" s="136">
        <f>населення!AO10+льготи!AO9+субсидии!AO9+'держ.бюджет'!AO9+'місц.-район.бюджет'!AO9+обласной!AO9+'госпрозрахунк.'!AO9</f>
        <v>0</v>
      </c>
      <c r="AP9" s="136">
        <f>населення!AP10+льготи!AP9+субсидии!AP9+'держ.бюджет'!AP9+'місц.-район.бюджет'!AP9+обласной!AP9+'госпрозрахунк.'!AP9</f>
        <v>0</v>
      </c>
      <c r="AQ9" s="136">
        <f>населення!AR10+льготи!AQ9+субсидии!AQ9+'держ.бюджет'!AQ9+'місц.-район.бюджет'!AQ9+обласной!AQ9+'госпрозрахунк.'!AQ9</f>
        <v>0</v>
      </c>
      <c r="AR9" s="136">
        <f>населення!AS10+льготи!AR9+субсидии!AR9+'держ.бюджет'!AR9+'місц.-район.бюджет'!AR9+обласной!AR9+'госпрозрахунк.'!AR9</f>
        <v>0</v>
      </c>
      <c r="AS9" s="136">
        <f>населення!AT10+льготи!AS9+субсидии!AS9+'держ.бюджет'!AS9+'місц.-район.бюджет'!AS9+обласной!AS9+'госпрозрахунк.'!AS9</f>
        <v>5220.6</v>
      </c>
      <c r="AT9" s="136">
        <f>населення!AU10+льготи!AT9+субсидии!AT9+'держ.бюджет'!AT9+'місц.-район.бюджет'!AT9+обласной!AT9+'госпрозрахунк.'!AT9</f>
        <v>2058.4</v>
      </c>
      <c r="AU9" s="136">
        <f t="shared" si="8"/>
        <v>39.42841818948013</v>
      </c>
      <c r="AV9" s="136">
        <f>населення!AW10+льготи!AV9+субсидии!AV9+'держ.бюджет'!AV9+'місц.-район.бюджет'!AV9+обласной!AV9+'госпрозрахунк.'!AV9</f>
        <v>3162.2</v>
      </c>
      <c r="AW9" s="136">
        <f>населення!AX10+льготи!AW9+субсидии!AW9+'держ.бюджет'!AW9+'місц.-район.бюджет'!AW9+обласной!AW9+'госпрозрахунк.'!AW9</f>
        <v>1841.9</v>
      </c>
      <c r="AX9" s="136">
        <f t="shared" si="9"/>
        <v>5220.6</v>
      </c>
      <c r="AY9" s="136">
        <f t="shared" si="10"/>
        <v>2058.4</v>
      </c>
      <c r="AZ9" s="20">
        <f t="shared" si="11"/>
        <v>3162.2000000000003</v>
      </c>
      <c r="BA9" s="20">
        <f t="shared" si="12"/>
        <v>1841.9</v>
      </c>
    </row>
    <row r="10" spans="1:53" ht="34.5" customHeight="1">
      <c r="A10" s="6">
        <v>3</v>
      </c>
      <c r="B10" s="15" t="s">
        <v>29</v>
      </c>
      <c r="C10" s="136"/>
      <c r="D10" s="137"/>
      <c r="E10" s="137"/>
      <c r="F10" s="14"/>
      <c r="G10" s="137"/>
      <c r="H10" s="137"/>
      <c r="I10" s="14"/>
      <c r="J10" s="137"/>
      <c r="K10" s="137"/>
      <c r="L10" s="14"/>
      <c r="M10" s="136"/>
      <c r="N10" s="136"/>
      <c r="O10" s="99"/>
      <c r="P10" s="99">
        <f>населення!P11+льготи!P10+субсидии!P10+'держ.бюджет'!P10+'місц.-район.бюджет'!P10+обласной!P10+'госпрозрахунк.'!P10</f>
        <v>0</v>
      </c>
      <c r="Q10" s="99">
        <f>населення!Q11+льготи!Q10+субсидии!Q10+'держ.бюджет'!Q10+'місц.-район.бюджет'!Q10+обласной!Q10+'госпрозрахунк.'!Q10</f>
        <v>0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 t="e">
        <f t="shared" si="6"/>
        <v>#DIV/0!</v>
      </c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136"/>
      <c r="AW10" s="136"/>
      <c r="AX10" s="136">
        <f t="shared" si="9"/>
        <v>0</v>
      </c>
      <c r="AY10" s="136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30</v>
      </c>
      <c r="C11" s="136">
        <f>населення!C12+льготи!C11+субсидии!C11+'держ.бюджет'!C11+'місц.-район.бюджет'!C11+обласной!C11+'госпрозрахунк.'!C11</f>
        <v>-119.30000000000001</v>
      </c>
      <c r="D11" s="137">
        <f>населення!D12+льготи!D11+субсидии!D11+'держ.бюджет'!D11+'місц.-район.бюджет'!D11+обласной!D11+'госпрозрахунк.'!D11</f>
        <v>396.9</v>
      </c>
      <c r="E11" s="137">
        <f>населення!E12+льготи!E11+субсидии!E11+'держ.бюджет'!E11+'місц.-район.бюджет'!E11+обласной!E11+'госпрозрахунк.'!E11</f>
        <v>8</v>
      </c>
      <c r="F11" s="14">
        <f t="shared" si="3"/>
        <v>2.0156210632401113</v>
      </c>
      <c r="G11" s="137">
        <f>населення!G12+льготи!G11+субсидии!G11+'держ.бюджет'!G11+'місц.-район.бюджет'!G11+обласной!G11+'госпрозрахунк.'!G11</f>
        <v>429.5</v>
      </c>
      <c r="H11" s="137">
        <f>населення!H12+льготи!H11+субсидии!H11+'держ.бюджет'!H11+'місц.-район.бюджет'!H11+обласной!H11+'госпрозрахунк.'!H11</f>
        <v>195.6</v>
      </c>
      <c r="I11" s="14">
        <f t="shared" si="0"/>
        <v>45.541327124563445</v>
      </c>
      <c r="J11" s="137">
        <f>населення!J12+льготи!J11+субсидии!J11+'держ.бюджет'!J11+'місц.-район.бюджет'!J11+обласной!J11+'госпрозрахунк.'!J11</f>
        <v>0</v>
      </c>
      <c r="K11" s="137">
        <f>населення!K12+льготи!K11+субсидии!K11+'держ.бюджет'!K11+'місц.-район.бюджет'!K11+обласной!K11+'госпрозрахунк.'!K11</f>
        <v>0</v>
      </c>
      <c r="L11" s="14" t="e">
        <f t="shared" si="1"/>
        <v>#DIV/0!</v>
      </c>
      <c r="M11" s="136">
        <f>населення!M12+льготи!M11+субсидии!M11+'держ.бюджет'!M11+'місц.-район.бюджет'!M11+обласной!M11+'госпрозрахунк.'!M11</f>
        <v>826.4</v>
      </c>
      <c r="N11" s="136">
        <f>населення!N12+льготи!N11+субсидии!N11+'держ.бюджет'!N11+'місц.-район.бюджет'!N11+обласной!N11+'госпрозрахунк.'!N11</f>
        <v>203.6</v>
      </c>
      <c r="O11" s="136">
        <f t="shared" si="4"/>
        <v>24.63697967086157</v>
      </c>
      <c r="P11" s="136">
        <f>населення!P12+льготи!P11+субсидии!P11+'держ.бюджет'!P11+'місц.-район.бюджет'!P11+обласной!P11+'госпрозрахунк.'!P11</f>
        <v>0</v>
      </c>
      <c r="Q11" s="136">
        <f>населення!Q12+льготи!Q11+субсидии!Q11+'держ.бюджет'!Q11+'місц.-район.бюджет'!Q11+обласной!Q11+'госпрозрахунк.'!Q11</f>
        <v>0</v>
      </c>
      <c r="R11" s="136" t="e">
        <f t="shared" si="5"/>
        <v>#DIV/0!</v>
      </c>
      <c r="S11" s="136">
        <f>населення!S12+льготи!S11+субсидии!S11+'держ.бюджет'!S11+'місц.-район.бюджет'!S11+обласной!S11+'госпрозрахунк.'!S11</f>
        <v>0</v>
      </c>
      <c r="T11" s="136">
        <f>населення!T12+льготи!T11+субсидии!T11+'держ.бюджет'!T11+'місц.-район.бюджет'!T11+обласной!T11+'госпрозрахунк.'!T11</f>
        <v>0</v>
      </c>
      <c r="U11" s="99" t="e">
        <f>T11/S11*100</f>
        <v>#DIV/0!</v>
      </c>
      <c r="V11" s="136">
        <f>населення!V12+льготи!V11+субсидии!V11+'держ.бюджет'!V11+'місц.-район.бюджет'!V11+обласной!V11+'госпрозрахунк.'!V11</f>
        <v>0</v>
      </c>
      <c r="W11" s="136">
        <f>населення!W12+льготи!W11+субсидии!W11+'держ.бюджет'!W11+'місц.-район.бюджет'!W11+обласной!W11+'госпрозрахунк.'!W11</f>
        <v>0</v>
      </c>
      <c r="X11" s="99" t="e">
        <f>W11/V11*100</f>
        <v>#DIV/0!</v>
      </c>
      <c r="Y11" s="136">
        <f>населення!Y12+льготи!Y11+субсидии!Y11+'держ.бюджет'!Y11+'місц.-район.бюджет'!Y11+обласной!Y11+'госпрозрахунк.'!Y11</f>
        <v>0</v>
      </c>
      <c r="Z11" s="136">
        <f>населення!Z12+льготи!Z11+субсидии!Z11+'держ.бюджет'!Z11+'місц.-район.бюджет'!Z11+обласной!Z11+'госпрозрахунк.'!Z11</f>
        <v>0</v>
      </c>
      <c r="AA11" s="136" t="e">
        <f t="shared" si="2"/>
        <v>#DIV/0!</v>
      </c>
      <c r="AB11" s="136">
        <f>населення!AB12+льготи!AB11+субсидии!AB11+'держ.бюджет'!AB11+'місц.-район.бюджет'!AB11+обласной!AB11+'госпрозрахунк.'!AB11</f>
        <v>0</v>
      </c>
      <c r="AC11" s="136">
        <f>населення!AC12+льготи!AC11+субсидии!AC11+'держ.бюджет'!AC11+'місц.-район.бюджет'!AC11+обласной!AC11+'госпрозрахунк.'!AC11</f>
        <v>0</v>
      </c>
      <c r="AD11" s="136" t="e">
        <f t="shared" si="6"/>
        <v>#DIV/0!</v>
      </c>
      <c r="AE11" s="136">
        <f>населення!AE12+льготи!AE11+субсидии!AE11+'держ.бюджет'!AE11+'місц.-район.бюджет'!AE11+обласной!AE11+'госпрозрахунк.'!AE11</f>
        <v>0</v>
      </c>
      <c r="AF11" s="136">
        <f>населення!AF12+льготи!AF11+субсидии!AF11+'держ.бюджет'!AF11+'місц.-район.бюджет'!AF11+обласной!AF11+'госпрозрахунк.'!AF11</f>
        <v>0</v>
      </c>
      <c r="AG11" s="100">
        <v>0</v>
      </c>
      <c r="AH11" s="136">
        <f>населення!AH12+льготи!AH11+субсидии!AH11+'держ.бюджет'!AH11+'місц.-район.бюджет'!AH11+обласной!AH11+'госпрозрахунк.'!AH11</f>
        <v>0</v>
      </c>
      <c r="AI11" s="136">
        <f>населення!AI12+льготи!AI11+субсидии!AI11+'держ.бюджет'!AI11+'місц.-район.бюджет'!AI11+обласной!AI11+'госпрозрахунк.'!AI11</f>
        <v>0</v>
      </c>
      <c r="AJ11" s="136">
        <f>населення!AJ12+льготи!AJ11+субсидии!AJ11+'держ.бюджет'!AJ11+'місц.-район.бюджет'!AJ11+обласной!AJ11+'госпрозрахунк.'!AJ11</f>
        <v>0</v>
      </c>
      <c r="AK11" s="136">
        <f>населення!AK12+льготи!AK11+субсидии!AK11+'держ.бюджет'!AK11+'місц.-район.бюджет'!AK11+обласной!AK11+'госпрозрахунк.'!AK11</f>
        <v>0</v>
      </c>
      <c r="AL11" s="99" t="e">
        <f t="shared" si="7"/>
        <v>#DIV/0!</v>
      </c>
      <c r="AM11" s="136">
        <f>населення!AM12+льготи!AM11+субсидии!AM11+'держ.бюджет'!AM11+'місц.-район.бюджет'!AM11+обласной!AM11+'госпрозрахунк.'!AM11</f>
        <v>0</v>
      </c>
      <c r="AN11" s="136">
        <f>населення!AN12+льготи!AN11+субсидии!AN11+'держ.бюджет'!AN11+'місц.-район.бюджет'!AN11+обласной!AN11+'госпрозрахунк.'!AN11</f>
        <v>0</v>
      </c>
      <c r="AO11" s="136">
        <f>населення!AO12+льготи!AO11+субсидии!AO11+'держ.бюджет'!AO11+'місц.-район.бюджет'!AO11+обласной!AO11+'госпрозрахунк.'!AO11</f>
        <v>0</v>
      </c>
      <c r="AP11" s="136">
        <f>населення!AP12+льготи!AP11+субсидии!AP11+'держ.бюджет'!AP11+'місц.-район.бюджет'!AP11+обласной!AP11+'госпрозрахунк.'!AP11</f>
        <v>0</v>
      </c>
      <c r="AQ11" s="136">
        <f>населення!AR12+льготи!AQ11+субсидии!AQ11+'держ.бюджет'!AQ11+'місц.-район.бюджет'!AQ11+обласной!AQ11+'госпрозрахунк.'!AQ11</f>
        <v>0</v>
      </c>
      <c r="AR11" s="136">
        <f>населення!AS12+льготи!AR11+субсидии!AR11+'держ.бюджет'!AR11+'місц.-район.бюджет'!AR11+обласной!AR11+'госпрозрахунк.'!AR11</f>
        <v>0</v>
      </c>
      <c r="AS11" s="136">
        <f>населення!AT12+льготи!AS11+субсидии!AS11+'держ.бюджет'!AS11+'місц.-район.бюджет'!AS11+обласной!AS11+'госпрозрахунк.'!AS11</f>
        <v>826.4</v>
      </c>
      <c r="AT11" s="136">
        <f>населення!AU12+льготи!AT11+субсидии!AT11+'держ.бюджет'!AT11+'місц.-район.бюджет'!AT11+обласной!AT11+'госпрозрахунк.'!AT11</f>
        <v>203.6</v>
      </c>
      <c r="AU11" s="136">
        <f t="shared" si="8"/>
        <v>24.63697967086157</v>
      </c>
      <c r="AV11" s="136">
        <f>населення!AW12+льготи!AV11+субсидии!AV11+'держ.бюджет'!AV11+'місц.-район.бюджет'!AV11+обласной!AV11+'госпрозрахунк.'!AV11</f>
        <v>622.8</v>
      </c>
      <c r="AW11" s="136">
        <f>населення!AX12+льготи!AW11+субсидии!AW11+'держ.бюджет'!AW11+'місц.-район.бюджет'!AW11+обласной!AW11+'госпрозрахунк.'!AW11</f>
        <v>503.5</v>
      </c>
      <c r="AX11" s="136">
        <f t="shared" si="9"/>
        <v>826.4</v>
      </c>
      <c r="AY11" s="136">
        <f t="shared" si="10"/>
        <v>203.6</v>
      </c>
      <c r="AZ11" s="20">
        <f t="shared" si="11"/>
        <v>622.8</v>
      </c>
      <c r="BA11" s="20">
        <f t="shared" si="12"/>
        <v>503.4999999999999</v>
      </c>
    </row>
    <row r="12" spans="1:53" ht="34.5" customHeight="1">
      <c r="A12" s="19">
        <v>5</v>
      </c>
      <c r="B12" s="1" t="s">
        <v>31</v>
      </c>
      <c r="C12" s="136">
        <f>населення!C13+льготи!C12+субсидии!C12+'держ.бюджет'!C12+'місц.-район.бюджет'!C12+обласной!C12+'госпрозрахунк.'!C12</f>
        <v>4091.4</v>
      </c>
      <c r="D12" s="137">
        <f>населення!D13+льготи!D12+субсидии!D12+'держ.бюджет'!D12+'місц.-район.бюджет'!D12+обласной!D12+'госпрозрахунк.'!D12</f>
        <v>4450.299999999999</v>
      </c>
      <c r="E12" s="137">
        <f>населення!E13+льготи!E12+субсидии!E12+'держ.бюджет'!E12+'місц.-район.бюджет'!E12+обласной!E12+'госпрозрахунк.'!E12</f>
        <v>2078.6000000000004</v>
      </c>
      <c r="F12" s="14">
        <f t="shared" si="3"/>
        <v>46.706963575489304</v>
      </c>
      <c r="G12" s="137">
        <f>населення!G13+льготи!G12+субсидии!G12+'держ.бюджет'!G12+'місц.-район.бюджет'!G12+обласной!G12+'госпрозрахунк.'!G12</f>
        <v>4050.5</v>
      </c>
      <c r="H12" s="137">
        <f>населення!H13+льготи!H12+субсидии!H12+'держ.бюджет'!H12+'місц.-район.бюджет'!H12+обласной!H12+'госпрозрахунк.'!H12</f>
        <v>3681.4</v>
      </c>
      <c r="I12" s="14">
        <f t="shared" si="0"/>
        <v>90.88754474756203</v>
      </c>
      <c r="J12" s="137">
        <f>населення!J13+льготи!J12+субсидии!J12+'держ.бюджет'!J12+'місц.-район.бюджет'!J12+обласной!J12+'госпрозрахунк.'!J12</f>
        <v>0</v>
      </c>
      <c r="K12" s="137">
        <f>населення!K13+льготи!K12+субсидии!K12+'держ.бюджет'!K12+'місц.-район.бюджет'!K12+обласной!K12+'госпрозрахунк.'!K12</f>
        <v>0</v>
      </c>
      <c r="L12" s="14" t="e">
        <f t="shared" si="1"/>
        <v>#DIV/0!</v>
      </c>
      <c r="M12" s="136">
        <f>населення!M13+льготи!M12+субсидии!M12+'держ.бюджет'!M12+'місц.-район.бюджет'!M12+обласной!M12+'госпрозрахунк.'!M12</f>
        <v>8500.800000000001</v>
      </c>
      <c r="N12" s="136">
        <f>населення!N13+льготи!N12+субсидии!N12+'держ.бюджет'!N12+'місц.-район.бюджет'!N12+обласной!N12+'госпрозрахунк.'!N12</f>
        <v>5760.000000000002</v>
      </c>
      <c r="O12" s="136">
        <f t="shared" si="4"/>
        <v>67.75832862789386</v>
      </c>
      <c r="P12" s="136">
        <f>населення!P13+льготи!P12+субсидии!P12+'держ.бюджет'!P12+'місц.-район.бюджет'!P12+обласной!P12+'госпрозрахунк.'!P12</f>
        <v>0</v>
      </c>
      <c r="Q12" s="136">
        <f>населення!Q13+льготи!Q12+субсидии!Q12+'держ.бюджет'!Q12+'місц.-район.бюджет'!Q12+обласной!Q12+'госпрозрахунк.'!Q12</f>
        <v>0</v>
      </c>
      <c r="R12" s="136" t="e">
        <f t="shared" si="5"/>
        <v>#DIV/0!</v>
      </c>
      <c r="S12" s="136">
        <f>населення!S13+льготи!S12+субсидии!S12+'держ.бюджет'!S12+'місц.-район.бюджет'!S12+обласной!S12+'госпрозрахунк.'!S12</f>
        <v>0</v>
      </c>
      <c r="T12" s="136">
        <f>населення!T13+льготи!T12+субсидии!T12+'держ.бюджет'!T12+'місц.-район.бюджет'!T12+обласной!T12+'госпрозрахунк.'!T12</f>
        <v>0</v>
      </c>
      <c r="U12" s="136"/>
      <c r="V12" s="136">
        <f>населення!V13+льготи!V12+субсидии!V12+'держ.бюджет'!V12+'місц.-район.бюджет'!V12+обласной!V12+'госпрозрахунк.'!V12</f>
        <v>0</v>
      </c>
      <c r="W12" s="136">
        <f>населення!W13+льготи!W12+субсидии!W12+'держ.бюджет'!W12+'місц.-район.бюджет'!W12+обласной!W12+'госпрозрахунк.'!W12</f>
        <v>0</v>
      </c>
      <c r="X12" s="136"/>
      <c r="Y12" s="136">
        <f>населення!Y13+льготи!Y12+субсидии!Y12+'держ.бюджет'!Y12+'місц.-район.бюджет'!Y12+обласной!Y12+'госпрозрахунк.'!Y12</f>
        <v>0</v>
      </c>
      <c r="Z12" s="136">
        <f>населення!Z13+льготи!Z12+субсидии!Z12+'держ.бюджет'!Z12+'місц.-район.бюджет'!Z12+обласной!Z12+'госпрозрахунк.'!Z12</f>
        <v>0</v>
      </c>
      <c r="AA12" s="136" t="e">
        <f t="shared" si="2"/>
        <v>#DIV/0!</v>
      </c>
      <c r="AB12" s="136">
        <f>населення!AB13+льготи!AB12+субсидии!AB12+'держ.бюджет'!AB12+'місц.-район.бюджет'!AB12+обласной!AB12+'госпрозрахунк.'!AB12</f>
        <v>0</v>
      </c>
      <c r="AC12" s="136">
        <f>населення!AC13+льготи!AC12+субсидии!AC12+'держ.бюджет'!AC12+'місц.-район.бюджет'!AC12+обласной!AC12+'госпрозрахунк.'!AC12</f>
        <v>0</v>
      </c>
      <c r="AD12" s="136" t="e">
        <f t="shared" si="6"/>
        <v>#DIV/0!</v>
      </c>
      <c r="AE12" s="136">
        <f>населення!AE13+льготи!AE12+субсидии!AE12+'держ.бюджет'!AE12+'місц.-район.бюджет'!AE12+обласной!AE12+'госпрозрахунк.'!AE12</f>
        <v>0</v>
      </c>
      <c r="AF12" s="136">
        <f>населення!AF13+льготи!AF12+субсидии!AF12+'держ.бюджет'!AF12+'місц.-район.бюджет'!AF12+обласной!AF12+'госпрозрахунк.'!AF12</f>
        <v>0</v>
      </c>
      <c r="AG12" s="99" t="e">
        <f>AF12/AE12*100</f>
        <v>#DIV/0!</v>
      </c>
      <c r="AH12" s="136">
        <f>населення!AH13+льготи!AH12+субсидии!AH12+'держ.бюджет'!AH12+'місц.-район.бюджет'!AH12+обласной!AH12+'госпрозрахунк.'!AH12</f>
        <v>0</v>
      </c>
      <c r="AI12" s="136">
        <f>населення!AI13+льготи!AI12+субсидии!AI12+'держ.бюджет'!AI12+'місц.-район.бюджет'!AI12+обласной!AI12+'госпрозрахунк.'!AI12</f>
        <v>0</v>
      </c>
      <c r="AJ12" s="136">
        <f>населення!AJ13+льготи!AJ12+субсидии!AJ12+'держ.бюджет'!AJ12+'місц.-район.бюджет'!AJ12+обласной!AJ12+'госпрозрахунк.'!AJ12</f>
        <v>0</v>
      </c>
      <c r="AK12" s="136">
        <f>населення!AK13+льготи!AK12+субсидии!AK12+'держ.бюджет'!AK12+'місц.-район.бюджет'!AK12+обласной!AK12+'госпрозрахунк.'!AK12</f>
        <v>0</v>
      </c>
      <c r="AL12" s="99" t="e">
        <f t="shared" si="7"/>
        <v>#DIV/0!</v>
      </c>
      <c r="AM12" s="136">
        <f>населення!AM13+льготи!AM12+субсидии!AM12+'держ.бюджет'!AM12+'місц.-район.бюджет'!AM12+обласной!AM12+'госпрозрахунк.'!AM12</f>
        <v>0</v>
      </c>
      <c r="AN12" s="136">
        <f>населення!AN13+льготи!AN12+субсидии!AN12+'держ.бюджет'!AN12+'місц.-район.бюджет'!AN12+обласной!AN12+'госпрозрахунк.'!AN12</f>
        <v>0</v>
      </c>
      <c r="AO12" s="136">
        <f>населення!AO13+льготи!AO12+субсидии!AO12+'держ.бюджет'!AO12+'місц.-район.бюджет'!AO12+обласной!AO12+'госпрозрахунк.'!AO12</f>
        <v>0</v>
      </c>
      <c r="AP12" s="136">
        <f>населення!AP13+льготи!AP12+субсидии!AP12+'держ.бюджет'!AP12+'місц.-район.бюджет'!AP12+обласной!AP12+'госпрозрахунк.'!AP12</f>
        <v>0</v>
      </c>
      <c r="AQ12" s="136">
        <f>населення!AR13+льготи!AQ12+субсидии!AQ12+'держ.бюджет'!AQ12+'місц.-район.бюджет'!AQ12+обласной!AQ12+'госпрозрахунк.'!AQ12</f>
        <v>0</v>
      </c>
      <c r="AR12" s="136">
        <f>населення!AS13+льготи!AR12+субсидии!AR12+'держ.бюджет'!AR12+'місц.-район.бюджет'!AR12+обласной!AR12+'госпрозрахунк.'!AR12</f>
        <v>0</v>
      </c>
      <c r="AS12" s="136">
        <f>населення!AT13+льготи!AS12+субсидии!AS12+'держ.бюджет'!AS12+'місц.-район.бюджет'!AS12+обласной!AS12+'госпрозрахунк.'!AS12</f>
        <v>8500.800000000001</v>
      </c>
      <c r="AT12" s="136">
        <f>населення!AU13+льготи!AT12+субсидии!AT12+'держ.бюджет'!AT12+'місц.-район.бюджет'!AT12+обласной!AT12+'госпрозрахунк.'!AT12</f>
        <v>5760.000000000002</v>
      </c>
      <c r="AU12" s="136">
        <f t="shared" si="8"/>
        <v>67.75832862789386</v>
      </c>
      <c r="AV12" s="136">
        <f>населення!AW13+льготи!AV12+субсидии!AV12+'держ.бюджет'!AV12+'місц.-район.бюджет'!AV12+обласной!AV12+'госпрозрахунк.'!AV12</f>
        <v>2740.7999999999997</v>
      </c>
      <c r="AW12" s="136">
        <f>населення!AX13+льготи!AW12+субсидии!AW12+'держ.бюджет'!AW12+'місц.-район.бюджет'!AW12+обласной!AW12+'госпрозрахунк.'!AW12</f>
        <v>6832.199999999999</v>
      </c>
      <c r="AX12" s="136">
        <f t="shared" si="9"/>
        <v>8500.800000000001</v>
      </c>
      <c r="AY12" s="136">
        <f t="shared" si="10"/>
        <v>5760.000000000002</v>
      </c>
      <c r="AZ12" s="20">
        <f t="shared" si="11"/>
        <v>2740.7999999999993</v>
      </c>
      <c r="BA12" s="20">
        <f t="shared" si="12"/>
        <v>6832.199999999999</v>
      </c>
    </row>
    <row r="13" spans="1:53" ht="34.5" customHeight="1">
      <c r="A13" s="6">
        <v>6</v>
      </c>
      <c r="B13" s="1" t="s">
        <v>32</v>
      </c>
      <c r="C13" s="136">
        <f>населення!C14+льготи!C13+субсидии!C13+'держ.бюджет'!C13+'місц.-район.бюджет'!C13+обласной!C13+'госпрозрахунк.'!C13</f>
        <v>-295.79999999999995</v>
      </c>
      <c r="D13" s="137">
        <f>населення!D14+льготи!D13+субсидии!D13+'держ.бюджет'!D13+'місц.-район.бюджет'!D13+обласной!D13+'госпрозрахунк.'!D13</f>
        <v>1478.8</v>
      </c>
      <c r="E13" s="137">
        <f>населення!E14+льготи!E13+субсидии!E13+'держ.бюджет'!E13+'місц.-район.бюджет'!E13+обласной!E13+'госпрозрахунк.'!E13</f>
        <v>0</v>
      </c>
      <c r="F13" s="14">
        <f t="shared" si="3"/>
        <v>0</v>
      </c>
      <c r="G13" s="137">
        <f>населення!G14+льготи!G13+субсидии!G13+'держ.бюджет'!G13+'місц.-район.бюджет'!G13+обласной!G13+'госпрозрахунк.'!G13</f>
        <v>1399.8000000000002</v>
      </c>
      <c r="H13" s="137">
        <f>населення!H14+льготи!H13+субсидии!H13+'держ.бюджет'!H13+'місц.-район.бюджет'!H13+обласной!H13+'госпрозрахунк.'!H13</f>
        <v>1195.6999999999998</v>
      </c>
      <c r="I13" s="14">
        <f t="shared" si="0"/>
        <v>85.41934562080294</v>
      </c>
      <c r="J13" s="137">
        <f>населення!J14+льготи!J13+субсидии!J13+'держ.бюджет'!J13+'місц.-район.бюджет'!J13+обласной!J13+'госпрозрахунк.'!J13</f>
        <v>0</v>
      </c>
      <c r="K13" s="137">
        <f>населення!K14+льготи!K13+субсидии!K13+'держ.бюджет'!K13+'місц.-район.бюджет'!K13+обласной!K13+'госпрозрахунк.'!K13</f>
        <v>0</v>
      </c>
      <c r="L13" s="14" t="e">
        <f t="shared" si="1"/>
        <v>#DIV/0!</v>
      </c>
      <c r="M13" s="136">
        <f>населення!M14+льготи!M13+субсидии!M13+'держ.бюджет'!M13+'місц.-район.бюджет'!M13+обласной!M13+'госпрозрахунк.'!M13</f>
        <v>2878.6</v>
      </c>
      <c r="N13" s="136">
        <f>населення!N14+льготи!N13+субсидии!N13+'держ.бюджет'!N13+'місц.-район.бюджет'!N13+обласной!N13+'госпрозрахунк.'!N13</f>
        <v>1195.6999999999998</v>
      </c>
      <c r="O13" s="136">
        <f t="shared" si="4"/>
        <v>41.537552977141665</v>
      </c>
      <c r="P13" s="136">
        <f>населення!P14+льготи!P13+субсидии!P13+'держ.бюджет'!P13+'місц.-район.бюджет'!P13+обласной!P13+'госпрозрахунк.'!P13</f>
        <v>0</v>
      </c>
      <c r="Q13" s="136">
        <f>населення!Q14+льготи!Q13+субсидии!Q13+'держ.бюджет'!Q13+'місц.-район.бюджет'!Q13+обласной!Q13+'госпрозрахунк.'!Q13</f>
        <v>0</v>
      </c>
      <c r="R13" s="136" t="e">
        <f t="shared" si="5"/>
        <v>#DIV/0!</v>
      </c>
      <c r="S13" s="136">
        <f>населення!S14+льготи!S13+субсидии!S13+'держ.бюджет'!S13+'місц.-район.бюджет'!S13+обласной!S13+'госпрозрахунк.'!S13</f>
        <v>0</v>
      </c>
      <c r="T13" s="136">
        <f>населення!T14+льготи!T13+субсидии!T13+'держ.бюджет'!T13+'місц.-район.бюджет'!T13+обласной!T13+'госпрозрахунк.'!T13</f>
        <v>0</v>
      </c>
      <c r="U13" s="136"/>
      <c r="V13" s="136">
        <f>населення!V14+льготи!V13+субсидии!V13+'держ.бюджет'!V13+'місц.-район.бюджет'!V13+обласной!V13+'госпрозрахунк.'!V13</f>
        <v>0</v>
      </c>
      <c r="W13" s="136">
        <f>населення!W14+льготи!W13+субсидии!W13+'держ.бюджет'!W13+'місц.-район.бюджет'!W13+обласной!W13+'госпрозрахунк.'!W13</f>
        <v>0</v>
      </c>
      <c r="X13" s="136"/>
      <c r="Y13" s="136">
        <f>населення!Y14+льготи!Y13+субсидии!Y13+'держ.бюджет'!Y13+'місц.-район.бюджет'!Y13+обласной!Y13+'госпрозрахунк.'!Y13</f>
        <v>0</v>
      </c>
      <c r="Z13" s="136">
        <f>населення!Z14+льготи!Z13+субсидии!Z13+'держ.бюджет'!Z13+'місц.-район.бюджет'!Z13+обласной!Z13+'госпрозрахунк.'!Z13</f>
        <v>0</v>
      </c>
      <c r="AA13" s="136" t="e">
        <f t="shared" si="2"/>
        <v>#DIV/0!</v>
      </c>
      <c r="AB13" s="136">
        <f>населення!AB14+льготи!AB13+субсидии!AB13+'держ.бюджет'!AB13+'місц.-район.бюджет'!AB13+обласной!AB13+'госпрозрахунк.'!AB13</f>
        <v>0</v>
      </c>
      <c r="AC13" s="136">
        <f>населення!AC14+льготи!AC13+субсидии!AC13+'держ.бюджет'!AC13+'місц.-район.бюджет'!AC13+обласной!AC13+'госпрозрахунк.'!AC13</f>
        <v>0</v>
      </c>
      <c r="AD13" s="136" t="e">
        <f t="shared" si="6"/>
        <v>#DIV/0!</v>
      </c>
      <c r="AE13" s="136">
        <f>населення!AE14+льготи!AE13+субсидии!AE13+'держ.бюджет'!AE13+'місц.-район.бюджет'!AE13+обласной!AE13+'госпрозрахунк.'!AE13</f>
        <v>0</v>
      </c>
      <c r="AF13" s="136">
        <f>населення!AF14+льготи!AF13+субсидии!AF13+'держ.бюджет'!AF13+'місц.-район.бюджет'!AF13+обласной!AF13+'госпрозрахунк.'!AF13</f>
        <v>0</v>
      </c>
      <c r="AG13" s="99" t="e">
        <f>AF13/AE13*100</f>
        <v>#DIV/0!</v>
      </c>
      <c r="AH13" s="136">
        <f>населення!AH14+льготи!AH13+субсидии!AH13+'держ.бюджет'!AH13+'місц.-район.бюджет'!AH13+обласной!AH13+'госпрозрахунк.'!AH13</f>
        <v>0</v>
      </c>
      <c r="AI13" s="136">
        <f>населення!AI14+льготи!AI13+субсидии!AI13+'держ.бюджет'!AI13+'місц.-район.бюджет'!AI13+обласной!AI13+'госпрозрахунк.'!AI13</f>
        <v>0</v>
      </c>
      <c r="AJ13" s="136">
        <f>населення!AJ14+льготи!AJ13+субсидии!AJ13+'держ.бюджет'!AJ13+'місц.-район.бюджет'!AJ13+обласной!AJ13+'госпрозрахунк.'!AJ13</f>
        <v>0</v>
      </c>
      <c r="AK13" s="136">
        <f>населення!AK14+льготи!AK13+субсидии!AK13+'держ.бюджет'!AK13+'місц.-район.бюджет'!AK13+обласной!AK13+'госпрозрахунк.'!AK13</f>
        <v>0</v>
      </c>
      <c r="AL13" s="99" t="e">
        <f t="shared" si="7"/>
        <v>#DIV/0!</v>
      </c>
      <c r="AM13" s="136">
        <f>населення!AM14+льготи!AM13+субсидии!AM13+'держ.бюджет'!AM13+'місц.-район.бюджет'!AM13+обласной!AM13+'госпрозрахунк.'!AM13</f>
        <v>0</v>
      </c>
      <c r="AN13" s="136">
        <f>населення!AN14+льготи!AN13+субсидии!AN13+'держ.бюджет'!AN13+'місц.-район.бюджет'!AN13+обласной!AN13+'госпрозрахунк.'!AN13</f>
        <v>0</v>
      </c>
      <c r="AO13" s="136">
        <f>населення!AO14+льготи!AO13+субсидии!AO13+'держ.бюджет'!AO13+'місц.-район.бюджет'!AO13+обласной!AO13+'госпрозрахунк.'!AO13</f>
        <v>0</v>
      </c>
      <c r="AP13" s="136">
        <f>населення!AP14+льготи!AP13+субсидии!AP13+'держ.бюджет'!AP13+'місц.-район.бюджет'!AP13+обласной!AP13+'госпрозрахунк.'!AP13</f>
        <v>0</v>
      </c>
      <c r="AQ13" s="136">
        <f>населення!AR14+льготи!AQ13+субсидии!AQ13+'держ.бюджет'!AQ13+'місц.-район.бюджет'!AQ13+обласной!AQ13+'госпрозрахунк.'!AQ13</f>
        <v>0</v>
      </c>
      <c r="AR13" s="136">
        <f>населення!AS14+льготи!AR13+субсидии!AR13+'держ.бюджет'!AR13+'місц.-район.бюджет'!AR13+обласной!AR13+'госпрозрахунк.'!AR13</f>
        <v>0</v>
      </c>
      <c r="AS13" s="136">
        <f>населення!AT14+льготи!AS13+субсидии!AS13+'держ.бюджет'!AS13+'місц.-район.бюджет'!AS13+обласной!AS13+'госпрозрахунк.'!AS13</f>
        <v>2878.6</v>
      </c>
      <c r="AT13" s="136">
        <f>населення!AU14+льготи!AT13+субсидии!AT13+'держ.бюджет'!AT13+'місц.-район.бюджет'!AT13+обласной!AT13+'госпрозрахунк.'!AT13</f>
        <v>1195.6999999999998</v>
      </c>
      <c r="AU13" s="136">
        <f t="shared" si="8"/>
        <v>41.537552977141665</v>
      </c>
      <c r="AV13" s="136">
        <f>населення!AW14+льготи!AV13+субсидии!AV13+'держ.бюджет'!AV13+'місц.-район.бюджет'!AV13+обласной!AV13+'госпрозрахунк.'!AV13</f>
        <v>1682.8999999999999</v>
      </c>
      <c r="AW13" s="136">
        <f>населення!AX14+льготи!AW13+субсидии!AW13+'держ.бюджет'!AW13+'місц.-район.бюджет'!AW13+обласной!AW13+'госпрозрахунк.'!AW13</f>
        <v>1387.1</v>
      </c>
      <c r="AX13" s="136">
        <f t="shared" si="9"/>
        <v>2878.6</v>
      </c>
      <c r="AY13" s="136">
        <f t="shared" si="10"/>
        <v>1195.6999999999998</v>
      </c>
      <c r="AZ13" s="20">
        <f t="shared" si="11"/>
        <v>1682.9</v>
      </c>
      <c r="BA13" s="20">
        <f t="shared" si="12"/>
        <v>1387.1000000000004</v>
      </c>
    </row>
    <row r="14" spans="1:53" ht="34.5" customHeight="1">
      <c r="A14" s="6">
        <v>7</v>
      </c>
      <c r="B14" s="1" t="s">
        <v>63</v>
      </c>
      <c r="C14" s="136">
        <f>населення!C15+льготи!C14+субсидии!C14+'держ.бюджет'!C14+'місц.-район.бюджет'!C14+обласной!C14+'госпрозрахунк.'!C14</f>
        <v>0</v>
      </c>
      <c r="D14" s="137">
        <f>населення!D15+льготи!D14+субсидии!D14+'держ.бюджет'!D14+'місц.-район.бюджет'!D14+обласной!D14+'госпрозрахунк.'!D14</f>
        <v>1022.8000000000001</v>
      </c>
      <c r="E14" s="137">
        <f>населення!E15+льготи!E14+субсидии!E14+'держ.бюджет'!E14+'місц.-район.бюджет'!E14+обласной!E14+'госпрозрахунк.'!E14</f>
        <v>273.6</v>
      </c>
      <c r="F14" s="14">
        <f t="shared" si="3"/>
        <v>26.75009777082519</v>
      </c>
      <c r="G14" s="137">
        <f>населення!G15+льготи!G14+субсидии!G14+'держ.бюджет'!G14+'місц.-район.бюджет'!G14+обласной!G14+'госпрозрахунк.'!G14</f>
        <v>1000.3</v>
      </c>
      <c r="H14" s="137">
        <f>населення!H15+льготи!H14+субсидии!H14+'держ.бюджет'!H14+'місц.-район.бюджет'!H14+обласной!H14+'госпрозрахунк.'!H14</f>
        <v>972</v>
      </c>
      <c r="I14" s="14">
        <f t="shared" si="0"/>
        <v>97.17084874537639</v>
      </c>
      <c r="J14" s="137">
        <f>населення!J15+льготи!J14+субсидии!J14+'держ.бюджет'!J14+'місц.-район.бюджет'!J14+обласной!J14+'госпрозрахунк.'!J14</f>
        <v>0</v>
      </c>
      <c r="K14" s="137">
        <f>населення!K15+льготи!K14+субсидии!K14+'держ.бюджет'!K14+'місц.-район.бюджет'!K14+обласной!K14+'госпрозрахунк.'!K14</f>
        <v>0</v>
      </c>
      <c r="L14" s="14" t="e">
        <f t="shared" si="1"/>
        <v>#DIV/0!</v>
      </c>
      <c r="M14" s="136">
        <f>населення!M15+льготи!M14+субсидии!M14+'держ.бюджет'!M14+'місц.-район.бюджет'!M14+обласной!M14+'госпрозрахунк.'!M14</f>
        <v>2023.1</v>
      </c>
      <c r="N14" s="136">
        <f>населення!N15+льготи!N14+субсидии!N14+'держ.бюджет'!N14+'місц.-район.бюджет'!N14+обласной!N14+'госпрозрахунк.'!N14</f>
        <v>1245.6000000000001</v>
      </c>
      <c r="O14" s="136">
        <f t="shared" si="4"/>
        <v>61.56887944243983</v>
      </c>
      <c r="P14" s="136">
        <f>населення!P15+льготи!P14+субсидии!P14+'держ.бюджет'!P14+'місц.-район.бюджет'!P14+обласной!P14+'госпрозрахунк.'!P14</f>
        <v>0</v>
      </c>
      <c r="Q14" s="136">
        <f>населення!Q15+льготи!Q14+субсидии!Q14+'держ.бюджет'!Q14+'місц.-район.бюджет'!Q14+обласной!Q14+'госпрозрахунк.'!Q14</f>
        <v>0</v>
      </c>
      <c r="R14" s="136" t="e">
        <f t="shared" si="5"/>
        <v>#DIV/0!</v>
      </c>
      <c r="S14" s="136">
        <f>населення!S15+льготи!S14+субсидии!S14+'держ.бюджет'!S14+'місц.-район.бюджет'!S14+обласной!S14+'госпрозрахунк.'!S14</f>
        <v>0</v>
      </c>
      <c r="T14" s="136">
        <f>населення!T15+льготи!T14+субсидии!T14+'держ.бюджет'!T14+'місц.-район.бюджет'!T14+обласной!T14+'госпрозрахунк.'!T14</f>
        <v>0</v>
      </c>
      <c r="U14" s="136"/>
      <c r="V14" s="136">
        <f>населення!V15+льготи!V14+субсидии!V14+'держ.бюджет'!V14+'місц.-район.бюджет'!V14+обласной!V14+'госпрозрахунк.'!V14</f>
        <v>0</v>
      </c>
      <c r="W14" s="136">
        <f>населення!W15+льготи!W14+субсидии!W14+'держ.бюджет'!W14+'місц.-район.бюджет'!W14+обласной!W14+'госпрозрахунк.'!W14</f>
        <v>0</v>
      </c>
      <c r="X14" s="136"/>
      <c r="Y14" s="136">
        <f>населення!Y15+льготи!Y14+субсидии!Y14+'держ.бюджет'!Y14+'місц.-район.бюджет'!Y14+обласной!Y14+'госпрозрахунк.'!Y14</f>
        <v>0</v>
      </c>
      <c r="Z14" s="136">
        <f>населення!Z15+льготи!Z14+субсидии!Z14+'держ.бюджет'!Z14+'місц.-район.бюджет'!Z14+обласной!Z14+'госпрозрахунк.'!Z14</f>
        <v>0</v>
      </c>
      <c r="AA14" s="136" t="e">
        <f t="shared" si="2"/>
        <v>#DIV/0!</v>
      </c>
      <c r="AB14" s="136">
        <f>населення!AB15+льготи!AB14+субсидии!AB14+'держ.бюджет'!AB14+'місц.-район.бюджет'!AB14+обласной!AB14+'госпрозрахунк.'!AB14</f>
        <v>0</v>
      </c>
      <c r="AC14" s="136">
        <f>населення!AC15+льготи!AC14+субсидии!AC14+'держ.бюджет'!AC14+'місц.-район.бюджет'!AC14+обласной!AC14+'госпрозрахунк.'!AC14</f>
        <v>0</v>
      </c>
      <c r="AD14" s="136" t="e">
        <f t="shared" si="6"/>
        <v>#DIV/0!</v>
      </c>
      <c r="AE14" s="136">
        <f>населення!AE15+льготи!AE14+субсидии!AE14+'держ.бюджет'!AE14+'місц.-район.бюджет'!AE14+обласной!AE14+'госпрозрахунк.'!AE14</f>
        <v>0</v>
      </c>
      <c r="AF14" s="136">
        <f>населення!AF15+льготи!AF14+субсидии!AF14+'держ.бюджет'!AF14+'місц.-район.бюджет'!AF14+обласной!AF14+'госпрозрахунк.'!AF14</f>
        <v>0</v>
      </c>
      <c r="AG14" s="100">
        <v>0</v>
      </c>
      <c r="AH14" s="136">
        <f>населення!AH15+льготи!AH14+субсидии!AH14+'держ.бюджет'!AH14+'місц.-район.бюджет'!AH14+обласной!AH14+'госпрозрахунк.'!AH14</f>
        <v>0</v>
      </c>
      <c r="AI14" s="136">
        <f>населення!AI15+льготи!AI14+субсидии!AI14+'держ.бюджет'!AI14+'місц.-район.бюджет'!AI14+обласной!AI14+'госпрозрахунк.'!AI14</f>
        <v>0</v>
      </c>
      <c r="AJ14" s="136">
        <f>населення!AJ15+льготи!AJ14+субсидии!AJ14+'держ.бюджет'!AJ14+'місц.-район.бюджет'!AJ14+обласной!AJ14+'госпрозрахунк.'!AJ14</f>
        <v>0</v>
      </c>
      <c r="AK14" s="136">
        <f>населення!AK15+льготи!AK14+субсидии!AK14+'держ.бюджет'!AK14+'місц.-район.бюджет'!AK14+обласной!AK14+'госпрозрахунк.'!AK14</f>
        <v>0</v>
      </c>
      <c r="AL14" s="99" t="e">
        <f t="shared" si="7"/>
        <v>#DIV/0!</v>
      </c>
      <c r="AM14" s="136">
        <f>населення!AM15+льготи!AM14+субсидии!AM14+'держ.бюджет'!AM14+'місц.-район.бюджет'!AM14+обласной!AM14+'госпрозрахунк.'!AM14</f>
        <v>0</v>
      </c>
      <c r="AN14" s="136">
        <f>населення!AN15+льготи!AN14+субсидии!AN14+'держ.бюджет'!AN14+'місц.-район.бюджет'!AN14+обласной!AN14+'госпрозрахунк.'!AN14</f>
        <v>0</v>
      </c>
      <c r="AO14" s="136">
        <f>населення!AO15+льготи!AO14+субсидии!AO14+'держ.бюджет'!AO14+'місц.-район.бюджет'!AO14+обласной!AO14+'госпрозрахунк.'!AO14</f>
        <v>0</v>
      </c>
      <c r="AP14" s="136">
        <f>населення!AP15+льготи!AP14+субсидии!AP14+'держ.бюджет'!AP14+'місц.-район.бюджет'!AP14+обласной!AP14+'госпрозрахунк.'!AP14</f>
        <v>0</v>
      </c>
      <c r="AQ14" s="136">
        <f>населення!AR15+льготи!AQ14+субсидии!AQ14+'держ.бюджет'!AQ14+'місц.-район.бюджет'!AQ14+обласной!AQ14+'госпрозрахунк.'!AQ14</f>
        <v>0</v>
      </c>
      <c r="AR14" s="136">
        <f>населення!AS15+льготи!AR14+субсидии!AR14+'держ.бюджет'!AR14+'місц.-район.бюджет'!AR14+обласной!AR14+'госпрозрахунк.'!AR14</f>
        <v>0</v>
      </c>
      <c r="AS14" s="136">
        <f>населення!AT15+льготи!AS14+субсидии!AS14+'держ.бюджет'!AS14+'місц.-район.бюджет'!AS14+обласной!AS14+'госпрозрахунк.'!AS14</f>
        <v>2023.1</v>
      </c>
      <c r="AT14" s="136">
        <f>населення!AU15+льготи!AT14+субсидии!AT14+'держ.бюджет'!AT14+'місц.-район.бюджет'!AT14+обласной!AT14+'госпрозрахунк.'!AT14</f>
        <v>1245.6000000000001</v>
      </c>
      <c r="AU14" s="136">
        <f t="shared" si="8"/>
        <v>61.56887944243983</v>
      </c>
      <c r="AV14" s="136">
        <f>населення!AW15+льготи!AV14+субсидии!AV14+'держ.бюджет'!AV14+'місц.-район.бюджет'!AV14+обласной!AV14+'госпрозрахунк.'!AV14</f>
        <v>777.4999999999999</v>
      </c>
      <c r="AW14" s="136">
        <f>населення!AX15+льготи!AW14+субсидии!AW14+'держ.бюджет'!AW14+'місц.-район.бюджет'!AW14+обласной!AW14+'госпрозрахунк.'!AW14</f>
        <v>777.4999999999999</v>
      </c>
      <c r="AX14" s="136">
        <f t="shared" si="9"/>
        <v>2023.1</v>
      </c>
      <c r="AY14" s="136">
        <f t="shared" si="10"/>
        <v>1245.6000000000001</v>
      </c>
      <c r="AZ14" s="20">
        <f t="shared" si="11"/>
        <v>777.4999999999998</v>
      </c>
      <c r="BA14" s="20">
        <f t="shared" si="12"/>
        <v>777.4999999999998</v>
      </c>
    </row>
    <row r="15" spans="1:53" ht="34.5" customHeight="1">
      <c r="A15" s="6">
        <v>8</v>
      </c>
      <c r="B15" s="1" t="s">
        <v>33</v>
      </c>
      <c r="C15" s="136">
        <f>населення!C16+льготи!C15+субсидии!C15+'держ.бюджет'!C15+'місц.-район.бюджет'!C15+обласной!C15+'госпрозрахунк.'!C15</f>
        <v>4331.7</v>
      </c>
      <c r="D15" s="137">
        <f>населення!D16+льготи!D15+субсидии!D15+'держ.бюджет'!D15+'місц.-район.бюджет'!D15+обласной!D15+'госпрозрахунк.'!D15</f>
        <v>8358.099999999999</v>
      </c>
      <c r="E15" s="137">
        <f>населення!E16+льготи!E15+субсидии!E15+'держ.бюджет'!E15+'місц.-район.бюджет'!E15+обласной!E15+'госпрозрахунк.'!E15</f>
        <v>2602.4</v>
      </c>
      <c r="F15" s="14">
        <f t="shared" si="3"/>
        <v>31.13626302628589</v>
      </c>
      <c r="G15" s="137">
        <f>населення!G16+льготи!G15+субсидии!G15+'держ.бюджет'!G15+'місц.-район.бюджет'!G15+обласной!G15+'госпрозрахунк.'!G15</f>
        <v>7678.400000000001</v>
      </c>
      <c r="H15" s="137">
        <f>населення!H16+льготи!H15+субсидии!H15+'держ.бюджет'!H15+'місц.-район.бюджет'!H15+обласной!H15+'госпрозрахунк.'!H15</f>
        <v>6125.099999999999</v>
      </c>
      <c r="I15" s="14">
        <f t="shared" si="0"/>
        <v>79.77052510939778</v>
      </c>
      <c r="J15" s="137">
        <f>населення!J16+льготи!J15+субсидии!J15+'держ.бюджет'!J15+'місц.-район.бюджет'!J15+обласной!J15+'госпрозрахунк.'!J15</f>
        <v>0</v>
      </c>
      <c r="K15" s="137">
        <f>населення!K16+льготи!K15+субсидии!K15+'держ.бюджет'!K15+'місц.-район.бюджет'!K15+обласной!K15+'госпрозрахунк.'!K15</f>
        <v>0</v>
      </c>
      <c r="L15" s="14" t="e">
        <f t="shared" si="1"/>
        <v>#DIV/0!</v>
      </c>
      <c r="M15" s="136">
        <f>населення!M16+льготи!M15+субсидии!M15+'держ.бюджет'!M15+'місц.-район.бюджет'!M15+обласной!M15+'госпрозрахунк.'!M15</f>
        <v>16036.5</v>
      </c>
      <c r="N15" s="136">
        <f>населення!N16+льготи!N15+субсидии!N15+'держ.бюджет'!N15+'місц.-район.бюджет'!N15+обласной!N15+'госпрозрахунк.'!N15</f>
        <v>8727.5</v>
      </c>
      <c r="O15" s="136">
        <f t="shared" si="4"/>
        <v>54.42272316278489</v>
      </c>
      <c r="P15" s="136">
        <f>населення!P16+льготи!P15+субсидии!P15+'держ.бюджет'!P15+'місц.-район.бюджет'!P15+обласной!P15+'госпрозрахунк.'!P15</f>
        <v>0</v>
      </c>
      <c r="Q15" s="136">
        <f>населення!Q16+льготи!Q15+субсидии!Q15+'держ.бюджет'!Q15+'місц.-район.бюджет'!Q15+обласной!Q15+'госпрозрахунк.'!Q15</f>
        <v>0</v>
      </c>
      <c r="R15" s="136" t="e">
        <f t="shared" si="5"/>
        <v>#DIV/0!</v>
      </c>
      <c r="S15" s="136">
        <f>населення!S16+льготи!S15+субсидии!S15+'держ.бюджет'!S15+'місц.-район.бюджет'!S15+обласной!S15+'госпрозрахунк.'!S15</f>
        <v>0</v>
      </c>
      <c r="T15" s="136">
        <f>населення!T16+льготи!T15+субсидии!T15+'держ.бюджет'!T15+'місц.-район.бюджет'!T15+обласной!T15+'госпрозрахунк.'!T15</f>
        <v>0</v>
      </c>
      <c r="U15" s="136"/>
      <c r="V15" s="136">
        <f>населення!V16+льготи!V15+субсидии!V15+'держ.бюджет'!V15+'місц.-район.бюджет'!V15+обласной!V15+'госпрозрахунк.'!V15</f>
        <v>0</v>
      </c>
      <c r="W15" s="136">
        <f>населення!W16+льготи!W15+субсидии!W15+'держ.бюджет'!W15+'місц.-район.бюджет'!W15+обласной!W15+'госпрозрахунк.'!W15</f>
        <v>0</v>
      </c>
      <c r="X15" s="136"/>
      <c r="Y15" s="136">
        <f>населення!Y16+льготи!Y15+субсидии!Y15+'держ.бюджет'!Y15+'місц.-район.бюджет'!Y15+обласной!Y15+'госпрозрахунк.'!Y15</f>
        <v>0</v>
      </c>
      <c r="Z15" s="136">
        <f>населення!Z16+льготи!Z15+субсидии!Z15+'держ.бюджет'!Z15+'місц.-район.бюджет'!Z15+обласной!Z15+'госпрозрахунк.'!Z15</f>
        <v>0</v>
      </c>
      <c r="AA15" s="136" t="e">
        <f t="shared" si="2"/>
        <v>#DIV/0!</v>
      </c>
      <c r="AB15" s="136">
        <f>населення!AB16+льготи!AB15+субсидии!AB15+'держ.бюджет'!AB15+'місц.-район.бюджет'!AB15+обласной!AB15+'госпрозрахунк.'!AB15</f>
        <v>0</v>
      </c>
      <c r="AC15" s="136">
        <f>населення!AC16+льготи!AC15+субсидии!AC15+'держ.бюджет'!AC15+'місц.-район.бюджет'!AC15+обласной!AC15+'госпрозрахунк.'!AC15</f>
        <v>0</v>
      </c>
      <c r="AD15" s="136" t="e">
        <f t="shared" si="6"/>
        <v>#DIV/0!</v>
      </c>
      <c r="AE15" s="136">
        <f>населення!AE16+льготи!AE15+субсидии!AE15+'держ.бюджет'!AE15+'місц.-район.бюджет'!AE15+обласной!AE15+'госпрозрахунк.'!AE15</f>
        <v>0</v>
      </c>
      <c r="AF15" s="136">
        <f>населення!AF16+льготи!AF15+субсидии!AF15+'держ.бюджет'!AF15+'місц.-район.бюджет'!AF15+обласной!AF15+'госпрозрахунк.'!AF15</f>
        <v>0</v>
      </c>
      <c r="AG15" s="99" t="e">
        <f>AF15/AE15*100</f>
        <v>#DIV/0!</v>
      </c>
      <c r="AH15" s="136">
        <f>населення!AH16+льготи!AH15+субсидии!AH15+'держ.бюджет'!AH15+'місц.-район.бюджет'!AH15+обласной!AH15+'госпрозрахунк.'!AH15</f>
        <v>0</v>
      </c>
      <c r="AI15" s="136">
        <f>населення!AI16+льготи!AI15+субсидии!AI15+'держ.бюджет'!AI15+'місц.-район.бюджет'!AI15+обласной!AI15+'госпрозрахунк.'!AI15</f>
        <v>0</v>
      </c>
      <c r="AJ15" s="136">
        <f>населення!AJ16+льготи!AJ15+субсидии!AJ15+'держ.бюджет'!AJ15+'місц.-район.бюджет'!AJ15+обласной!AJ15+'госпрозрахунк.'!AJ15</f>
        <v>0</v>
      </c>
      <c r="AK15" s="136">
        <f>населення!AK16+льготи!AK15+субсидии!AK15+'держ.бюджет'!AK15+'місц.-район.бюджет'!AK15+обласной!AK15+'госпрозрахунк.'!AK15</f>
        <v>0</v>
      </c>
      <c r="AL15" s="99" t="e">
        <f t="shared" si="7"/>
        <v>#DIV/0!</v>
      </c>
      <c r="AM15" s="136">
        <f>населення!AM16+льготи!AM15+субсидии!AM15+'держ.бюджет'!AM15+'місц.-район.бюджет'!AM15+обласной!AM15+'госпрозрахунк.'!AM15</f>
        <v>0</v>
      </c>
      <c r="AN15" s="136">
        <f>населення!AN16+льготи!AN15+субсидии!AN15+'держ.бюджет'!AN15+'місц.-район.бюджет'!AN15+обласной!AN15+'госпрозрахунк.'!AN15</f>
        <v>0</v>
      </c>
      <c r="AO15" s="136">
        <f>населення!AO16+льготи!AO15+субсидии!AO15+'держ.бюджет'!AO15+'місц.-район.бюджет'!AO15+обласной!AO15+'госпрозрахунк.'!AO15</f>
        <v>0</v>
      </c>
      <c r="AP15" s="136">
        <f>населення!AP16+льготи!AP15+субсидии!AP15+'держ.бюджет'!AP15+'місц.-район.бюджет'!AP15+обласной!AP15+'госпрозрахунк.'!AP15</f>
        <v>0</v>
      </c>
      <c r="AQ15" s="136">
        <f>населення!AR16+льготи!AQ15+субсидии!AQ15+'держ.бюджет'!AQ15+'місц.-район.бюджет'!AQ15+обласной!AQ15+'госпрозрахунк.'!AQ15</f>
        <v>0</v>
      </c>
      <c r="AR15" s="136">
        <f>населення!AS16+льготи!AR15+субсидии!AR15+'держ.бюджет'!AR15+'місц.-район.бюджет'!AR15+обласной!AR15+'госпрозрахунк.'!AR15</f>
        <v>0</v>
      </c>
      <c r="AS15" s="136">
        <f>населення!AT16+льготи!AS15+субсидии!AS15+'держ.бюджет'!AS15+'місц.-район.бюджет'!AS15+обласной!AS15+'госпрозрахунк.'!AS15</f>
        <v>16036.5</v>
      </c>
      <c r="AT15" s="136">
        <f>населення!AU16+льготи!AT15+субсидии!AT15+'держ.бюджет'!AT15+'місц.-район.бюджет'!AT15+обласной!AT15+'госпрозрахунк.'!AT15</f>
        <v>8727.5</v>
      </c>
      <c r="AU15" s="136">
        <f t="shared" si="8"/>
        <v>54.42272316278489</v>
      </c>
      <c r="AV15" s="136">
        <f>населення!AW16+льготи!AV15+субсидии!AV15+'держ.бюджет'!AV15+'місц.-район.бюджет'!AV15+обласной!AV15+'госпрозрахунк.'!AV15</f>
        <v>7309.000000000001</v>
      </c>
      <c r="AW15" s="136">
        <f>населення!AX16+льготи!AW15+субсидии!AW15+'держ.бюджет'!AW15+'місц.-район.бюджет'!AW15+обласной!AW15+'госпрозрахунк.'!AW15</f>
        <v>11640.700000000003</v>
      </c>
      <c r="AX15" s="136">
        <f t="shared" si="9"/>
        <v>16036.5</v>
      </c>
      <c r="AY15" s="136">
        <f t="shared" si="10"/>
        <v>8727.5</v>
      </c>
      <c r="AZ15" s="20">
        <f t="shared" si="11"/>
        <v>7309</v>
      </c>
      <c r="BA15" s="20">
        <f t="shared" si="12"/>
        <v>11640.7</v>
      </c>
    </row>
    <row r="16" spans="1:53" ht="34.5" customHeight="1">
      <c r="A16" s="19">
        <v>9</v>
      </c>
      <c r="B16" s="1" t="s">
        <v>34</v>
      </c>
      <c r="C16" s="136">
        <f>населення!C17+льготи!C16+субсидии!C16+'держ.бюджет'!C16+'місц.-район.бюджет'!C16+обласной!C16+'госпрозрахунк.'!C16</f>
        <v>-213.3</v>
      </c>
      <c r="D16" s="137">
        <f>населення!D17+льготи!D16+субсидии!D16+'держ.бюджет'!D16+'місц.-район.бюджет'!D16+обласной!D16+'госпрозрахунк.'!D16</f>
        <v>1497.8</v>
      </c>
      <c r="E16" s="137">
        <f>населення!E17+льготи!E16+субсидии!E16+'держ.бюджет'!E16+'місц.-район.бюджет'!E16+обласной!E16+'госпрозрахунк.'!E16</f>
        <v>0</v>
      </c>
      <c r="F16" s="14">
        <f t="shared" si="3"/>
        <v>0</v>
      </c>
      <c r="G16" s="137">
        <f>населення!G17+льготи!G16+субсидии!G16+'держ.бюджет'!G16+'місц.-район.бюджет'!G16+обласной!G16+'госпрозрахунк.'!G16</f>
        <v>1430.7</v>
      </c>
      <c r="H16" s="137">
        <f>населення!H17+льготи!H16+субсидии!H16+'держ.бюджет'!H16+'місц.-район.бюджет'!H16+обласной!H16+'госпрозрахунк.'!H16</f>
        <v>1346.7</v>
      </c>
      <c r="I16" s="14">
        <f t="shared" si="0"/>
        <v>94.1287481652338</v>
      </c>
      <c r="J16" s="137">
        <f>населення!J17+льготи!J16+субсидии!J16+'держ.бюджет'!J16+'місц.-район.бюджет'!J16+обласной!J16+'госпрозрахунк.'!J16</f>
        <v>0</v>
      </c>
      <c r="K16" s="137">
        <f>населення!K17+льготи!K16+субсидии!K16+'держ.бюджет'!K16+'місц.-район.бюджет'!K16+обласной!K16+'госпрозрахунк.'!K16</f>
        <v>0</v>
      </c>
      <c r="L16" s="14" t="e">
        <f t="shared" si="1"/>
        <v>#DIV/0!</v>
      </c>
      <c r="M16" s="136">
        <f>населення!M17+льготи!M16+субсидии!M16+'держ.бюджет'!M16+'місц.-район.бюджет'!M16+обласной!M16+'госпрозрахунк.'!M16</f>
        <v>2928.5</v>
      </c>
      <c r="N16" s="136">
        <f>населення!N17+льготи!N16+субсидии!N16+'держ.бюджет'!N16+'місц.-район.бюджет'!N16+обласной!N16+'госпрозрахунк.'!N16</f>
        <v>1346.7</v>
      </c>
      <c r="O16" s="136">
        <f t="shared" si="4"/>
        <v>45.98599965852826</v>
      </c>
      <c r="P16" s="136">
        <f>населення!P17+льготи!P16+субсидии!P16+'держ.бюджет'!P16+'місц.-район.бюджет'!P16+обласной!P16+'госпрозрахунк.'!P16</f>
        <v>0</v>
      </c>
      <c r="Q16" s="136">
        <f>населення!Q17+льготи!Q16+субсидии!Q16+'держ.бюджет'!Q16+'місц.-район.бюджет'!Q16+обласной!Q16+'госпрозрахунк.'!Q16</f>
        <v>0</v>
      </c>
      <c r="R16" s="136" t="e">
        <f t="shared" si="5"/>
        <v>#DIV/0!</v>
      </c>
      <c r="S16" s="136">
        <f>населення!S17+льготи!S16+субсидии!S16+'держ.бюджет'!S16+'місц.-район.бюджет'!S16+обласной!S16+'госпрозрахунк.'!S16</f>
        <v>0</v>
      </c>
      <c r="T16" s="136">
        <f>населення!T17+льготи!T16+субсидии!T16+'держ.бюджет'!T16+'місц.-район.бюджет'!T16+обласной!T16+'госпрозрахунк.'!T16</f>
        <v>0</v>
      </c>
      <c r="U16" s="136"/>
      <c r="V16" s="136">
        <f>населення!V17+льготи!V16+субсидии!V16+'держ.бюджет'!V16+'місц.-район.бюджет'!V16+обласной!V16+'госпрозрахунк.'!V16</f>
        <v>0</v>
      </c>
      <c r="W16" s="136">
        <f>населення!W17+льготи!W16+субсидии!W16+'держ.бюджет'!W16+'місц.-район.бюджет'!W16+обласной!W16+'госпрозрахунк.'!W16</f>
        <v>0</v>
      </c>
      <c r="X16" s="136"/>
      <c r="Y16" s="136">
        <f>населення!Y17+льготи!Y16+субсидии!Y16+'держ.бюджет'!Y16+'місц.-район.бюджет'!Y16+обласной!Y16+'госпрозрахунк.'!Y16</f>
        <v>0</v>
      </c>
      <c r="Z16" s="136">
        <f>населення!Z17+льготи!Z16+субсидии!Z16+'держ.бюджет'!Z16+'місц.-район.бюджет'!Z16+обласной!Z16+'госпрозрахунк.'!Z16</f>
        <v>0</v>
      </c>
      <c r="AA16" s="136" t="e">
        <f t="shared" si="2"/>
        <v>#DIV/0!</v>
      </c>
      <c r="AB16" s="136">
        <f>населення!AB17+льготи!AB16+субсидии!AB16+'держ.бюджет'!AB16+'місц.-район.бюджет'!AB16+обласной!AB16+'госпрозрахунк.'!AB16</f>
        <v>0</v>
      </c>
      <c r="AC16" s="136">
        <f>населення!AC17+льготи!AC16+субсидии!AC16+'держ.бюджет'!AC16+'місц.-район.бюджет'!AC16+обласной!AC16+'госпрозрахунк.'!AC16</f>
        <v>0</v>
      </c>
      <c r="AD16" s="136" t="e">
        <f t="shared" si="6"/>
        <v>#DIV/0!</v>
      </c>
      <c r="AE16" s="136">
        <f>населення!AE17+льготи!AE16+субсидии!AE16+'держ.бюджет'!AE16+'місц.-район.бюджет'!AE16+обласной!AE16+'госпрозрахунк.'!AE16</f>
        <v>0</v>
      </c>
      <c r="AF16" s="136">
        <f>населення!AF17+льготи!AF16+субсидии!AF16+'держ.бюджет'!AF16+'місц.-район.бюджет'!AF16+обласной!AF16+'госпрозрахунк.'!AF16</f>
        <v>0</v>
      </c>
      <c r="AG16" s="99" t="e">
        <f>AF16/AE16*100</f>
        <v>#DIV/0!</v>
      </c>
      <c r="AH16" s="136">
        <f>населення!AH17+льготи!AH16+субсидии!AH16+'держ.бюджет'!AH16+'місц.-район.бюджет'!AH16+обласной!AH16+'госпрозрахунк.'!AH16</f>
        <v>0</v>
      </c>
      <c r="AI16" s="136">
        <f>населення!AI17+льготи!AI16+субсидии!AI16+'держ.бюджет'!AI16+'місц.-район.бюджет'!AI16+обласной!AI16+'госпрозрахунк.'!AI16</f>
        <v>0</v>
      </c>
      <c r="AJ16" s="136">
        <f>населення!AJ17+льготи!AJ16+субсидии!AJ16+'держ.бюджет'!AJ16+'місц.-район.бюджет'!AJ16+обласной!AJ16+'госпрозрахунк.'!AJ16</f>
        <v>0</v>
      </c>
      <c r="AK16" s="136">
        <f>населення!AK17+льготи!AK16+субсидии!AK16+'держ.бюджет'!AK16+'місц.-район.бюджет'!AK16+обласной!AK16+'госпрозрахунк.'!AK16</f>
        <v>0</v>
      </c>
      <c r="AL16" s="99" t="e">
        <f t="shared" si="7"/>
        <v>#DIV/0!</v>
      </c>
      <c r="AM16" s="136">
        <f>населення!AM17+льготи!AM16+субсидии!AM16+'держ.бюджет'!AM16+'місц.-район.бюджет'!AM16+обласной!AM16+'госпрозрахунк.'!AM16</f>
        <v>0</v>
      </c>
      <c r="AN16" s="136">
        <f>населення!AN17+льготи!AN16+субсидии!AN16+'держ.бюджет'!AN16+'місц.-район.бюджет'!AN16+обласной!AN16+'госпрозрахунк.'!AN16</f>
        <v>0</v>
      </c>
      <c r="AO16" s="136">
        <f>населення!AO17+льготи!AO16+субсидии!AO16+'держ.бюджет'!AO16+'місц.-район.бюджет'!AO16+обласной!AO16+'госпрозрахунк.'!AO16</f>
        <v>0</v>
      </c>
      <c r="AP16" s="136">
        <f>населення!AP17+льготи!AP16+субсидии!AP16+'держ.бюджет'!AP16+'місц.-район.бюджет'!AP16+обласной!AP16+'госпрозрахунк.'!AP16</f>
        <v>0</v>
      </c>
      <c r="AQ16" s="136">
        <f>населення!AR17+льготи!AQ16+субсидии!AQ16+'держ.бюджет'!AQ16+'місц.-район.бюджет'!AQ16+обласной!AQ16+'госпрозрахунк.'!AQ16</f>
        <v>0</v>
      </c>
      <c r="AR16" s="136">
        <f>населення!AS17+льготи!AR16+субсидии!AR16+'держ.бюджет'!AR16+'місц.-район.бюджет'!AR16+обласной!AR16+'госпрозрахунк.'!AR16</f>
        <v>0</v>
      </c>
      <c r="AS16" s="136">
        <f>населення!AT17+льготи!AS16+субсидии!AS16+'держ.бюджет'!AS16+'місц.-район.бюджет'!AS16+обласной!AS16+'госпрозрахунк.'!AS16</f>
        <v>2928.5</v>
      </c>
      <c r="AT16" s="136">
        <f>населення!AU17+льготи!AT16+субсидии!AT16+'держ.бюджет'!AT16+'місц.-район.бюджет'!AT16+обласной!AT16+'госпрозрахунк.'!AT16</f>
        <v>1346.7</v>
      </c>
      <c r="AU16" s="136">
        <f t="shared" si="8"/>
        <v>45.98599965852826</v>
      </c>
      <c r="AV16" s="136">
        <f>населення!AW17+льготи!AV16+субсидии!AV16+'держ.бюджет'!AV16+'місц.-район.бюджет'!AV16+обласной!AV16+'госпрозрахунк.'!AV16</f>
        <v>1581.7999999999997</v>
      </c>
      <c r="AW16" s="136">
        <f>населення!AX17+льготи!AW16+субсидии!AW16+'держ.бюджет'!AW16+'місц.-район.бюджет'!AW16+обласной!AW16+'госпрозрахунк.'!AW16</f>
        <v>1368.4999999999995</v>
      </c>
      <c r="AX16" s="136">
        <f t="shared" si="9"/>
        <v>2928.5</v>
      </c>
      <c r="AY16" s="136">
        <f t="shared" si="10"/>
        <v>1346.7</v>
      </c>
      <c r="AZ16" s="20">
        <f t="shared" si="11"/>
        <v>1581.8</v>
      </c>
      <c r="BA16" s="20">
        <f t="shared" si="12"/>
        <v>1368.4999999999998</v>
      </c>
    </row>
    <row r="17" spans="1:53" ht="34.5" customHeight="1">
      <c r="A17" s="19">
        <v>10</v>
      </c>
      <c r="B17" s="15" t="s">
        <v>35</v>
      </c>
      <c r="C17" s="136">
        <f>населення!C18+льготи!C17+субсидии!C17+'держ.бюджет'!C17+'місц.-район.бюджет'!C17+обласной!C17+'госпрозрахунк.'!C17</f>
        <v>1548.1</v>
      </c>
      <c r="D17" s="137">
        <f>населення!D18+льготи!D17+субсидии!D17+'держ.бюджет'!D17+'місц.-район.бюджет'!D17+обласной!D17+'госпрозрахунк.'!D17</f>
        <v>0</v>
      </c>
      <c r="E17" s="137">
        <f>населення!E18+льготи!E17+субсидии!E17+'держ.бюджет'!E17+'місц.-район.бюджет'!E17+обласной!E17+'госпрозрахунк.'!E17</f>
        <v>4.5</v>
      </c>
      <c r="F17" s="28" t="e">
        <f t="shared" si="3"/>
        <v>#DIV/0!</v>
      </c>
      <c r="G17" s="137">
        <f>населення!G18+льготи!G17+субсидии!G17+'держ.бюджет'!G17+'місц.-район.бюджет'!G17+обласной!G17+'госпрозрахунк.'!G17</f>
        <v>0</v>
      </c>
      <c r="H17" s="137">
        <f>населення!H18+льготи!H17+субсидии!H17+'держ.бюджет'!H17+'місц.-район.бюджет'!H17+обласной!H17+'госпрозрахунк.'!H17</f>
        <v>8.5</v>
      </c>
      <c r="I17" s="28" t="e">
        <f t="shared" si="0"/>
        <v>#DIV/0!</v>
      </c>
      <c r="J17" s="137">
        <f>населення!J18+льготи!J17+субсидии!J17+'держ.бюджет'!J17+'місц.-район.бюджет'!J17+обласной!J17+'госпрозрахунк.'!J17</f>
        <v>0</v>
      </c>
      <c r="K17" s="137">
        <f>населення!K18+льготи!K17+субсидии!K17+'держ.бюджет'!K17+'місц.-район.бюджет'!K17+обласной!K17+'госпрозрахунк.'!K17</f>
        <v>0</v>
      </c>
      <c r="L17" s="28" t="e">
        <f t="shared" si="1"/>
        <v>#DIV/0!</v>
      </c>
      <c r="M17" s="136">
        <f>населення!M18+льготи!M17+субсидии!M17+'держ.бюджет'!M17+'місц.-район.бюджет'!M17+обласной!M17+'госпрозрахунк.'!M17</f>
        <v>0</v>
      </c>
      <c r="N17" s="136">
        <f>населення!N18+льготи!N17+субсидии!N17+'держ.бюджет'!N17+'місц.-район.бюджет'!N17+обласной!N17+'госпрозрахунк.'!N17</f>
        <v>13</v>
      </c>
      <c r="O17" s="99" t="e">
        <f t="shared" si="4"/>
        <v>#DIV/0!</v>
      </c>
      <c r="P17" s="136">
        <f>населення!P18+льготи!P17+субсидии!P17+'держ.бюджет'!P17+'місц.-район.бюджет'!P17+обласной!P17+'госпрозрахунк.'!P17</f>
        <v>0</v>
      </c>
      <c r="Q17" s="136">
        <f>населення!Q18+льготи!Q17+субсидии!Q17+'держ.бюджет'!Q17+'місц.-район.бюджет'!Q17+обласной!Q17+'госпрозрахунк.'!Q17</f>
        <v>0</v>
      </c>
      <c r="R17" s="99" t="e">
        <f t="shared" si="5"/>
        <v>#DIV/0!</v>
      </c>
      <c r="S17" s="136">
        <f>населення!S18+льготи!S17+субсидии!S17+'держ.бюджет'!S17+'місц.-район.бюджет'!S17+обласной!S17+'госпрозрахунк.'!S17</f>
        <v>0</v>
      </c>
      <c r="T17" s="136">
        <f>населення!T18+льготи!T17+субсидии!T17+'держ.бюджет'!T17+'місц.-район.бюджет'!T17+обласной!T17+'госпрозрахунк.'!T17</f>
        <v>0</v>
      </c>
      <c r="U17" s="136" t="e">
        <f>T17/S17*100</f>
        <v>#DIV/0!</v>
      </c>
      <c r="V17" s="136">
        <f>населення!V18+льготи!V17+субсидии!V17+'держ.бюджет'!V17+'місц.-район.бюджет'!V17+обласной!V17+'госпрозрахунк.'!V17</f>
        <v>0</v>
      </c>
      <c r="W17" s="136">
        <f>населення!W18+льготи!W17+субсидии!W17+'держ.бюджет'!W17+'місц.-район.бюджет'!W17+обласной!W17+'госпрозрахунк.'!W17</f>
        <v>0</v>
      </c>
      <c r="X17" s="136" t="e">
        <f>W17/V17*100</f>
        <v>#DIV/0!</v>
      </c>
      <c r="Y17" s="136">
        <f>населення!Y18+льготи!Y17+субсидии!Y17+'держ.бюджет'!Y17+'місц.-район.бюджет'!Y17+обласной!Y17+'госпрозрахунк.'!Y17</f>
        <v>0</v>
      </c>
      <c r="Z17" s="136">
        <f>населення!Z18+льготи!Z17+субсидии!Z17+'держ.бюджет'!Z17+'місц.-район.бюджет'!Z17+обласной!Z17+'госпрозрахунк.'!Z17</f>
        <v>0</v>
      </c>
      <c r="AA17" s="99" t="e">
        <f t="shared" si="2"/>
        <v>#DIV/0!</v>
      </c>
      <c r="AB17" s="136">
        <f>населення!AB18+льготи!AB17+субсидии!AB17+'держ.бюджет'!AB17+'місц.-район.бюджет'!AB17+обласной!AB17+'госпрозрахунк.'!AB17</f>
        <v>0</v>
      </c>
      <c r="AC17" s="136">
        <f>населення!AC18+льготи!AC17+субсидии!AC17+'держ.бюджет'!AC17+'місц.-район.бюджет'!AC17+обласной!AC17+'госпрозрахунк.'!AC17</f>
        <v>0</v>
      </c>
      <c r="AD17" s="136" t="e">
        <f t="shared" si="6"/>
        <v>#DIV/0!</v>
      </c>
      <c r="AE17" s="136">
        <f>населення!AE18+льготи!AE17+субсидии!AE17+'держ.бюджет'!AE17+'місц.-район.бюджет'!AE17+обласной!AE17+'госпрозрахунк.'!AE17</f>
        <v>0</v>
      </c>
      <c r="AF17" s="136">
        <f>населення!AF18+льготи!AF17+субсидии!AF17+'держ.бюджет'!AF17+'місц.-район.бюджет'!AF17+обласной!AF17+'госпрозрахунк.'!AF17</f>
        <v>0</v>
      </c>
      <c r="AG17" s="136" t="e">
        <f>AF17/AE17*100</f>
        <v>#DIV/0!</v>
      </c>
      <c r="AH17" s="136">
        <f>населення!AH18+льготи!AH17+субсидии!AH17+'держ.бюджет'!AH17+'місц.-район.бюджет'!AH17+обласной!AH17+'госпрозрахунк.'!AH17</f>
        <v>0</v>
      </c>
      <c r="AI17" s="136">
        <f>населення!AI18+льготи!AI17+субсидии!AI17+'держ.бюджет'!AI17+'місц.-район.бюджет'!AI17+обласной!AI17+'госпрозрахунк.'!AI17</f>
        <v>0</v>
      </c>
      <c r="AJ17" s="136">
        <f>населення!AJ18+льготи!AJ17+субсидии!AJ17+'держ.бюджет'!AJ17+'місц.-район.бюджет'!AJ17+обласной!AJ17+'госпрозрахунк.'!AJ17</f>
        <v>0</v>
      </c>
      <c r="AK17" s="136">
        <f>населення!AK18+льготи!AK17+субсидии!AK17+'держ.бюджет'!AK17+'місц.-район.бюджет'!AK17+обласной!AK17+'госпрозрахунк.'!AK17</f>
        <v>0</v>
      </c>
      <c r="AL17" s="99" t="e">
        <f t="shared" si="7"/>
        <v>#DIV/0!</v>
      </c>
      <c r="AM17" s="136">
        <f>населення!AM18+льготи!AM17+субсидии!AM17+'держ.бюджет'!AM17+'місц.-район.бюджет'!AM17+обласной!AM17+'госпрозрахунк.'!AM17</f>
        <v>0</v>
      </c>
      <c r="AN17" s="136">
        <f>населення!AN18+льготи!AN17+субсидии!AN17+'держ.бюджет'!AN17+'місц.-район.бюджет'!AN17+обласной!AN17+'госпрозрахунк.'!AN17</f>
        <v>0</v>
      </c>
      <c r="AO17" s="136">
        <f>населення!AO18+льготи!AO17+субсидии!AO17+'держ.бюджет'!AO17+'місц.-район.бюджет'!AO17+обласной!AO17+'госпрозрахунк.'!AO17</f>
        <v>0</v>
      </c>
      <c r="AP17" s="136">
        <f>населення!AP18+льготи!AP17+субсидии!AP17+'держ.бюджет'!AP17+'місц.-район.бюджет'!AP17+обласной!AP17+'госпрозрахунк.'!AP17</f>
        <v>0</v>
      </c>
      <c r="AQ17" s="136">
        <f>населення!AR18+льготи!AQ17+субсидии!AQ17+'держ.бюджет'!AQ17+'місц.-район.бюджет'!AQ17+обласной!AQ17+'госпрозрахунк.'!AQ17</f>
        <v>0</v>
      </c>
      <c r="AR17" s="136">
        <f>населення!AS18+льготи!AR17+субсидии!AR17+'держ.бюджет'!AR17+'місц.-район.бюджет'!AR17+обласной!AR17+'госпрозрахунк.'!AR17</f>
        <v>0</v>
      </c>
      <c r="AS17" s="136">
        <f>населення!AT18+льготи!AS17+субсидии!AS17+'держ.бюджет'!AS17+'місц.-район.бюджет'!AS17+обласной!AS17+'госпрозрахунк.'!AS17</f>
        <v>0</v>
      </c>
      <c r="AT17" s="136">
        <f>населення!AU18+льготи!AT17+субсидии!AT17+'держ.бюджет'!AT17+'місц.-район.бюджет'!AT17+обласной!AT17+'госпрозрахунк.'!AT17</f>
        <v>13</v>
      </c>
      <c r="AU17" s="99" t="e">
        <f t="shared" si="8"/>
        <v>#DIV/0!</v>
      </c>
      <c r="AV17" s="136">
        <f>населення!AW18+льготи!AV17+субсидии!AV17+'держ.бюджет'!AV17+'місц.-район.бюджет'!AV17+обласной!AV17+'госпрозрахунк.'!AV17</f>
        <v>-13</v>
      </c>
      <c r="AW17" s="136">
        <f>населення!AX18+льготи!AW17+субсидии!AW17+'держ.бюджет'!AW17+'місц.-район.бюджет'!AW17+обласной!AW17+'госпрозрахунк.'!AW17</f>
        <v>1535.1</v>
      </c>
      <c r="AX17" s="136">
        <f t="shared" si="9"/>
        <v>0</v>
      </c>
      <c r="AY17" s="136">
        <f t="shared" si="10"/>
        <v>13</v>
      </c>
      <c r="AZ17" s="20">
        <f t="shared" si="11"/>
        <v>-13</v>
      </c>
      <c r="BA17" s="20">
        <f t="shared" si="12"/>
        <v>1535.1</v>
      </c>
    </row>
    <row r="18" spans="1:53" ht="34.5" customHeight="1">
      <c r="A18" s="19">
        <v>11</v>
      </c>
      <c r="B18" s="15" t="s">
        <v>36</v>
      </c>
      <c r="C18" s="136">
        <f>населення!C19+льготи!C18+субсидии!C18+'держ.бюджет'!C18+'місц.-район.бюджет'!C18+обласной!C18+'госпрозрахунк.'!C18</f>
        <v>19.4</v>
      </c>
      <c r="D18" s="137">
        <f>населення!D19+льготи!D18+субсидии!D18+'держ.бюджет'!D18+'місц.-район.бюджет'!D18+обласной!D18+'госпрозрахунк.'!D18</f>
        <v>453.29999999999995</v>
      </c>
      <c r="E18" s="137">
        <f>населення!E19+льготи!E18+субсидии!E18+'держ.бюджет'!E18+'місц.-район.бюджет'!E18+обласной!E18+'госпрозрахунк.'!E18</f>
        <v>209.8</v>
      </c>
      <c r="F18" s="14">
        <f t="shared" si="3"/>
        <v>46.28281491286125</v>
      </c>
      <c r="G18" s="137">
        <f>населення!G19+льготи!G18+субсидии!G18+'держ.бюджет'!G18+'місц.-район.бюджет'!G18+обласной!G18+'госпрозрахунк.'!G18</f>
        <v>489.29999999999995</v>
      </c>
      <c r="H18" s="137">
        <f>населення!H19+льготи!H18+субсидии!H18+'держ.бюджет'!H18+'місц.-район.бюджет'!H18+обласной!H18+'госпрозрахунк.'!H18</f>
        <v>620.3000000000001</v>
      </c>
      <c r="I18" s="14">
        <f t="shared" si="0"/>
        <v>126.77294093603109</v>
      </c>
      <c r="J18" s="137">
        <f>населення!J19+льготи!J18+субсидии!J18+'держ.бюджет'!J18+'місц.-район.бюджет'!J18+обласной!J18+'госпрозрахунк.'!J18</f>
        <v>0</v>
      </c>
      <c r="K18" s="137">
        <f>населення!K19+льготи!K18+субсидии!K18+'держ.бюджет'!K18+'місц.-район.бюджет'!K18+обласной!K18+'госпрозрахунк.'!K18</f>
        <v>0</v>
      </c>
      <c r="L18" s="14" t="e">
        <f t="shared" si="1"/>
        <v>#DIV/0!</v>
      </c>
      <c r="M18" s="136">
        <f>населення!M19+льготи!M18+субсидии!M18+'держ.бюджет'!M18+'місц.-район.бюджет'!M18+обласной!M18+'госпрозрахунк.'!M18</f>
        <v>942.5999999999999</v>
      </c>
      <c r="N18" s="136">
        <f>населення!N19+льготи!N18+субсидии!N18+'держ.бюджет'!N18+'місц.-район.бюджет'!N18+обласной!N18+'госпрозрахунк.'!N18</f>
        <v>830.1</v>
      </c>
      <c r="O18" s="136">
        <f t="shared" si="4"/>
        <v>88.0649267982177</v>
      </c>
      <c r="P18" s="136">
        <f>населення!P19+льготи!P18+субсидии!P18+'держ.бюджет'!P18+'місц.-район.бюджет'!P18+обласной!P18+'госпрозрахунк.'!P18</f>
        <v>0</v>
      </c>
      <c r="Q18" s="136">
        <f>населення!Q19+льготи!Q18+субсидии!Q18+'держ.бюджет'!Q18+'місц.-район.бюджет'!Q18+обласной!Q18+'госпрозрахунк.'!Q18</f>
        <v>0</v>
      </c>
      <c r="R18" s="136" t="e">
        <f t="shared" si="5"/>
        <v>#DIV/0!</v>
      </c>
      <c r="S18" s="136">
        <f>населення!S19+льготи!S18+субсидии!S18+'держ.бюджет'!S18+'місц.-район.бюджет'!S18+обласной!S18+'госпрозрахунк.'!S18</f>
        <v>0</v>
      </c>
      <c r="T18" s="136">
        <f>населення!T19+льготи!T18+субсидии!T18+'держ.бюджет'!T18+'місц.-район.бюджет'!T18+обласной!T18+'госпрозрахунк.'!T18</f>
        <v>0</v>
      </c>
      <c r="U18" s="136"/>
      <c r="V18" s="136">
        <f>населення!V19+льготи!V18+субсидии!V18+'держ.бюджет'!V18+'місц.-район.бюджет'!V18+обласной!V18+'госпрозрахунк.'!V18</f>
        <v>0</v>
      </c>
      <c r="W18" s="136">
        <f>населення!W19+льготи!W18+субсидии!W18+'держ.бюджет'!W18+'місц.-район.бюджет'!W18+обласной!W18+'госпрозрахунк.'!W18</f>
        <v>0</v>
      </c>
      <c r="X18" s="136"/>
      <c r="Y18" s="136">
        <f>населення!Y19+льготи!Y18+субсидии!Y18+'держ.бюджет'!Y18+'місц.-район.бюджет'!Y18+обласной!Y18+'госпрозрахунк.'!Y18</f>
        <v>0</v>
      </c>
      <c r="Z18" s="136">
        <f>населення!Z19+льготи!Z18+субсидии!Z18+'держ.бюджет'!Z18+'місц.-район.бюджет'!Z18+обласной!Z18+'госпрозрахунк.'!Z18</f>
        <v>0</v>
      </c>
      <c r="AA18" s="136" t="e">
        <f t="shared" si="2"/>
        <v>#DIV/0!</v>
      </c>
      <c r="AB18" s="136">
        <f>населення!AB19+льготи!AB18+субсидии!AB18+'держ.бюджет'!AB18+'місц.-район.бюджет'!AB18+обласной!AB18+'госпрозрахунк.'!AB18</f>
        <v>0</v>
      </c>
      <c r="AC18" s="136">
        <f>населення!AC19+льготи!AC18+субсидии!AC18+'держ.бюджет'!AC18+'місц.-район.бюджет'!AC18+обласной!AC18+'госпрозрахунк.'!AC18</f>
        <v>0</v>
      </c>
      <c r="AD18" s="136" t="e">
        <f t="shared" si="6"/>
        <v>#DIV/0!</v>
      </c>
      <c r="AE18" s="136">
        <f>населення!AE19+льготи!AE18+субсидии!AE18+'держ.бюджет'!AE18+'місц.-район.бюджет'!AE18+обласной!AE18+'госпрозрахунк.'!AE18</f>
        <v>0</v>
      </c>
      <c r="AF18" s="136">
        <f>населення!AF19+льготи!AF18+субсидии!AF18+'держ.бюджет'!AF18+'місц.-район.бюджет'!AF18+обласной!AF18+'госпрозрахунк.'!AF18</f>
        <v>0</v>
      </c>
      <c r="AG18" s="99" t="e">
        <f>AF18/AE18*100</f>
        <v>#DIV/0!</v>
      </c>
      <c r="AH18" s="136">
        <f>населення!AH19+льготи!AH18+субсидии!AH18+'держ.бюджет'!AH18+'місц.-район.бюджет'!AH18+обласной!AH18+'госпрозрахунк.'!AH18</f>
        <v>0</v>
      </c>
      <c r="AI18" s="136">
        <f>населення!AI19+льготи!AI18+субсидии!AI18+'держ.бюджет'!AI18+'місц.-район.бюджет'!AI18+обласной!AI18+'госпрозрахунк.'!AI18</f>
        <v>0</v>
      </c>
      <c r="AJ18" s="136">
        <f>населення!AJ19+льготи!AJ18+субсидии!AJ18+'держ.бюджет'!AJ18+'місц.-район.бюджет'!AJ18+обласной!AJ18+'госпрозрахунк.'!AJ18</f>
        <v>0</v>
      </c>
      <c r="AK18" s="136">
        <f>населення!AK19+льготи!AK18+субсидии!AK18+'держ.бюджет'!AK18+'місц.-район.бюджет'!AK18+обласной!AK18+'госпрозрахунк.'!AK18</f>
        <v>0</v>
      </c>
      <c r="AL18" s="99" t="e">
        <f t="shared" si="7"/>
        <v>#DIV/0!</v>
      </c>
      <c r="AM18" s="136">
        <f>населення!AM19+льготи!AM18+субсидии!AM18+'держ.бюджет'!AM18+'місц.-район.бюджет'!AM18+обласной!AM18+'госпрозрахунк.'!AM18</f>
        <v>0</v>
      </c>
      <c r="AN18" s="136">
        <f>населення!AN19+льготи!AN18+субсидии!AN18+'держ.бюджет'!AN18+'місц.-район.бюджет'!AN18+обласной!AN18+'госпрозрахунк.'!AN18</f>
        <v>0</v>
      </c>
      <c r="AO18" s="136">
        <f>населення!AO19+льготи!AO18+субсидии!AO18+'держ.бюджет'!AO18+'місц.-район.бюджет'!AO18+обласной!AO18+'госпрозрахунк.'!AO18</f>
        <v>0</v>
      </c>
      <c r="AP18" s="136">
        <f>населення!AP19+льготи!AP18+субсидии!AP18+'держ.бюджет'!AP18+'місц.-район.бюджет'!AP18+обласной!AP18+'госпрозрахунк.'!AP18</f>
        <v>0</v>
      </c>
      <c r="AQ18" s="136">
        <f>населення!AR19+льготи!AQ18+субсидии!AQ18+'держ.бюджет'!AQ18+'місц.-район.бюджет'!AQ18+обласной!AQ18+'госпрозрахунк.'!AQ18</f>
        <v>0</v>
      </c>
      <c r="AR18" s="136">
        <f>населення!AS19+льготи!AR18+субсидии!AR18+'держ.бюджет'!AR18+'місц.-район.бюджет'!AR18+обласной!AR18+'госпрозрахунк.'!AR18</f>
        <v>0</v>
      </c>
      <c r="AS18" s="136">
        <f>населення!AT19+льготи!AS18+субсидии!AS18+'держ.бюджет'!AS18+'місц.-район.бюджет'!AS18+обласной!AS18+'госпрозрахунк.'!AS18</f>
        <v>942.5999999999999</v>
      </c>
      <c r="AT18" s="136">
        <f>населення!AU19+льготи!AT18+субсидии!AT18+'держ.бюджет'!AT18+'місц.-район.бюджет'!AT18+обласной!AT18+'госпрозрахунк.'!AT18</f>
        <v>830.1</v>
      </c>
      <c r="AU18" s="136">
        <f t="shared" si="8"/>
        <v>88.0649267982177</v>
      </c>
      <c r="AV18" s="136">
        <f>населення!AW19+льготи!AV18+субсидии!AV18+'держ.бюджет'!AV18+'місц.-район.бюджет'!AV18+обласной!AV18+'госпрозрахунк.'!AV18</f>
        <v>112.49999999999991</v>
      </c>
      <c r="AW18" s="136">
        <f>населення!AX19+льготи!AW18+субсидии!AW18+'держ.бюджет'!AW18+'місц.-район.бюджет'!AW18+обласной!AW18+'госпрозрахунк.'!AW18</f>
        <v>131.89999999999992</v>
      </c>
      <c r="AX18" s="136">
        <f t="shared" si="9"/>
        <v>942.5999999999999</v>
      </c>
      <c r="AY18" s="136">
        <f t="shared" si="10"/>
        <v>830.1</v>
      </c>
      <c r="AZ18" s="20">
        <f t="shared" si="11"/>
        <v>112.49999999999989</v>
      </c>
      <c r="BA18" s="20">
        <f t="shared" si="12"/>
        <v>131.89999999999986</v>
      </c>
    </row>
    <row r="19" spans="1:54" s="116" customFormat="1" ht="34.5" customHeight="1">
      <c r="A19" s="227">
        <v>12</v>
      </c>
      <c r="B19" s="101" t="s">
        <v>37</v>
      </c>
      <c r="C19" s="228">
        <f>населення!C20+льготи!C19+субсидии!C19+'держ.бюджет'!C19+'місц.-район.бюджет'!C19+обласной!C19+'госпрозрахунк.'!C19</f>
        <v>4194.799999999999</v>
      </c>
      <c r="D19" s="229">
        <f>населення!D20+льготи!D19+субсидии!D19+'держ.бюджет'!D19+'місц.-район.бюджет'!D19+обласной!D19+'госпрозрахунк.'!D19</f>
        <v>3094.7999999999997</v>
      </c>
      <c r="E19" s="229">
        <f>населення!E20+льготи!E19+субсидии!E19+'держ.бюджет'!E19+'місц.-район.бюджет'!E19+обласной!E19+'госпрозрахунк.'!E19</f>
        <v>964.9</v>
      </c>
      <c r="F19" s="96">
        <f t="shared" si="3"/>
        <v>31.17810520873724</v>
      </c>
      <c r="G19" s="229">
        <f>населення!G20+льготи!G19+субсидии!G19+'держ.бюджет'!G19+'місц.-район.бюджет'!G19+обласной!G19+'госпрозрахунк.'!G19</f>
        <v>3261.2000000000003</v>
      </c>
      <c r="H19" s="229">
        <f>населення!H20+льготи!H19+субсидии!H19+'держ.бюджет'!H19+'місц.-район.бюджет'!H19+обласной!H19+'госпрозрахунк.'!H19</f>
        <v>2867.8</v>
      </c>
      <c r="I19" s="96">
        <f t="shared" si="0"/>
        <v>87.93695572182018</v>
      </c>
      <c r="J19" s="229">
        <f>населення!J20+льготи!J19+субсидии!J19+'держ.бюджет'!J19+'місц.-район.бюджет'!J19+обласной!J19+'госпрозрахунк.'!J19</f>
        <v>0</v>
      </c>
      <c r="K19" s="229">
        <f>населення!K20+льготи!K19+субсидии!K19+'держ.бюджет'!K19+'місц.-район.бюджет'!K19+обласной!K19+'госпрозрахунк.'!K19</f>
        <v>0</v>
      </c>
      <c r="L19" s="96" t="e">
        <f t="shared" si="1"/>
        <v>#DIV/0!</v>
      </c>
      <c r="M19" s="228">
        <f>населення!M20+льготи!M19+субсидии!M19+'держ.бюджет'!M19+'місц.-район.бюджет'!M19+обласной!M19+'госпрозрахунк.'!M19</f>
        <v>6356</v>
      </c>
      <c r="N19" s="228">
        <f>населення!N20+льготи!N19+субсидии!N19+'держ.бюджет'!N19+'місц.-район.бюджет'!N19+обласной!N19+'госпрозрахунк.'!N19</f>
        <v>3832.7000000000003</v>
      </c>
      <c r="O19" s="228">
        <f t="shared" si="4"/>
        <v>60.300503461296415</v>
      </c>
      <c r="P19" s="228">
        <f>населення!P20+льготи!P19+субсидии!P19+'держ.бюджет'!P19+'місц.-район.бюджет'!P19+обласной!P19+'госпрозрахунк.'!P19</f>
        <v>0</v>
      </c>
      <c r="Q19" s="228">
        <f>населення!Q20+льготи!Q19+субсидии!Q19+'держ.бюджет'!Q19+'місц.-район.бюджет'!Q19+обласной!Q19+'госпрозрахунк.'!Q19</f>
        <v>0</v>
      </c>
      <c r="R19" s="228" t="e">
        <f t="shared" si="5"/>
        <v>#DIV/0!</v>
      </c>
      <c r="S19" s="228">
        <f>населення!S20+льготи!S19+субсидии!S19+'держ.бюджет'!S19+'місц.-район.бюджет'!S19+обласной!S19+'госпрозрахунк.'!S19</f>
        <v>0</v>
      </c>
      <c r="T19" s="228">
        <f>населення!T20+льготи!T19+субсидии!T19+'держ.бюджет'!T19+'місц.-район.бюджет'!T19+обласной!T19+'госпрозрахунк.'!T19</f>
        <v>0</v>
      </c>
      <c r="U19" s="228"/>
      <c r="V19" s="228">
        <f>населення!V20+льготи!V19+субсидии!V19+'держ.бюджет'!V19+'місц.-район.бюджет'!V19+обласной!V19+'госпрозрахунк.'!V19</f>
        <v>0</v>
      </c>
      <c r="W19" s="228">
        <f>населення!W20+льготи!W19+субсидии!W19+'держ.бюджет'!W19+'місц.-район.бюджет'!W19+обласной!W19+'госпрозрахунк.'!W19</f>
        <v>0</v>
      </c>
      <c r="X19" s="228"/>
      <c r="Y19" s="228">
        <f>населення!Y20+льготи!Y19+субсидии!Y19+'держ.бюджет'!Y19+'місц.-район.бюджет'!Y19+обласной!Y19+'госпрозрахунк.'!Y19</f>
        <v>0</v>
      </c>
      <c r="Z19" s="228">
        <f>населення!Z20+льготи!Z19+субсидии!Z19+'держ.бюджет'!Z19+'місц.-район.бюджет'!Z19+обласной!Z19+'госпрозрахунк.'!Z19</f>
        <v>0</v>
      </c>
      <c r="AA19" s="228" t="e">
        <f t="shared" si="2"/>
        <v>#DIV/0!</v>
      </c>
      <c r="AB19" s="228">
        <f>населення!AB20+льготи!AB19+субсидии!AB19+'держ.бюджет'!AB19+'місц.-район.бюджет'!AB19+обласной!AB19+'госпрозрахунк.'!AB19</f>
        <v>0</v>
      </c>
      <c r="AC19" s="228">
        <f>населення!AC20+льготи!AC19+субсидии!AC19+'держ.бюджет'!AC19+'місц.-район.бюджет'!AC19+обласной!AC19+'госпрозрахунк.'!AC19</f>
        <v>0</v>
      </c>
      <c r="AD19" s="228" t="e">
        <f t="shared" si="6"/>
        <v>#DIV/0!</v>
      </c>
      <c r="AE19" s="228">
        <f>населення!AE20+льготи!AE19+субсидии!AE19+'держ.бюджет'!AE19+'місц.-район.бюджет'!AE19+обласной!AE19+'госпрозрахунк.'!AE19</f>
        <v>0</v>
      </c>
      <c r="AF19" s="228">
        <f>населення!AF20+льготи!AF19+субсидии!AF19+'держ.бюджет'!AF19+'місц.-район.бюджет'!AF19+обласной!AF19+'госпрозрахунк.'!AF19</f>
        <v>0</v>
      </c>
      <c r="AG19" s="228" t="e">
        <f>AF19/AE19*100</f>
        <v>#DIV/0!</v>
      </c>
      <c r="AH19" s="228">
        <f>населення!AH20+льготи!AH19+субсидии!AH19+'держ.бюджет'!AH19+'місц.-район.бюджет'!AH19+обласной!AH19+'госпрозрахунк.'!AH19</f>
        <v>0</v>
      </c>
      <c r="AI19" s="228">
        <f>населення!AI20+льготи!AI19+субсидии!AI19+'держ.бюджет'!AI19+'місц.-район.бюджет'!AI19+обласной!AI19+'госпрозрахунк.'!AI19</f>
        <v>0</v>
      </c>
      <c r="AJ19" s="228">
        <f>населення!AJ20+льготи!AJ19+субсидии!AJ19+'держ.бюджет'!AJ19+'місц.-район.бюджет'!AJ19+обласной!AJ19+'госпрозрахунк.'!AJ19</f>
        <v>0</v>
      </c>
      <c r="AK19" s="228">
        <f>населення!AK20+льготи!AK19+субсидии!AK19+'держ.бюджет'!AK19+'місц.-район.бюджет'!AK19+обласной!AK19+'госпрозрахунк.'!AK19</f>
        <v>0</v>
      </c>
      <c r="AL19" s="228" t="e">
        <f t="shared" si="7"/>
        <v>#DIV/0!</v>
      </c>
      <c r="AM19" s="228">
        <f>населення!AM20+льготи!AM19+субсидии!AM19+'держ.бюджет'!AM19+'місц.-район.бюджет'!AM19+обласной!AM19+'госпрозрахунк.'!AM19</f>
        <v>0</v>
      </c>
      <c r="AN19" s="228">
        <f>населення!AN20+льготи!AN19+субсидии!AN19+'держ.бюджет'!AN19+'місц.-район.бюджет'!AN19+обласной!AN19+'госпрозрахунк.'!AN19</f>
        <v>0</v>
      </c>
      <c r="AO19" s="228">
        <f>населення!AO20+льготи!AO19+субсидии!AO19+'держ.бюджет'!AO19+'місц.-район.бюджет'!AO19+обласной!AO19+'госпрозрахунк.'!AO19</f>
        <v>0</v>
      </c>
      <c r="AP19" s="228">
        <f>населення!AP20+льготи!AP19+субсидии!AP19+'держ.бюджет'!AP19+'місц.-район.бюджет'!AP19+обласной!AP19+'госпрозрахунк.'!AP19</f>
        <v>0</v>
      </c>
      <c r="AQ19" s="228">
        <f>населення!AR20+льготи!AQ19+субсидии!AQ19+'держ.бюджет'!AQ19+'місц.-район.бюджет'!AQ19+обласной!AQ19+'госпрозрахунк.'!AQ19</f>
        <v>0</v>
      </c>
      <c r="AR19" s="228">
        <f>населення!AS20+льготи!AR19+субсидии!AR19+'держ.бюджет'!AR19+'місц.-район.бюджет'!AR19+обласной!AR19+'госпрозрахунк.'!AR19</f>
        <v>0</v>
      </c>
      <c r="AS19" s="228">
        <f>населення!AT20+льготи!AS19+субсидии!AS19+'держ.бюджет'!AS19+'місц.-район.бюджет'!AS19+обласной!AS19+'госпрозрахунк.'!AS19</f>
        <v>6356</v>
      </c>
      <c r="AT19" s="228">
        <f>населення!AU20+льготи!AT19+субсидии!AT19+'держ.бюджет'!AT19+'місц.-район.бюджет'!AT19+обласной!AT19+'госпрозрахунк.'!AT19</f>
        <v>3832.7000000000003</v>
      </c>
      <c r="AU19" s="228">
        <f t="shared" si="8"/>
        <v>60.300503461296415</v>
      </c>
      <c r="AV19" s="228">
        <f>населення!AW20+льготи!AV19+субсидии!AV19+'держ.бюджет'!AV19+'місц.-район.бюджет'!AV19+обласной!AV19+'госпрозрахунк.'!AV19</f>
        <v>2523.2999999999997</v>
      </c>
      <c r="AW19" s="228">
        <f>населення!AX20+льготи!AW19+субсидии!AW19+'держ.бюджет'!AW19+'місц.-район.бюджет'!AW19+обласной!AW19+'госпрозрахунк.'!AW19</f>
        <v>6718.1</v>
      </c>
      <c r="AX19" s="136">
        <f t="shared" si="9"/>
        <v>6356</v>
      </c>
      <c r="AY19" s="136">
        <f t="shared" si="10"/>
        <v>3832.7000000000003</v>
      </c>
      <c r="AZ19" s="230">
        <f t="shared" si="11"/>
        <v>2523.2999999999997</v>
      </c>
      <c r="BA19" s="230">
        <f t="shared" si="12"/>
        <v>6718.0999999999985</v>
      </c>
      <c r="BB19" s="140">
        <f>BA19-AW19</f>
        <v>0</v>
      </c>
    </row>
    <row r="20" spans="1:53" ht="34.5" customHeight="1">
      <c r="A20" s="6">
        <v>13</v>
      </c>
      <c r="B20" s="15" t="s">
        <v>38</v>
      </c>
      <c r="C20" s="136"/>
      <c r="D20" s="137"/>
      <c r="E20" s="137"/>
      <c r="F20" s="14"/>
      <c r="G20" s="137"/>
      <c r="H20" s="137"/>
      <c r="I20" s="28"/>
      <c r="J20" s="137"/>
      <c r="K20" s="137"/>
      <c r="L20" s="14"/>
      <c r="M20" s="136"/>
      <c r="N20" s="136"/>
      <c r="O20" s="136"/>
      <c r="P20" s="99">
        <f>населення!P21+льготи!P20+субсидии!P20+'держ.бюджет'!P20+'місц.-район.бюджет'!P20+обласной!P20+'госпрозрахунк.'!P20</f>
        <v>0</v>
      </c>
      <c r="Q20" s="99">
        <f>населення!Q21+льготи!Q20+субсидии!Q20+'держ.бюджет'!Q20+'місц.-район.бюджет'!Q20+обласной!Q20+'госпрозрахунк.'!Q20</f>
        <v>0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 t="e">
        <f t="shared" si="6"/>
        <v>#DIV/0!</v>
      </c>
      <c r="AE20" s="136"/>
      <c r="AF20" s="136"/>
      <c r="AG20" s="136"/>
      <c r="AH20" s="136"/>
      <c r="AI20" s="136"/>
      <c r="AJ20" s="136"/>
      <c r="AK20" s="136"/>
      <c r="AL20" s="99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>
        <f t="shared" si="9"/>
        <v>0</v>
      </c>
      <c r="AY20" s="136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39</v>
      </c>
      <c r="C21" s="136">
        <f>населення!C22+льготи!C21+субсидии!C21+'держ.бюджет'!C21+'місц.-район.бюджет'!C21+обласной!C21+'госпрозрахунк.'!C21</f>
        <v>-85.6</v>
      </c>
      <c r="D21" s="137">
        <f>населення!D22+льготи!D21+субсидии!D21+'держ.бюджет'!D21+'місц.-район.бюджет'!D21+обласной!D21+'госпрозрахунк.'!D21</f>
        <v>562</v>
      </c>
      <c r="E21" s="137">
        <f>населення!E22+льготи!E21+субсидии!E21+'держ.бюджет'!E21+'місц.-район.бюджет'!E21+обласной!E21+'госпрозрахунк.'!E21</f>
        <v>0</v>
      </c>
      <c r="F21" s="14">
        <f t="shared" si="3"/>
        <v>0</v>
      </c>
      <c r="G21" s="137">
        <f>населення!G22+льготи!G21+субсидии!G21+'держ.бюджет'!G21+'місц.-район.бюджет'!G21+обласной!G21+'госпрозрахунк.'!G21</f>
        <v>583.3000000000001</v>
      </c>
      <c r="H21" s="137">
        <f>населення!H22+льготи!H21+субсидии!H21+'держ.бюджет'!H21+'місц.-район.бюджет'!H21+обласной!H21+'госпрозрахунк.'!H21</f>
        <v>527.1</v>
      </c>
      <c r="I21" s="14">
        <f t="shared" si="0"/>
        <v>90.36516372364134</v>
      </c>
      <c r="J21" s="137">
        <f>населення!J22+льготи!J21+субсидии!J21+'держ.бюджет'!J21+'місц.-район.бюджет'!J21+обласной!J21+'госпрозрахунк.'!J21</f>
        <v>0</v>
      </c>
      <c r="K21" s="137">
        <f>населення!K22+льготи!K21+субсидии!K21+'держ.бюджет'!K21+'місц.-район.бюджет'!K21+обласной!K21+'госпрозрахунк.'!K21</f>
        <v>0</v>
      </c>
      <c r="L21" s="14" t="e">
        <f t="shared" si="1"/>
        <v>#DIV/0!</v>
      </c>
      <c r="M21" s="136">
        <f>населення!M22+льготи!M21+субсидии!M21+'держ.бюджет'!M21+'місц.-район.бюджет'!M21+обласной!M21+'госпрозрахунк.'!M21</f>
        <v>1145.3</v>
      </c>
      <c r="N21" s="136">
        <f>населення!N22+льготи!N21+субсидии!N21+'держ.бюджет'!N21+'місц.-район.бюджет'!N21+обласной!N21+'госпрозрахунк.'!N21</f>
        <v>527.1</v>
      </c>
      <c r="O21" s="136">
        <f t="shared" si="4"/>
        <v>46.022876102331274</v>
      </c>
      <c r="P21" s="136">
        <f>населення!P22+льготи!P21+субсидии!P21+'держ.бюджет'!P21+'місц.-район.бюджет'!P21+обласной!P21+'госпрозрахунк.'!P21</f>
        <v>0</v>
      </c>
      <c r="Q21" s="136">
        <f>населення!Q22+льготи!Q21+субсидии!Q21+'держ.бюджет'!Q21+'місц.-район.бюджет'!Q21+обласной!Q21+'госпрозрахунк.'!Q21</f>
        <v>0</v>
      </c>
      <c r="R21" s="136" t="e">
        <f t="shared" si="5"/>
        <v>#DIV/0!</v>
      </c>
      <c r="S21" s="136">
        <f>населення!S22+льготи!S21+субсидии!S21+'держ.бюджет'!S21+'місц.-район.бюджет'!S21+обласной!S21+'госпрозрахунк.'!S21</f>
        <v>0</v>
      </c>
      <c r="T21" s="136">
        <f>населення!T22+льготи!T21+субсидии!T21+'держ.бюджет'!T21+'місц.-район.бюджет'!T21+обласной!T21+'госпрозрахунк.'!T21</f>
        <v>0</v>
      </c>
      <c r="U21" s="136" t="e">
        <f>T21/S21*100</f>
        <v>#DIV/0!</v>
      </c>
      <c r="V21" s="136">
        <f>населення!V22+льготи!V21+субсидии!V21+'держ.бюджет'!V21+'місц.-район.бюджет'!V21+обласной!V21+'госпрозрахунк.'!V21</f>
        <v>0</v>
      </c>
      <c r="W21" s="136">
        <f>населення!W22+льготи!W21+субсидии!W21+'держ.бюджет'!W21+'місц.-район.бюджет'!W21+обласной!W21+'госпрозрахунк.'!W21</f>
        <v>0</v>
      </c>
      <c r="X21" s="136" t="e">
        <f>W21/V21*100</f>
        <v>#DIV/0!</v>
      </c>
      <c r="Y21" s="136">
        <f>населення!Y22+льготи!Y21+субсидии!Y21+'держ.бюджет'!Y21+'місц.-район.бюджет'!Y21+обласной!Y21+'госпрозрахунк.'!Y21</f>
        <v>0</v>
      </c>
      <c r="Z21" s="136">
        <f>населення!Z22+льготи!Z21+субсидии!Z21+'держ.бюджет'!Z21+'місц.-район.бюджет'!Z21+обласной!Z21+'госпрозрахунк.'!Z21</f>
        <v>0</v>
      </c>
      <c r="AA21" s="136" t="e">
        <f>Z21/Y21*100</f>
        <v>#DIV/0!</v>
      </c>
      <c r="AB21" s="136">
        <f>населення!AB22+льготи!AB21+субсидии!AB21+'держ.бюджет'!AB21+'місц.-район.бюджет'!AB21+обласной!AB21+'госпрозрахунк.'!AB21</f>
        <v>0</v>
      </c>
      <c r="AC21" s="136">
        <f>населення!AC22+льготи!AC21+субсидии!AC21+'держ.бюджет'!AC21+'місц.-район.бюджет'!AC21+обласной!AC21+'госпрозрахунк.'!AC21</f>
        <v>0</v>
      </c>
      <c r="AD21" s="136" t="e">
        <f t="shared" si="6"/>
        <v>#DIV/0!</v>
      </c>
      <c r="AE21" s="136">
        <f>населення!AE22+льготи!AE21+субсидии!AE21+'держ.бюджет'!AE21+'місц.-район.бюджет'!AE21+обласной!AE21+'госпрозрахунк.'!AE21</f>
        <v>0</v>
      </c>
      <c r="AF21" s="136">
        <f>населення!AF22+льготи!AF21+субсидии!AF21+'держ.бюджет'!AF21+'місц.-район.бюджет'!AF21+обласной!AF21+'госпрозрахунк.'!AF21</f>
        <v>0</v>
      </c>
      <c r="AG21" s="136" t="e">
        <f>AF21/AE21*100</f>
        <v>#DIV/0!</v>
      </c>
      <c r="AH21" s="136">
        <f>населення!AH22+льготи!AH21+субсидии!AH21+'держ.бюджет'!AH21+'місц.-район.бюджет'!AH21+обласной!AH21+'госпрозрахунк.'!AH21</f>
        <v>0</v>
      </c>
      <c r="AI21" s="136">
        <f>населення!AI22+льготи!AI21+субсидии!AI21+'держ.бюджет'!AI21+'місц.-район.бюджет'!AI21+обласной!AI21+'госпрозрахунк.'!AI21</f>
        <v>0</v>
      </c>
      <c r="AJ21" s="136">
        <f>населення!AJ22+льготи!AJ21+субсидии!AJ21+'держ.бюджет'!AJ21+'місц.-район.бюджет'!AJ21+обласной!AJ21+'госпрозрахунк.'!AJ21</f>
        <v>0</v>
      </c>
      <c r="AK21" s="136">
        <f>населення!AK22+льготи!AK21+субсидии!AK21+'держ.бюджет'!AK21+'місц.-район.бюджет'!AK21+обласной!AK21+'госпрозрахунк.'!AK21</f>
        <v>0</v>
      </c>
      <c r="AL21" s="136" t="e">
        <f t="shared" si="7"/>
        <v>#DIV/0!</v>
      </c>
      <c r="AM21" s="136">
        <f>населення!AM22+льготи!AM21+субсидии!AM21+'держ.бюджет'!AM21+'місц.-район.бюджет'!AM21+обласной!AM21+'госпрозрахунк.'!AM21</f>
        <v>0</v>
      </c>
      <c r="AN21" s="136">
        <f>населення!AN22+льготи!AN21+субсидии!AN21+'держ.бюджет'!AN21+'місц.-район.бюджет'!AN21+обласной!AN21+'госпрозрахунк.'!AN21</f>
        <v>0</v>
      </c>
      <c r="AO21" s="136">
        <f>населення!AO22+льготи!AO21+субсидии!AO21+'держ.бюджет'!AO21+'місц.-район.бюджет'!AO21+обласной!AO21+'госпрозрахунк.'!AO21</f>
        <v>0</v>
      </c>
      <c r="AP21" s="136">
        <f>населення!AP22+льготи!AP21+субсидии!AP21+'держ.бюджет'!AP21+'місц.-район.бюджет'!AP21+обласной!AP21+'госпрозрахунк.'!AP21</f>
        <v>0</v>
      </c>
      <c r="AQ21" s="136">
        <f>населення!AR22+льготи!AQ21+субсидии!AQ21+'держ.бюджет'!AQ21+'місц.-район.бюджет'!AQ21+обласной!AQ21+'госпрозрахунк.'!AQ21</f>
        <v>0</v>
      </c>
      <c r="AR21" s="136">
        <f>населення!AS22+льготи!AR21+субсидии!AR21+'держ.бюджет'!AR21+'місц.-район.бюджет'!AR21+обласной!AR21+'госпрозрахунк.'!AR21</f>
        <v>0</v>
      </c>
      <c r="AS21" s="136">
        <f>населення!AT22+льготи!AS21+субсидии!AS21+'держ.бюджет'!AS21+'місц.-район.бюджет'!AS21+обласной!AS21+'госпрозрахунк.'!AS21</f>
        <v>1145.3</v>
      </c>
      <c r="AT21" s="136">
        <f>населення!AU22+льготи!AT21+субсидии!AT21+'держ.бюджет'!AT21+'місц.-район.бюджет'!AT21+обласной!AT21+'госпрозрахунк.'!AT21</f>
        <v>527.1</v>
      </c>
      <c r="AU21" s="136">
        <f t="shared" si="8"/>
        <v>46.022876102331274</v>
      </c>
      <c r="AV21" s="136">
        <f>населення!AW22+льготи!AV21+субсидии!AV21+'держ.бюджет'!AV21+'місц.-район.бюджет'!AV21+обласной!AV21+'госпрозрахунк.'!AV21</f>
        <v>618.1999999999999</v>
      </c>
      <c r="AW21" s="136">
        <f>населення!AX22+льготи!AW21+субсидии!AW21+'держ.бюджет'!AW21+'місц.-район.бюджет'!AW21+обласной!AW21+'госпрозрахунк.'!AW21</f>
        <v>532.5999999999999</v>
      </c>
      <c r="AX21" s="136">
        <f t="shared" si="9"/>
        <v>1145.3</v>
      </c>
      <c r="AY21" s="136">
        <f t="shared" si="10"/>
        <v>527.1</v>
      </c>
      <c r="AZ21" s="20">
        <f t="shared" si="11"/>
        <v>618.1999999999999</v>
      </c>
      <c r="BA21" s="20">
        <f t="shared" si="12"/>
        <v>532.6</v>
      </c>
    </row>
    <row r="22" spans="1:53" ht="34.5" customHeight="1">
      <c r="A22" s="19">
        <v>15</v>
      </c>
      <c r="B22" s="15" t="s">
        <v>40</v>
      </c>
      <c r="C22" s="136">
        <f>населення!C23+льготи!C22+субсидии!C22+'держ.бюджет'!C22+'місц.-район.бюджет'!C22+обласной!C22+'госпрозрахунк.'!C22</f>
        <v>-224.39999999999998</v>
      </c>
      <c r="D22" s="137">
        <f>населення!D23+льготи!D22+субсидии!D22+'держ.бюджет'!D22+'місц.-район.бюджет'!D22+обласной!D22+'госпрозрахунк.'!D22</f>
        <v>2430.2</v>
      </c>
      <c r="E22" s="137">
        <f>населення!E23+льготи!E22+субсидии!E22+'держ.бюджет'!E22+'місц.-район.бюджет'!E22+обласной!E22+'госпрозрахунк.'!E22</f>
        <v>2321.6000000000004</v>
      </c>
      <c r="F22" s="14">
        <f t="shared" si="3"/>
        <v>95.53123199736649</v>
      </c>
      <c r="G22" s="137">
        <f>населення!G23+льготи!G22+субсидии!G22+'держ.бюджет'!G22+'місц.-район.бюджет'!G22+обласной!G22+'госпрозрахунк.'!G22</f>
        <v>2526.9999999999995</v>
      </c>
      <c r="H22" s="137">
        <f>населення!H23+льготи!H22+субсидии!H22+'держ.бюджет'!H22+'місц.-район.бюджет'!H22+обласной!H22+'госпрозрахунк.'!H22</f>
        <v>1889.3</v>
      </c>
      <c r="I22" s="14">
        <f t="shared" si="0"/>
        <v>74.76454293628811</v>
      </c>
      <c r="J22" s="137">
        <f>населення!J23+льготи!J22+субсидии!J22+'держ.бюджет'!J22+'місц.-район.бюджет'!J22+обласной!J22+'госпрозрахунк.'!J22</f>
        <v>0</v>
      </c>
      <c r="K22" s="137">
        <f>населення!K23+льготи!K22+субсидии!K22+'держ.бюджет'!K22+'місц.-район.бюджет'!K22+обласной!K22+'госпрозрахунк.'!K22</f>
        <v>0</v>
      </c>
      <c r="L22" s="14" t="e">
        <f t="shared" si="1"/>
        <v>#DIV/0!</v>
      </c>
      <c r="M22" s="136">
        <f>населення!M23+льготи!M22+субсидии!M22+'держ.бюджет'!M22+'місц.-район.бюджет'!M22+обласной!M22+'госпрозрахунк.'!M22</f>
        <v>4957.199999999999</v>
      </c>
      <c r="N22" s="136">
        <f>населення!N23+льготи!N22+субсидии!N22+'держ.бюджет'!N22+'місц.-район.бюджет'!N22+обласной!N22+'госпрозрахунк.'!N22</f>
        <v>4210.900000000001</v>
      </c>
      <c r="O22" s="136">
        <f t="shared" si="4"/>
        <v>84.94513031550072</v>
      </c>
      <c r="P22" s="136">
        <f>населення!P23+льготи!P22+субсидии!P22+'держ.бюджет'!P22+'місц.-район.бюджет'!P22+обласной!P22+'госпрозрахунк.'!P22</f>
        <v>0</v>
      </c>
      <c r="Q22" s="136">
        <f>населення!Q23+льготи!Q22+субсидии!Q22+'держ.бюджет'!Q22+'місц.-район.бюджет'!Q22+обласной!Q22+'госпрозрахунк.'!Q22</f>
        <v>0</v>
      </c>
      <c r="R22" s="136" t="e">
        <f t="shared" si="5"/>
        <v>#DIV/0!</v>
      </c>
      <c r="S22" s="136">
        <f>населення!S23+льготи!S22+субсидии!S22+'держ.бюджет'!S22+'місц.-район.бюджет'!S22+обласной!S22+'госпрозрахунк.'!S22</f>
        <v>0</v>
      </c>
      <c r="T22" s="136">
        <f>населення!T23+льготи!T22+субсидии!T22+'держ.бюджет'!T22+'місц.-район.бюджет'!T22+обласной!T22+'госпрозрахунк.'!T22</f>
        <v>0</v>
      </c>
      <c r="U22" s="136"/>
      <c r="V22" s="136">
        <f>населення!V23+льготи!V22+субсидии!V22+'держ.бюджет'!V22+'місц.-район.бюджет'!V22+обласной!V22+'госпрозрахунк.'!V22</f>
        <v>0</v>
      </c>
      <c r="W22" s="136">
        <f>населення!W23+льготи!W22+субсидии!W22+'держ.бюджет'!W22+'місц.-район.бюджет'!W22+обласной!W22+'госпрозрахунк.'!W22</f>
        <v>0</v>
      </c>
      <c r="X22" s="136"/>
      <c r="Y22" s="136">
        <f>населення!Y23+льготи!Y22+субсидии!Y22+'держ.бюджет'!Y22+'місц.-район.бюджет'!Y22+обласной!Y22+'госпрозрахунк.'!Y22</f>
        <v>0</v>
      </c>
      <c r="Z22" s="136">
        <f>населення!Z23+льготи!Z22+субсидии!Z22+'держ.бюджет'!Z22+'місц.-район.бюджет'!Z22+обласной!Z22+'госпрозрахунк.'!Z22</f>
        <v>0</v>
      </c>
      <c r="AA22" s="136" t="e">
        <f>Z22/Y22*100</f>
        <v>#DIV/0!</v>
      </c>
      <c r="AB22" s="136">
        <f>населення!AB23+льготи!AB22+субсидии!AB22+'держ.бюджет'!AB22+'місц.-район.бюджет'!AB22+обласной!AB22+'госпрозрахунк.'!AB22</f>
        <v>0</v>
      </c>
      <c r="AC22" s="136">
        <f>населення!AC23+льготи!AC22+субсидии!AC22+'держ.бюджет'!AC22+'місц.-район.бюджет'!AC22+обласной!AC22+'госпрозрахунк.'!AC22</f>
        <v>0</v>
      </c>
      <c r="AD22" s="99" t="e">
        <f t="shared" si="6"/>
        <v>#DIV/0!</v>
      </c>
      <c r="AE22" s="136">
        <f>населення!AE23+льготи!AE22+субсидии!AE22+'держ.бюджет'!AE22+'місц.-район.бюджет'!AE22+обласной!AE22+'госпрозрахунк.'!AE22</f>
        <v>0</v>
      </c>
      <c r="AF22" s="136">
        <f>населення!AF23+льготи!AF22+субсидии!AF22+'держ.бюджет'!AF22+'місц.-район.бюджет'!AF22+обласной!AF22+'госпрозрахунк.'!AF22</f>
        <v>0</v>
      </c>
      <c r="AG22" s="99" t="e">
        <f>AF22/AE22*100</f>
        <v>#DIV/0!</v>
      </c>
      <c r="AH22" s="136">
        <f>населення!AH23+льготи!AH22+субсидии!AH22+'держ.бюджет'!AH22+'місц.-район.бюджет'!AH22+обласной!AH22+'госпрозрахунк.'!AH22</f>
        <v>0</v>
      </c>
      <c r="AI22" s="136">
        <f>населення!AI23+льготи!AI22+субсидии!AI22+'держ.бюджет'!AI22+'місц.-район.бюджет'!AI22+обласной!AI22+'госпрозрахунк.'!AI22</f>
        <v>0</v>
      </c>
      <c r="AJ22" s="136">
        <f>населення!AJ23+льготи!AJ22+субсидии!AJ22+'держ.бюджет'!AJ22+'місц.-район.бюджет'!AJ22+обласной!AJ22+'госпрозрахунк.'!AJ22</f>
        <v>0</v>
      </c>
      <c r="AK22" s="136">
        <f>населення!AK23+льготи!AK22+субсидии!AK22+'держ.бюджет'!AK22+'місц.-район.бюджет'!AK22+обласной!AK22+'госпрозрахунк.'!AK22</f>
        <v>0</v>
      </c>
      <c r="AL22" s="99" t="e">
        <f t="shared" si="7"/>
        <v>#DIV/0!</v>
      </c>
      <c r="AM22" s="136">
        <f>населення!AM23+льготи!AM22+субсидии!AM22+'держ.бюджет'!AM22+'місц.-район.бюджет'!AM22+обласной!AM22+'госпрозрахунк.'!AM22</f>
        <v>0</v>
      </c>
      <c r="AN22" s="136">
        <f>населення!AN23+льготи!AN22+субсидии!AN22+'держ.бюджет'!AN22+'місц.-район.бюджет'!AN22+обласной!AN22+'госпрозрахунк.'!AN22</f>
        <v>0</v>
      </c>
      <c r="AO22" s="136">
        <f>населення!AO23+льготи!AO22+субсидии!AO22+'держ.бюджет'!AO22+'місц.-район.бюджет'!AO22+обласной!AO22+'госпрозрахунк.'!AO22</f>
        <v>0</v>
      </c>
      <c r="AP22" s="136">
        <f>населення!AP23+льготи!AP22+субсидии!AP22+'держ.бюджет'!AP22+'місц.-район.бюджет'!AP22+обласной!AP22+'госпрозрахунк.'!AP22</f>
        <v>0</v>
      </c>
      <c r="AQ22" s="136">
        <f>населення!AR23+льготи!AQ22+субсидии!AQ22+'держ.бюджет'!AQ22+'місц.-район.бюджет'!AQ22+обласной!AQ22+'госпрозрахунк.'!AQ22</f>
        <v>0</v>
      </c>
      <c r="AR22" s="136">
        <f>населення!AS23+льготи!AR22+субсидии!AR22+'держ.бюджет'!AR22+'місц.-район.бюджет'!AR22+обласной!AR22+'госпрозрахунк.'!AR22</f>
        <v>0</v>
      </c>
      <c r="AS22" s="136">
        <f>населення!AT23+льготи!AS22+субсидии!AS22+'держ.бюджет'!AS22+'місц.-район.бюджет'!AS22+обласной!AS22+'госпрозрахунк.'!AS22</f>
        <v>4957.199999999999</v>
      </c>
      <c r="AT22" s="136">
        <f>населення!AU23+льготи!AT22+субсидии!AT22+'держ.бюджет'!AT22+'місц.-район.бюджет'!AT22+обласной!AT22+'госпрозрахунк.'!AT22</f>
        <v>4210.900000000001</v>
      </c>
      <c r="AU22" s="136">
        <f t="shared" si="8"/>
        <v>84.94513031550072</v>
      </c>
      <c r="AV22" s="136">
        <f>населення!AW23+льготи!AV22+субсидии!AV22+'держ.бюджет'!AV22+'місц.-район.бюджет'!AV22+обласной!AV22+'госпрозрахунк.'!AV22</f>
        <v>746.299999999999</v>
      </c>
      <c r="AW22" s="136">
        <f>населення!AX23+льготи!AW22+субсидии!AW22+'держ.бюджет'!AW22+'місц.-район.бюджет'!AW22+обласной!AW22+'госпрозрахунк.'!AW22</f>
        <v>521.8999999999993</v>
      </c>
      <c r="AX22" s="136">
        <f t="shared" si="9"/>
        <v>4957.199999999999</v>
      </c>
      <c r="AY22" s="136">
        <f t="shared" si="10"/>
        <v>4210.900000000001</v>
      </c>
      <c r="AZ22" s="20">
        <f t="shared" si="11"/>
        <v>746.2999999999984</v>
      </c>
      <c r="BA22" s="20">
        <f t="shared" si="12"/>
        <v>521.8999999999987</v>
      </c>
    </row>
    <row r="23" spans="1:53" ht="34.5" customHeight="1">
      <c r="A23" s="19">
        <v>16</v>
      </c>
      <c r="B23" s="15" t="s">
        <v>41</v>
      </c>
      <c r="C23" s="99"/>
      <c r="D23" s="231"/>
      <c r="E23" s="231"/>
      <c r="F23" s="28"/>
      <c r="G23" s="231"/>
      <c r="H23" s="231"/>
      <c r="I23" s="231"/>
      <c r="J23" s="114"/>
      <c r="K23" s="114"/>
      <c r="L23" s="28"/>
      <c r="M23" s="99"/>
      <c r="N23" s="99"/>
      <c r="O23" s="99"/>
      <c r="P23" s="99">
        <f>населення!P24+льготи!P23+субсидии!P23+'держ.бюджет'!P23+'місц.-район.бюджет'!P23+обласной!P23+'госпрозрахунк.'!P23</f>
        <v>0</v>
      </c>
      <c r="Q23" s="99">
        <f>населення!Q24+льготи!Q23+субсидии!Q23+'держ.бюджет'!Q23+'місц.-район.бюджет'!Q23+обласной!Q23+'госпрозрахунк.'!Q23</f>
        <v>0</v>
      </c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 t="e">
        <f t="shared" si="6"/>
        <v>#DIV/0!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36">
        <f t="shared" si="9"/>
        <v>0</v>
      </c>
      <c r="AY23" s="136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42</v>
      </c>
      <c r="C24" s="136">
        <f>населення!C25+льготи!C24+субсидии!C24+'держ.бюджет'!C24+'місц.-район.бюджет'!C24+обласной!C24+'госпрозрахунк.'!C24</f>
        <v>15672.599999999999</v>
      </c>
      <c r="D24" s="136">
        <f>населення!D25+льготи!D24+субсидии!D24+'держ.бюджет'!D24+'місц.-район.бюджет'!D24+обласной!D24+'госпрозрахунк.'!D24</f>
        <v>12391.999999999998</v>
      </c>
      <c r="E24" s="136">
        <f>населення!E25+льготи!E24+субсидии!E24+'держ.бюджет'!E24+'місц.-район.бюджет'!E24+обласной!E24+'госпрозрахунк.'!E24</f>
        <v>9338</v>
      </c>
      <c r="F24" s="136">
        <f>населення!F25+льготи!F24+субсидии!F24+'держ.бюджет'!F24+'місц.-район.бюджет'!F24+обласной!F24+'госпрозрахунк.'!F24</f>
        <v>423.740240204964</v>
      </c>
      <c r="G24" s="136">
        <f>населення!G25+льготи!G24+субсидии!G24+'держ.бюджет'!G24+'місц.-район.бюджет'!G24+обласной!G24+'госпрозрахунк.'!G24</f>
        <v>11144.1</v>
      </c>
      <c r="H24" s="136">
        <f>населення!H25+льготи!H24+субсидии!H24+'держ.бюджет'!H24+'місц.-район.бюджет'!H24+обласной!H24+'госпрозрахунк.'!H24</f>
        <v>10573.7</v>
      </c>
      <c r="I24" s="136">
        <f>населення!I25+льготи!I24+субсидии!I24+'держ.бюджет'!I24+'місц.-район.бюджет'!I24+обласной!I24+'госпрозрахунк.'!I24</f>
        <v>603.1951800064767</v>
      </c>
      <c r="J24" s="136">
        <f>населення!J25+льготи!J24+субсидии!J24+'держ.бюджет'!J24+'місц.-район.бюджет'!J24+обласной!J24+'госпрозрахунк.'!J24</f>
        <v>0</v>
      </c>
      <c r="K24" s="136">
        <f>населення!K25+льготи!K24+субсидии!K24+'держ.бюджет'!K24+'місц.-район.бюджет'!K24+обласной!K24+'госпрозрахунк.'!K24</f>
        <v>0</v>
      </c>
      <c r="L24" s="136" t="e">
        <f>населення!L25+льготи!L24+субсидии!L24+'держ.бюджет'!L24+'місц.-район.бюджет'!L24+обласной!L24+'госпрозрахунк.'!L24</f>
        <v>#DIV/0!</v>
      </c>
      <c r="M24" s="136">
        <f>населення!M25+льготи!M24+субсидии!M24+'держ.бюджет'!M24+'місц.-район.бюджет'!M24+обласной!M24+'госпрозрахунк.'!M24</f>
        <v>23536.1</v>
      </c>
      <c r="N24" s="136">
        <f>населення!N25+льготи!N24+субсидии!N24+'держ.бюджет'!N24+'місц.-район.бюджет'!N24+обласной!N24+'госпрозрахунк.'!N24</f>
        <v>19911.7</v>
      </c>
      <c r="O24" s="136">
        <f t="shared" si="4"/>
        <v>84.60067725748956</v>
      </c>
      <c r="P24" s="136">
        <f>населення!P25+льготи!P24+субсидии!P24+'держ.бюджет'!P24+'місц.-район.бюджет'!P24+обласной!P24+'госпрозрахунк.'!P24</f>
        <v>0</v>
      </c>
      <c r="Q24" s="136">
        <f>населення!Q25+льготи!Q24+субсидии!Q24+'держ.бюджет'!Q24+'місц.-район.бюджет'!Q24+обласной!Q24+'госпрозрахунк.'!Q24</f>
        <v>0</v>
      </c>
      <c r="R24" s="136" t="e">
        <f t="shared" si="5"/>
        <v>#DIV/0!</v>
      </c>
      <c r="S24" s="136">
        <f>населення!S25+льготи!S24+субсидии!S24+'держ.бюджет'!S24+'місц.-район.бюджет'!S24+обласной!S24+'госпрозрахунк.'!S24</f>
        <v>0</v>
      </c>
      <c r="T24" s="136">
        <f>населення!T25+льготи!T24+субсидии!T24+'держ.бюджет'!T24+'місц.-район.бюджет'!T24+обласной!T24+'госпрозрахунк.'!T24</f>
        <v>0</v>
      </c>
      <c r="U24" s="136" t="e">
        <f>населення!U25+льготи!U24+субсидии!U24+'держ.бюджет'!U24+'місц.-район.бюджет'!U24+обласной!U24+'госпрозрахунк.'!U24</f>
        <v>#DIV/0!</v>
      </c>
      <c r="V24" s="136">
        <f>населення!V25+льготи!V24+субсидии!V24+'держ.бюджет'!V24+'місц.-район.бюджет'!V24+обласной!V24+'госпрозрахунк.'!V24</f>
        <v>0</v>
      </c>
      <c r="W24" s="136">
        <f>населення!W25+льготи!W24+субсидии!W24+'держ.бюджет'!W24+'місц.-район.бюджет'!W24+обласной!W24+'госпрозрахунк.'!W24</f>
        <v>0</v>
      </c>
      <c r="X24" s="136" t="e">
        <f>населення!X25+льготи!X24+субсидии!X24+'держ.бюджет'!X24+'місц.-район.бюджет'!X24+обласной!X24+'госпрозрахунк.'!X24</f>
        <v>#DIV/0!</v>
      </c>
      <c r="Y24" s="136">
        <f>населення!Y25+льготи!Y24+субсидии!Y24+'держ.бюджет'!Y24+'місц.-район.бюджет'!Y24+обласной!Y24+'госпрозрахунк.'!Y24</f>
        <v>0</v>
      </c>
      <c r="Z24" s="136">
        <f>населення!Z25+льготи!Z24+субсидии!Z24+'держ.бюджет'!Z24+'місц.-район.бюджет'!Z24+обласной!Z24+'госпрозрахунк.'!Z24</f>
        <v>0</v>
      </c>
      <c r="AA24" s="136" t="e">
        <f>населення!AA25+льготи!AA24+субсидии!AA24+'держ.бюджет'!AA24+'місц.-район.бюджет'!AA24+обласной!AA24+'госпрозрахунк.'!AA24</f>
        <v>#DIV/0!</v>
      </c>
      <c r="AB24" s="136">
        <f>населення!AB25+льготи!AB24+субсидии!AB24+'держ.бюджет'!AB24+'місц.-район.бюджет'!AB24+обласной!AB24+'госпрозрахунк.'!AB24</f>
        <v>0</v>
      </c>
      <c r="AC24" s="136">
        <f>населення!AC25+льготи!AC24+субсидии!AC24+'держ.бюджет'!AC24+'місц.-район.бюджет'!AC24+обласной!AC24+'госпрозрахунк.'!AC24</f>
        <v>0</v>
      </c>
      <c r="AD24" s="136" t="e">
        <f t="shared" si="6"/>
        <v>#DIV/0!</v>
      </c>
      <c r="AE24" s="136">
        <f>населення!AE25+льготи!AE24+субсидии!AE24+'держ.бюджет'!AE24+'місц.-район.бюджет'!AE24+обласной!AE24+'госпрозрахунк.'!AE24</f>
        <v>0</v>
      </c>
      <c r="AF24" s="136">
        <f>населення!AF25+льготи!AF24+субсидии!AF24+'держ.бюджет'!AF24+'місц.-район.бюджет'!AF24+обласной!AF24+'госпрозрахунк.'!AF24</f>
        <v>0</v>
      </c>
      <c r="AG24" s="136" t="e">
        <f>населення!AG25+льготи!AG24+субсидии!AG24+'держ.бюджет'!AG24+'місц.-район.бюджет'!AG24+обласной!AG24+'госпрозрахунк.'!AG24</f>
        <v>#DIV/0!</v>
      </c>
      <c r="AH24" s="136">
        <f>населення!AH25+льготи!AH24+субсидии!AH24+'держ.бюджет'!AH24+'місц.-район.бюджет'!AH24+обласной!AH24+'госпрозрахунк.'!AH24</f>
        <v>0</v>
      </c>
      <c r="AI24" s="136">
        <f>населення!AI25+льготи!AI24+субсидии!AI24+'держ.бюджет'!AI24+'місц.-район.бюджет'!AI24+обласной!AI24+'госпрозрахунк.'!AI24</f>
        <v>0</v>
      </c>
      <c r="AJ24" s="136">
        <f>населення!AJ25+льготи!AJ24+субсидии!AJ24+'держ.бюджет'!AJ24+'місц.-район.бюджет'!AJ24+обласной!AJ24+'госпрозрахунк.'!AJ24</f>
        <v>0</v>
      </c>
      <c r="AK24" s="136">
        <f>населення!AK25+льготи!AK24+субсидии!AK24+'держ.бюджет'!AK24+'місц.-район.бюджет'!AK24+обласной!AK24+'госпрозрахунк.'!AK24</f>
        <v>0</v>
      </c>
      <c r="AL24" s="136" t="e">
        <f>населення!AL25+льготи!AL24+субсидии!AL24+'держ.бюджет'!AL24+'місц.-район.бюджет'!AL24+обласной!AL24+'госпрозрахунк.'!AL24</f>
        <v>#DIV/0!</v>
      </c>
      <c r="AM24" s="136">
        <f>населення!AM25+льготи!AM24+субсидии!AM24+'держ.бюджет'!AM24+'місц.-район.бюджет'!AM24+обласной!AM24+'госпрозрахунк.'!AM24</f>
        <v>0</v>
      </c>
      <c r="AN24" s="136">
        <f>населення!AN25+льготи!AN24+субсидии!AN24+'держ.бюджет'!AN24+'місц.-район.бюджет'!AN24+обласной!AN24+'госпрозрахунк.'!AN24</f>
        <v>0</v>
      </c>
      <c r="AO24" s="136">
        <f>населення!AO25+льготи!AO24+субсидии!AO24+'держ.бюджет'!AO24+'місц.-район.бюджет'!AO24+обласной!AO24+'госпрозрахунк.'!AO24</f>
        <v>0</v>
      </c>
      <c r="AP24" s="136">
        <f>населення!AP25+льготи!AP24+субсидии!AP24+'держ.бюджет'!AP24+'місц.-район.бюджет'!AP24+обласной!AP24+'госпрозрахунк.'!AP24</f>
        <v>0</v>
      </c>
      <c r="AQ24" s="136">
        <f>населення!AQ25+льготи!AQ24+субсидии!AQ24+'держ.бюджет'!AQ24+'місц.-район.бюджет'!AQ24+обласной!AQ24+'госпрозрахунк.'!AQ24</f>
        <v>0</v>
      </c>
      <c r="AR24" s="136">
        <f>населення!AR25+льготи!AR24+субсидии!AR24+'держ.бюджет'!AR24+'місц.-район.бюджет'!AR24+обласной!AR24+'госпрозрахунк.'!AR24</f>
        <v>0</v>
      </c>
      <c r="AS24" s="136">
        <f>населення!AT25+льготи!AS24+субсидии!AS24+'держ.бюджет'!AS24+'місц.-район.бюджет'!AS24+обласной!AS24+'госпрозрахунк.'!AS24</f>
        <v>23536.1</v>
      </c>
      <c r="AT24" s="136">
        <f>населення!AU25+льготи!AT24+субсидии!AT24+'держ.бюджет'!AT24+'місц.-район.бюджет'!AT24+обласной!AT24+'госпрозрахунк.'!AT24</f>
        <v>19911.7</v>
      </c>
      <c r="AU24" s="136">
        <f t="shared" si="8"/>
        <v>84.60067725748956</v>
      </c>
      <c r="AV24" s="136">
        <f>населення!AW25+льготи!AV24+субсидии!AV24+'держ.бюджет'!AV24+'місц.-район.бюджет'!AV24+обласной!AV24+'госпрозрахунк.'!AV24</f>
        <v>3624.4</v>
      </c>
      <c r="AW24" s="136">
        <f>населення!AX25+льготи!AW24+субсидии!AW24+'держ.бюджет'!AW24+'місц.-район.бюджет'!AW24+обласной!AW24+'госпрозрахунк.'!AW24</f>
        <v>19296.999999999996</v>
      </c>
      <c r="AX24" s="136">
        <f t="shared" si="9"/>
        <v>23536.1</v>
      </c>
      <c r="AY24" s="136">
        <f t="shared" si="10"/>
        <v>19911.7</v>
      </c>
      <c r="AZ24" s="20">
        <f t="shared" si="11"/>
        <v>3624.399999999998</v>
      </c>
      <c r="BA24" s="20">
        <f t="shared" si="12"/>
        <v>19296.999999999996</v>
      </c>
    </row>
    <row r="25" spans="1:53" ht="34.5" customHeight="1">
      <c r="A25" s="19">
        <v>18</v>
      </c>
      <c r="B25" s="1" t="s">
        <v>43</v>
      </c>
      <c r="C25" s="136">
        <f>населення!C26+льготи!C25+субсидии!C25+'держ.бюджет'!C25+'місц.-район.бюджет'!C25+обласной!C25+'госпрозрахунк.'!C25</f>
        <v>-691.4</v>
      </c>
      <c r="D25" s="137">
        <f>населення!D26+льготи!D25+субсидии!D25+'держ.бюджет'!D25+'місц.-район.бюджет'!D25+обласной!D25+'госпрозрахунк.'!D25</f>
        <v>1058.4</v>
      </c>
      <c r="E25" s="137">
        <f>населення!E26+льготи!E25+субсидии!E25+'держ.бюджет'!E25+'місц.-район.бюджет'!E25+обласной!E25+'госпрозрахунк.'!E25</f>
        <v>160.8</v>
      </c>
      <c r="F25" s="14">
        <f t="shared" si="3"/>
        <v>15.192743764172336</v>
      </c>
      <c r="G25" s="137">
        <f>населення!G26+льготи!G25+субсидии!G25+'держ.бюджет'!G25+'місц.-район.бюджет'!G25+обласной!G25+'госпрозрахунк.'!G25</f>
        <v>1217.6</v>
      </c>
      <c r="H25" s="137">
        <f>населення!H26+льготи!H25+субсидии!H25+'держ.бюджет'!H25+'місц.-район.бюджет'!H25+обласной!H25+'госпрозрахунк.'!H25</f>
        <v>944.5999999999999</v>
      </c>
      <c r="I25" s="14">
        <f>H25/G25*100</f>
        <v>77.57884362680683</v>
      </c>
      <c r="J25" s="137">
        <f>населення!J26+льготи!J25+субсидии!J25+'держ.бюджет'!J25+'місц.-район.бюджет'!J25+обласной!J25+'госпрозрахунк.'!J25</f>
        <v>0</v>
      </c>
      <c r="K25" s="137">
        <f>населення!K26+льготи!K25+субсидии!K25+'держ.бюджет'!K25+'місц.-район.бюджет'!K25+обласной!K25+'госпрозрахунк.'!K25</f>
        <v>0</v>
      </c>
      <c r="L25" s="14" t="e">
        <f t="shared" si="1"/>
        <v>#DIV/0!</v>
      </c>
      <c r="M25" s="136">
        <f>населення!M26+льготи!M25+субсидии!M25+'держ.бюджет'!M25+'місц.-район.бюджет'!M25+обласной!M25+'госпрозрахунк.'!M25</f>
        <v>2276</v>
      </c>
      <c r="N25" s="136">
        <f>населення!N26+льготи!N25+субсидии!N25+'держ.бюджет'!N25+'місц.-район.бюджет'!N25+обласной!N25+'госпрозрахунк.'!N25</f>
        <v>1105.4</v>
      </c>
      <c r="O25" s="136">
        <f t="shared" si="4"/>
        <v>48.5676625659051</v>
      </c>
      <c r="P25" s="136">
        <f>населення!P26+льготи!P25+субсидии!P25+'держ.бюджет'!P25+'місц.-район.бюджет'!P25+обласной!P25+'госпрозрахунк.'!P25</f>
        <v>0</v>
      </c>
      <c r="Q25" s="136">
        <f>населення!Q26+льготи!Q25+субсидии!Q25+'держ.бюджет'!Q25+'місц.-район.бюджет'!Q25+обласной!Q25+'госпрозрахунк.'!Q25</f>
        <v>0</v>
      </c>
      <c r="R25" s="136" t="e">
        <f t="shared" si="5"/>
        <v>#DIV/0!</v>
      </c>
      <c r="S25" s="136">
        <f>населення!S26+льготи!S25+субсидии!S25+'держ.бюджет'!S25+'місц.-район.бюджет'!S25+обласной!S25+'госпрозрахунк.'!S25</f>
        <v>0</v>
      </c>
      <c r="T25" s="136">
        <f>населення!T26+льготи!T25+субсидии!T25+'держ.бюджет'!T25+'місц.-район.бюджет'!T25+обласной!T25+'госпрозрахунк.'!T25</f>
        <v>0</v>
      </c>
      <c r="U25" s="136" t="e">
        <f>T25/S25*100</f>
        <v>#DIV/0!</v>
      </c>
      <c r="V25" s="136">
        <f>населення!V26+льготи!V25+субсидии!V25+'держ.бюджет'!V25+'місц.-район.бюджет'!V25+обласной!V25+'госпрозрахунк.'!V25</f>
        <v>0</v>
      </c>
      <c r="W25" s="136">
        <f>населення!W26+льготи!W25+субсидии!W25+'держ.бюджет'!W25+'місц.-район.бюджет'!W25+обласной!W25+'госпрозрахунк.'!W25</f>
        <v>0</v>
      </c>
      <c r="X25" s="99" t="e">
        <f>W25/V25*100</f>
        <v>#DIV/0!</v>
      </c>
      <c r="Y25" s="136">
        <f>населення!Y26+льготи!Y25+субсидии!Y25+'держ.бюджет'!Y25+'місц.-район.бюджет'!Y25+обласной!Y25+'госпрозрахунк.'!Y25</f>
        <v>0</v>
      </c>
      <c r="Z25" s="136">
        <f>населення!Z26+льготи!Z25+субсидии!Z25+'держ.бюджет'!Z25+'місц.-район.бюджет'!Z25+обласной!Z25+'госпрозрахунк.'!Z25</f>
        <v>0</v>
      </c>
      <c r="AA25" s="136" t="e">
        <f>Z25/Y25*100</f>
        <v>#DIV/0!</v>
      </c>
      <c r="AB25" s="136">
        <f>населення!AB26+льготи!AB25+субсидии!AB25+'держ.бюджет'!AB25+'місц.-район.бюджет'!AB25+обласной!AB25+'госпрозрахунк.'!AB25</f>
        <v>0</v>
      </c>
      <c r="AC25" s="136">
        <f>населення!AC26+льготи!AC25+субсидии!AC25+'держ.бюджет'!AC25+'місц.-район.бюджет'!AC25+обласной!AC25+'госпрозрахунк.'!AC25</f>
        <v>0</v>
      </c>
      <c r="AD25" s="136" t="e">
        <f t="shared" si="6"/>
        <v>#DIV/0!</v>
      </c>
      <c r="AE25" s="136">
        <f>населення!AE26+льготи!AE25+субсидии!AE25+'держ.бюджет'!AE25+'місц.-район.бюджет'!AE25+обласной!AE25+'госпрозрахунк.'!AE25</f>
        <v>0</v>
      </c>
      <c r="AF25" s="136">
        <f>населення!AF26+льготи!AF25+субсидии!AF25+'держ.бюджет'!AF25+'місц.-район.бюджет'!AF25+обласной!AF25+'госпрозрахунк.'!AF25</f>
        <v>0</v>
      </c>
      <c r="AG25" s="99" t="e">
        <f>AF25/AE25*100</f>
        <v>#DIV/0!</v>
      </c>
      <c r="AH25" s="136">
        <f>населення!AH26+льготи!AH25+субсидии!AH25+'держ.бюджет'!AH25+'місц.-район.бюджет'!AH25+обласной!AH25+'госпрозрахунк.'!AH25</f>
        <v>0</v>
      </c>
      <c r="AI25" s="136">
        <f>населення!AI26+льготи!AI25+субсидии!AI25+'держ.бюджет'!AI25+'місц.-район.бюджет'!AI25+обласной!AI25+'госпрозрахунк.'!AI25</f>
        <v>0</v>
      </c>
      <c r="AJ25" s="136">
        <f>населення!AJ26+льготи!AJ25+субсидии!AJ25+'держ.бюджет'!AJ25+'місц.-район.бюджет'!AJ25+обласной!AJ25+'госпрозрахунк.'!AJ25</f>
        <v>0</v>
      </c>
      <c r="AK25" s="136">
        <f>населення!AK26+льготи!AK25+субсидии!AK25+'держ.бюджет'!AK25+'місц.-район.бюджет'!AK25+обласной!AK25+'госпрозрахунк.'!AK25</f>
        <v>0</v>
      </c>
      <c r="AL25" s="99" t="e">
        <f t="shared" si="7"/>
        <v>#DIV/0!</v>
      </c>
      <c r="AM25" s="136">
        <f>населення!AM26+льготи!AM25+субсидии!AM25+'держ.бюджет'!AM25+'місц.-район.бюджет'!AM25+обласной!AM25+'госпрозрахунк.'!AM25</f>
        <v>0</v>
      </c>
      <c r="AN25" s="136">
        <f>населення!AN26+льготи!AN25+субсидии!AN25+'держ.бюджет'!AN25+'місц.-район.бюджет'!AN25+обласной!AN25+'госпрозрахунк.'!AN25</f>
        <v>0</v>
      </c>
      <c r="AO25" s="136">
        <f>населення!AO26+льготи!AO25+субсидии!AO25+'держ.бюджет'!AO25+'місц.-район.бюджет'!AO25+обласной!AO25+'госпрозрахунк.'!AO25</f>
        <v>0</v>
      </c>
      <c r="AP25" s="136">
        <f>населення!AP26+льготи!AP25+субсидии!AP25+'держ.бюджет'!AP25+'місц.-район.бюджет'!AP25+обласной!AP25+'госпрозрахунк.'!AP25</f>
        <v>0</v>
      </c>
      <c r="AQ25" s="136">
        <f>населення!AR26+льготи!AQ25+субсидии!AQ25+'держ.бюджет'!AQ25+'місц.-район.бюджет'!AQ25+обласной!AQ25+'госпрозрахунк.'!AQ25</f>
        <v>0</v>
      </c>
      <c r="AR25" s="136">
        <f>населення!AS26+льготи!AR25+субсидии!AR25+'держ.бюджет'!AR25+'місц.-район.бюджет'!AR25+обласной!AR25+'госпрозрахунк.'!AR25</f>
        <v>0</v>
      </c>
      <c r="AS25" s="136">
        <f>населення!AT26+льготи!AS25+субсидии!AS25+'держ.бюджет'!AS25+'місц.-район.бюджет'!AS25+обласной!AS25+'госпрозрахунк.'!AS25</f>
        <v>2276</v>
      </c>
      <c r="AT25" s="136">
        <f>населення!AU26+льготи!AT25+субсидии!AT25+'держ.бюджет'!AT25+'місц.-район.бюджет'!AT25+обласной!AT25+'госпрозрахунк.'!AT25</f>
        <v>1105.4</v>
      </c>
      <c r="AU25" s="136">
        <f t="shared" si="8"/>
        <v>48.5676625659051</v>
      </c>
      <c r="AV25" s="136">
        <f>населення!AW26+льготи!AV25+субсидии!AV25+'держ.бюджет'!AV25+'місц.-район.бюджет'!AV25+обласной!AV25+'госпрозрахунк.'!AV25</f>
        <v>1170.6000000000001</v>
      </c>
      <c r="AW25" s="136">
        <f>населення!AX26+льготи!AW25+субсидии!AW25+'держ.бюджет'!AW25+'місц.-район.бюджет'!AW25+обласной!AW25+'госпрозрахунк.'!AW25</f>
        <v>479.20000000000016</v>
      </c>
      <c r="AX25" s="136">
        <f t="shared" si="9"/>
        <v>2276</v>
      </c>
      <c r="AY25" s="136">
        <f t="shared" si="10"/>
        <v>1105.4</v>
      </c>
      <c r="AZ25" s="20">
        <f t="shared" si="11"/>
        <v>1170.6</v>
      </c>
      <c r="BA25" s="20">
        <f t="shared" si="12"/>
        <v>479.1999999999998</v>
      </c>
    </row>
    <row r="26" spans="1:53" ht="34.5" customHeight="1">
      <c r="A26" s="19">
        <v>19</v>
      </c>
      <c r="B26" s="15" t="s">
        <v>44</v>
      </c>
      <c r="C26" s="136">
        <f>населення!C27+льготи!C26+субсидии!C26+'держ.бюджет'!C26+'місц.-район.бюджет'!C26+обласной!C26+'госпрозрахунк.'!C26</f>
        <v>2088.8</v>
      </c>
      <c r="D26" s="137">
        <f>населення!D27+льготи!D26+субсидии!D26+'держ.бюджет'!D26+'місц.-район.бюджет'!D26+обласной!D26+'госпрозрахунк.'!D26</f>
        <v>1691.2</v>
      </c>
      <c r="E26" s="137">
        <f>населення!E27+льготи!E26+субсидии!E26+'держ.бюджет'!E26+'місц.-район.бюджет'!E26+обласной!E26+'госпрозрахунк.'!E26</f>
        <v>400.9</v>
      </c>
      <c r="F26" s="14">
        <f t="shared" si="3"/>
        <v>23.705061494796592</v>
      </c>
      <c r="G26" s="137">
        <f>населення!G27+льготи!G26+субсидии!G26+'держ.бюджет'!G26+'місц.-район.бюджет'!G26+обласной!G26+'госпрозрахунк.'!G26</f>
        <v>1712.5</v>
      </c>
      <c r="H26" s="137">
        <f>населення!H27+льготи!H26+субсидии!H26+'держ.бюджет'!H26+'місц.-район.бюджет'!H26+обласной!H26+'госпрозрахунк.'!H26</f>
        <v>1872</v>
      </c>
      <c r="I26" s="14">
        <f>H26/G26*100</f>
        <v>109.31386861313868</v>
      </c>
      <c r="J26" s="137">
        <f>населення!J27+льготи!J26+субсидии!J26+'держ.бюджет'!J26+'місц.-район.бюджет'!J26+обласной!J26+'госпрозрахунк.'!J26</f>
        <v>0</v>
      </c>
      <c r="K26" s="137">
        <f>населення!K27+льготи!K26+субсидии!K26+'держ.бюджет'!K26+'місц.-район.бюджет'!K26+обласной!K26+'госпрозрахунк.'!K26</f>
        <v>0</v>
      </c>
      <c r="L26" s="14" t="e">
        <f t="shared" si="1"/>
        <v>#DIV/0!</v>
      </c>
      <c r="M26" s="136">
        <f>населення!M27+льготи!M26+субсидии!M26+'держ.бюджет'!M26+'місц.-район.бюджет'!M26+обласной!M26+'госпрозрахунк.'!M26</f>
        <v>3403.7</v>
      </c>
      <c r="N26" s="136">
        <f>населення!N27+льготи!N26+субсидии!N26+'держ.бюджет'!N26+'місц.-район.бюджет'!N26+обласной!N26+'госпрозрахунк.'!N26</f>
        <v>2272.9</v>
      </c>
      <c r="O26" s="136">
        <f t="shared" si="4"/>
        <v>66.77733055204631</v>
      </c>
      <c r="P26" s="136">
        <f>населення!P27+льготи!P26+субсидии!P26+'держ.бюджет'!P26+'місц.-район.бюджет'!P26+обласной!P26+'госпрозрахунк.'!P26</f>
        <v>0</v>
      </c>
      <c r="Q26" s="136">
        <f>населення!Q27+льготи!Q26+субсидии!Q26+'держ.бюджет'!Q26+'місц.-район.бюджет'!Q26+обласной!Q26+'госпрозрахунк.'!Q26</f>
        <v>0</v>
      </c>
      <c r="R26" s="136" t="e">
        <f t="shared" si="5"/>
        <v>#DIV/0!</v>
      </c>
      <c r="S26" s="136">
        <f>населення!S27+льготи!S26+субсидии!S26+'держ.бюджет'!S26+'місц.-район.бюджет'!S26+обласной!S26+'госпрозрахунк.'!S26</f>
        <v>0</v>
      </c>
      <c r="T26" s="136">
        <f>населення!T27+льготи!T26+субсидии!T26+'держ.бюджет'!T26+'місц.-район.бюджет'!T26+обласной!T26+'госпрозрахунк.'!T26</f>
        <v>0</v>
      </c>
      <c r="U26" s="136" t="e">
        <f>T26/S26*100</f>
        <v>#DIV/0!</v>
      </c>
      <c r="V26" s="136">
        <f>населення!V27+льготи!V26+субсидии!V26+'держ.бюджет'!V26+'місц.-район.бюджет'!V26+обласной!V26+'госпрозрахунк.'!V26</f>
        <v>0</v>
      </c>
      <c r="W26" s="136">
        <f>населення!W27+льготи!W26+субсидии!W26+'держ.бюджет'!W26+'місц.-район.бюджет'!W26+обласной!W26+'госпрозрахунк.'!W26</f>
        <v>0</v>
      </c>
      <c r="X26" s="99" t="e">
        <f>W26/V26*100</f>
        <v>#DIV/0!</v>
      </c>
      <c r="Y26" s="136">
        <f>населення!Y27+льготи!Y26+субсидии!Y26+'держ.бюджет'!Y26+'місц.-район.бюджет'!Y26+обласной!Y26+'госпрозрахунк.'!Y26</f>
        <v>0</v>
      </c>
      <c r="Z26" s="136">
        <f>населення!Z27+льготи!Z26+субсидии!Z26+'держ.бюджет'!Z26+'місц.-район.бюджет'!Z26+обласной!Z26+'госпрозрахунк.'!Z26</f>
        <v>0</v>
      </c>
      <c r="AA26" s="136" t="e">
        <f>Z26/Y26*100</f>
        <v>#DIV/0!</v>
      </c>
      <c r="AB26" s="136">
        <f>населення!AB27+льготи!AB26+субсидии!AB26+'держ.бюджет'!AB26+'місц.-район.бюджет'!AB26+обласной!AB26+'госпрозрахунк.'!AB26</f>
        <v>0</v>
      </c>
      <c r="AC26" s="136">
        <f>населення!AC27+льготи!AC26+субсидии!AC26+'держ.бюджет'!AC26+'місц.-район.бюджет'!AC26+обласной!AC26+'госпрозрахунк.'!AC26</f>
        <v>0</v>
      </c>
      <c r="AD26" s="136" t="e">
        <f t="shared" si="6"/>
        <v>#DIV/0!</v>
      </c>
      <c r="AE26" s="136">
        <f>населення!AE27+льготи!AE26+субсидии!AE26+'держ.бюджет'!AE26+'місц.-район.бюджет'!AE26+обласной!AE26+'госпрозрахунк.'!AE26</f>
        <v>0</v>
      </c>
      <c r="AF26" s="136">
        <f>населення!AF27+льготи!AF26+субсидии!AF26+'держ.бюджет'!AF26+'місц.-район.бюджет'!AF26+обласной!AF26+'госпрозрахунк.'!AF26</f>
        <v>0</v>
      </c>
      <c r="AG26" s="99" t="e">
        <f>AF26/AE26*100</f>
        <v>#DIV/0!</v>
      </c>
      <c r="AH26" s="136">
        <f>населення!AH27+льготи!AH26+субсидии!AH26+'держ.бюджет'!AH26+'місц.-район.бюджет'!AH26+обласной!AH26+'госпрозрахунк.'!AH26</f>
        <v>0</v>
      </c>
      <c r="AI26" s="136">
        <f>населення!AI27+льготи!AI26+субсидии!AI26+'держ.бюджет'!AI26+'місц.-район.бюджет'!AI26+обласной!AI26+'госпрозрахунк.'!AI26</f>
        <v>0</v>
      </c>
      <c r="AJ26" s="136">
        <f>населення!AJ27+льготи!AJ26+субсидии!AJ26+'держ.бюджет'!AJ26+'місц.-район.бюджет'!AJ26+обласной!AJ26+'госпрозрахунк.'!AJ26</f>
        <v>0</v>
      </c>
      <c r="AK26" s="136">
        <f>населення!AK27+льготи!AK26+субсидии!AK26+'держ.бюджет'!AK26+'місц.-район.бюджет'!AK26+обласной!AK26+'госпрозрахунк.'!AK26</f>
        <v>0</v>
      </c>
      <c r="AL26" s="99" t="e">
        <f t="shared" si="7"/>
        <v>#DIV/0!</v>
      </c>
      <c r="AM26" s="136">
        <f>населення!AM27+льготи!AM26+субсидии!AM26+'держ.бюджет'!AM26+'місц.-район.бюджет'!AM26+обласной!AM26+'госпрозрахунк.'!AM26</f>
        <v>0</v>
      </c>
      <c r="AN26" s="136">
        <f>населення!AN27+льготи!AN26+субсидии!AN26+'держ.бюджет'!AN26+'місц.-район.бюджет'!AN26+обласной!AN26+'госпрозрахунк.'!AN26</f>
        <v>0</v>
      </c>
      <c r="AO26" s="136">
        <f>населення!AO27+льготи!AO26+субсидии!AO26+'держ.бюджет'!AO26+'місц.-район.бюджет'!AO26+обласной!AO26+'госпрозрахунк.'!AO26</f>
        <v>0</v>
      </c>
      <c r="AP26" s="136">
        <f>населення!AP27+льготи!AP26+субсидии!AP26+'держ.бюджет'!AP26+'місц.-район.бюджет'!AP26+обласной!AP26+'госпрозрахунк.'!AP26</f>
        <v>0</v>
      </c>
      <c r="AQ26" s="136">
        <f>населення!AR27+льготи!AQ26+субсидии!AQ26+'держ.бюджет'!AQ26+'місц.-район.бюджет'!AQ26+обласной!AQ26+'госпрозрахунк.'!AQ26</f>
        <v>0</v>
      </c>
      <c r="AR26" s="136">
        <f>населення!AS27+льготи!AR26+субсидии!AR26+'держ.бюджет'!AR26+'місц.-район.бюджет'!AR26+обласной!AR26+'госпрозрахунк.'!AR26</f>
        <v>0</v>
      </c>
      <c r="AS26" s="136">
        <f>населення!AT27+льготи!AS26+субсидии!AS26+'держ.бюджет'!AS26+'місц.-район.бюджет'!AS26+обласной!AS26+'госпрозрахунк.'!AS26</f>
        <v>3403.7</v>
      </c>
      <c r="AT26" s="136">
        <f>населення!AU27+льготи!AT26+субсидии!AT26+'держ.бюджет'!AT26+'місц.-район.бюджет'!AT26+обласной!AT26+'госпрозрахунк.'!AT26</f>
        <v>2272.9</v>
      </c>
      <c r="AU26" s="136">
        <f t="shared" si="8"/>
        <v>66.77733055204631</v>
      </c>
      <c r="AV26" s="136">
        <f>населення!AW27+льготи!AV26+субсидии!AV26+'держ.бюджет'!AV26+'місц.-район.бюджет'!AV26+обласной!AV26+'госпрозрахунк.'!AV26</f>
        <v>1130.7999999999997</v>
      </c>
      <c r="AW26" s="136">
        <f>населення!AX27+льготи!AW26+субсидии!AW26+'держ.бюджет'!AW26+'місц.-район.бюджет'!AW26+обласной!AW26+'госпрозрахунк.'!AW26</f>
        <v>3219.6</v>
      </c>
      <c r="AX26" s="136">
        <f t="shared" si="9"/>
        <v>3403.7</v>
      </c>
      <c r="AY26" s="136">
        <f t="shared" si="10"/>
        <v>2272.9</v>
      </c>
      <c r="AZ26" s="20">
        <f t="shared" si="11"/>
        <v>1130.7999999999997</v>
      </c>
      <c r="BA26" s="20">
        <f t="shared" si="12"/>
        <v>3219.6</v>
      </c>
    </row>
    <row r="27" spans="1:53" ht="34.5" customHeight="1">
      <c r="A27" s="19">
        <v>20</v>
      </c>
      <c r="B27" s="15" t="s">
        <v>45</v>
      </c>
      <c r="C27" s="136">
        <f>населення!C28+льготи!C27+субсидии!C27+'держ.бюджет'!C27+'місц.-район.бюджет'!C27+обласной!C27+'госпрозрахунк.'!C27</f>
        <v>10051.800000000001</v>
      </c>
      <c r="D27" s="137">
        <f>населення!D28+льготи!D27+субсидии!D27+'держ.бюджет'!D27+'місц.-район.бюджет'!D27+обласной!D27+'госпрозрахунк.'!D27</f>
        <v>4215.599999999999</v>
      </c>
      <c r="E27" s="137">
        <f>населення!E28+льготи!E27+субсидии!E27+'держ.бюджет'!E27+'місц.-район.бюджет'!E27+обласной!E27+'госпрозрахунк.'!E27</f>
        <v>3388.8</v>
      </c>
      <c r="F27" s="14">
        <f t="shared" si="3"/>
        <v>80.38713350412753</v>
      </c>
      <c r="G27" s="137">
        <f>населення!G28+льготи!G27+субсидии!G27+'держ.бюджет'!G27+'місц.-район.бюджет'!G27+обласной!G27+'госпрозрахунк.'!G27</f>
        <v>3627.7999999999997</v>
      </c>
      <c r="H27" s="137">
        <f>населення!H28+льготи!H27+субсидии!H27+'держ.бюджет'!H27+'місц.-район.бюджет'!H27+обласной!H27+'госпрозрахунк.'!H27</f>
        <v>3867.2000000000003</v>
      </c>
      <c r="I27" s="14">
        <f>H27/G27*100</f>
        <v>106.59904074094496</v>
      </c>
      <c r="J27" s="137">
        <f>населення!J28+льготи!J27+субсидии!J27+'держ.бюджет'!J27+'місц.-район.бюджет'!J27+обласной!J27+'госпрозрахунк.'!J27</f>
        <v>0</v>
      </c>
      <c r="K27" s="137">
        <f>населення!K28+льготи!K27+субсидии!K27+'держ.бюджет'!K27+'місц.-район.бюджет'!K27+обласной!K27+'госпрозрахунк.'!K27</f>
        <v>0</v>
      </c>
      <c r="L27" s="14" t="e">
        <f t="shared" si="1"/>
        <v>#DIV/0!</v>
      </c>
      <c r="M27" s="136">
        <f>населення!M28+льготи!M27+субсидии!M27+'держ.бюджет'!M27+'місц.-район.бюджет'!M27+обласной!M27+'госпрозрахунк.'!M27</f>
        <v>7843.4</v>
      </c>
      <c r="N27" s="136">
        <f>населення!N28+льготи!N27+субсидии!N27+'держ.бюджет'!N27+'місц.-район.бюджет'!N27+обласной!N27+'госпрозрахунк.'!N27</f>
        <v>7256.000000000001</v>
      </c>
      <c r="O27" s="136">
        <f t="shared" si="4"/>
        <v>92.51090088482037</v>
      </c>
      <c r="P27" s="136">
        <f>населення!P28+льготи!P27+субсидии!P27+'держ.бюджет'!P27+'місц.-район.бюджет'!P27+обласной!P27+'госпрозрахунк.'!P27</f>
        <v>0</v>
      </c>
      <c r="Q27" s="136">
        <f>населення!Q28+льготи!Q27+субсидии!Q27+'держ.бюджет'!Q27+'місц.-район.бюджет'!Q27+обласной!Q27+'госпрозрахунк.'!Q27</f>
        <v>0</v>
      </c>
      <c r="R27" s="136" t="e">
        <f t="shared" si="5"/>
        <v>#DIV/0!</v>
      </c>
      <c r="S27" s="136">
        <f>населення!S28+льготи!S27+субсидии!S27+'держ.бюджет'!S27+'місц.-район.бюджет'!S27+обласной!S27+'госпрозрахунк.'!S27</f>
        <v>0</v>
      </c>
      <c r="T27" s="136">
        <f>населення!T28+льготи!T27+субсидии!T27+'держ.бюджет'!T27+'місц.-район.бюджет'!T27+обласной!T27+'госпрозрахунк.'!T27</f>
        <v>0</v>
      </c>
      <c r="U27" s="136"/>
      <c r="V27" s="136">
        <f>населення!V28+льготи!V27+субсидии!V27+'держ.бюджет'!V27+'місц.-район.бюджет'!V27+обласной!V27+'госпрозрахунк.'!V27</f>
        <v>0</v>
      </c>
      <c r="W27" s="136">
        <f>населення!W28+льготи!W27+субсидии!W27+'держ.бюджет'!W27+'місц.-район.бюджет'!W27+обласной!W27+'госпрозрахунк.'!W27</f>
        <v>0</v>
      </c>
      <c r="X27" s="136"/>
      <c r="Y27" s="136">
        <f>населення!Y28+льготи!Y27+субсидии!Y27+'держ.бюджет'!Y27+'місц.-район.бюджет'!Y27+обласной!Y27+'госпрозрахунк.'!Y27</f>
        <v>0</v>
      </c>
      <c r="Z27" s="136">
        <f>населення!Z28+льготи!Z27+субсидии!Z27+'держ.бюджет'!Z27+'місц.-район.бюджет'!Z27+обласной!Z27+'госпрозрахунк.'!Z27</f>
        <v>0</v>
      </c>
      <c r="AA27" s="136" t="e">
        <f>Z27/Y27*100</f>
        <v>#DIV/0!</v>
      </c>
      <c r="AB27" s="136">
        <f>населення!AB28+льготи!AB27+субсидии!AB27+'держ.бюджет'!AB27+'місц.-район.бюджет'!AB27+обласной!AB27+'госпрозрахунк.'!AB27</f>
        <v>0</v>
      </c>
      <c r="AC27" s="136">
        <f>населення!AC28+льготи!AC27+субсидии!AC27+'держ.бюджет'!AC27+'місц.-район.бюджет'!AC27+обласной!AC27+'госпрозрахунк.'!AC27</f>
        <v>0</v>
      </c>
      <c r="AD27" s="136" t="e">
        <f t="shared" si="6"/>
        <v>#DIV/0!</v>
      </c>
      <c r="AE27" s="136">
        <f>населення!AE28+льготи!AE27+субсидии!AE27+'держ.бюджет'!AE27+'місц.-район.бюджет'!AE27+обласной!AE27+'госпрозрахунк.'!AE27</f>
        <v>0</v>
      </c>
      <c r="AF27" s="136">
        <f>населення!AF28+льготи!AF27+субсидии!AF27+'держ.бюджет'!AF27+'місц.-район.бюджет'!AF27+обласной!AF27+'госпрозрахунк.'!AF27</f>
        <v>0</v>
      </c>
      <c r="AG27" s="99" t="e">
        <f>AF27/AE27*100</f>
        <v>#DIV/0!</v>
      </c>
      <c r="AH27" s="136">
        <f>населення!AH28+льготи!AH27+субсидии!AH27+'держ.бюджет'!AH27+'місц.-район.бюджет'!AH27+обласной!AH27+'госпрозрахунк.'!AH27</f>
        <v>0</v>
      </c>
      <c r="AI27" s="136">
        <f>населення!AI28+льготи!AI27+субсидии!AI27+'держ.бюджет'!AI27+'місц.-район.бюджет'!AI27+обласной!AI27+'госпрозрахунк.'!AI27</f>
        <v>0</v>
      </c>
      <c r="AJ27" s="136">
        <f>населення!AJ28+льготи!AJ27+субсидии!AJ27+'держ.бюджет'!AJ27+'місц.-район.бюджет'!AJ27+обласной!AJ27+'госпрозрахунк.'!AJ27</f>
        <v>0</v>
      </c>
      <c r="AK27" s="136">
        <f>населення!AK28+льготи!AK27+субсидии!AK27+'держ.бюджет'!AK27+'місц.-район.бюджет'!AK27+обласной!AK27+'госпрозрахунк.'!AK27</f>
        <v>0</v>
      </c>
      <c r="AL27" s="99" t="e">
        <f t="shared" si="7"/>
        <v>#DIV/0!</v>
      </c>
      <c r="AM27" s="136">
        <f>населення!AM28+льготи!AM27+субсидии!AM27+'держ.бюджет'!AM27+'місц.-район.бюджет'!AM27+обласной!AM27+'госпрозрахунк.'!AM27</f>
        <v>0</v>
      </c>
      <c r="AN27" s="136">
        <f>населення!AN28+льготи!AN27+субсидии!AN27+'держ.бюджет'!AN27+'місц.-район.бюджет'!AN27+обласной!AN27+'госпрозрахунк.'!AN27</f>
        <v>0</v>
      </c>
      <c r="AO27" s="136">
        <f>населення!AO28+льготи!AO27+субсидии!AO27+'держ.бюджет'!AO27+'місц.-район.бюджет'!AO27+обласной!AO27+'госпрозрахунк.'!AO27</f>
        <v>0</v>
      </c>
      <c r="AP27" s="136">
        <f>населення!AP28+льготи!AP27+субсидии!AP27+'держ.бюджет'!AP27+'місц.-район.бюджет'!AP27+обласной!AP27+'госпрозрахунк.'!AP27</f>
        <v>0</v>
      </c>
      <c r="AQ27" s="136">
        <f>населення!AR28+льготи!AQ27+субсидии!AQ27+'держ.бюджет'!AQ27+'місц.-район.бюджет'!AQ27+обласной!AQ27+'госпрозрахунк.'!AQ27</f>
        <v>0</v>
      </c>
      <c r="AR27" s="136">
        <f>населення!AS28+льготи!AR27+субсидии!AR27+'держ.бюджет'!AR27+'місц.-район.бюджет'!AR27+обласной!AR27+'госпрозрахунк.'!AR27</f>
        <v>0</v>
      </c>
      <c r="AS27" s="136">
        <f>населення!AT28+льготи!AS27+субсидии!AS27+'держ.бюджет'!AS27+'місц.-район.бюджет'!AS27+обласной!AS27+'госпрозрахунк.'!AS27</f>
        <v>7843.4</v>
      </c>
      <c r="AT27" s="136">
        <f>населення!AU28+льготи!AT27+субсидии!AT27+'держ.бюджет'!AT27+'місц.-район.бюджет'!AT27+обласной!AT27+'госпрозрахунк.'!AT27</f>
        <v>7256.000000000001</v>
      </c>
      <c r="AU27" s="136">
        <f t="shared" si="8"/>
        <v>92.51090088482037</v>
      </c>
      <c r="AV27" s="136">
        <f>населення!AW28+льготи!AV27+субсидии!AV27+'держ.бюджет'!AV27+'місц.-район.бюджет'!AV27+обласной!AV27+'госпрозрахунк.'!AV27</f>
        <v>587.3999999999994</v>
      </c>
      <c r="AW27" s="136">
        <f>населення!AX28+льготи!AW27+субсидии!AW27+'держ.бюджет'!AW27+'місц.-район.бюджет'!AW27+обласной!AW27+'госпрозрахунк.'!AW27</f>
        <v>10639.200000000003</v>
      </c>
      <c r="AX27" s="136">
        <f t="shared" si="9"/>
        <v>7843.4</v>
      </c>
      <c r="AY27" s="136">
        <f t="shared" si="10"/>
        <v>7256.000000000001</v>
      </c>
      <c r="AZ27" s="20">
        <f t="shared" si="11"/>
        <v>587.3999999999987</v>
      </c>
      <c r="BA27" s="20">
        <f t="shared" si="12"/>
        <v>10639.2</v>
      </c>
    </row>
    <row r="28" spans="1:53" s="116" customFormat="1" ht="34.5" customHeight="1">
      <c r="A28" s="227">
        <v>21</v>
      </c>
      <c r="B28" s="101" t="s">
        <v>46</v>
      </c>
      <c r="C28" s="102">
        <f>населення!C29+льготи!C28+субсидии!C28+'держ.бюджет'!C28+'місц.-район.бюджет'!C28+обласной!C28+'госпрозрахунк.'!C28</f>
        <v>1814.4</v>
      </c>
      <c r="D28" s="137">
        <f>населення!D29+льготи!D28+субсидии!D28+'держ.бюджет'!D28+'місц.-район.бюджет'!D28+обласной!D28+'госпрозрахунк.'!D28</f>
        <v>4101.7</v>
      </c>
      <c r="E28" s="137">
        <f>населення!E29+льготи!E28+субсидии!E28+'держ.бюджет'!E28+'місц.-район.бюджет'!E28+обласной!E28+'госпрозрахунк.'!E28</f>
        <v>258.2</v>
      </c>
      <c r="F28" s="14">
        <f t="shared" si="3"/>
        <v>6.294950874027842</v>
      </c>
      <c r="G28" s="103">
        <f>населення!G29+льготи!G28+субсидии!G28+'держ.бюджет'!G28+'місц.-район.бюджет'!G28+обласной!G28+'госпрозрахунк.'!G28</f>
        <v>3713.8</v>
      </c>
      <c r="H28" s="103">
        <f>населення!H29+льготи!H28+субсидии!H28+'держ.бюджет'!H28+'місц.-район.бюджет'!H28+обласной!H28+'госпрозрахунк.'!H28</f>
        <v>4981.900000000001</v>
      </c>
      <c r="I28" s="33">
        <f>H28/G28*100</f>
        <v>134.14561904249018</v>
      </c>
      <c r="J28" s="103">
        <f>населення!J29+льготи!J28+субсидии!J28+'держ.бюджет'!J28+'місц.-район.бюджет'!J28+обласной!J28+'госпрозрахунк.'!J28</f>
        <v>0</v>
      </c>
      <c r="K28" s="103">
        <f>населення!K29+льготи!K28+субсидии!K28+'держ.бюджет'!K28+'місц.-район.бюджет'!K28+обласной!K28+'госпрозрахунк.'!K28</f>
        <v>0</v>
      </c>
      <c r="L28" s="14" t="e">
        <f t="shared" si="1"/>
        <v>#DIV/0!</v>
      </c>
      <c r="M28" s="102">
        <f>населення!M29+льготи!M28+субсидии!M28+'держ.бюджет'!M28+'місц.-район.бюджет'!M28+обласной!M28+'госпрозрахунк.'!M28</f>
        <v>7815.5</v>
      </c>
      <c r="N28" s="102">
        <f>населення!N29+льготи!N28+субсидии!N28+'держ.бюджет'!N28+'місц.-район.бюджет'!N28+обласной!N28+'госпрозрахунк.'!N28</f>
        <v>5240.1</v>
      </c>
      <c r="O28" s="136">
        <f t="shared" si="4"/>
        <v>67.04753374704114</v>
      </c>
      <c r="P28" s="136">
        <f>населення!P29+льготи!P28+субсидии!P28+'держ.бюджет'!P28+'місц.-район.бюджет'!P28+обласной!P28+'госпрозрахунк.'!P28</f>
        <v>0</v>
      </c>
      <c r="Q28" s="136">
        <f>населення!Q29+льготи!Q28+субсидии!Q28+'держ.бюджет'!Q28+'місц.-район.бюджет'!Q28+обласной!Q28+'госпрозрахунк.'!Q28</f>
        <v>0</v>
      </c>
      <c r="R28" s="102" t="e">
        <f t="shared" si="5"/>
        <v>#DIV/0!</v>
      </c>
      <c r="S28" s="102">
        <f>населення!S29+льготи!S28+субсидии!S28+'держ.бюджет'!S28+'місц.-район.бюджет'!S28+обласной!S28+'госпрозрахунк.'!S28</f>
        <v>0</v>
      </c>
      <c r="T28" s="102">
        <f>населення!T29+льготи!T28+субсидии!T28+'держ.бюджет'!T28+'місц.-район.бюджет'!T28+обласной!T28+'госпрозрахунк.'!T28</f>
        <v>0</v>
      </c>
      <c r="U28" s="102"/>
      <c r="V28" s="102">
        <f>населення!V29+льготи!V28+субсидии!V28+'держ.бюджет'!V28+'місц.-район.бюджет'!V28+обласной!V28+'госпрозрахунк.'!V28</f>
        <v>0</v>
      </c>
      <c r="W28" s="102">
        <f>населення!W29+льготи!W28+субсидии!W28+'держ.бюджет'!W28+'місц.-район.бюджет'!W28+обласной!W28+'госпрозрахунк.'!W28</f>
        <v>0</v>
      </c>
      <c r="X28" s="102"/>
      <c r="Y28" s="102">
        <f>населення!Y29+льготи!Y28+субсидии!Y28+'держ.бюджет'!Y28+'місц.-район.бюджет'!Y28+обласной!Y28+'госпрозрахунк.'!Y28</f>
        <v>0</v>
      </c>
      <c r="Z28" s="102">
        <f>населення!Z29+льготи!Z28+субсидии!Z28+'держ.бюджет'!Z28+'місц.-район.бюджет'!Z28+обласной!Z28+'госпрозрахунк.'!Z28</f>
        <v>0</v>
      </c>
      <c r="AA28" s="102" t="e">
        <f>Z28/Y28*100</f>
        <v>#DIV/0!</v>
      </c>
      <c r="AB28" s="102">
        <f>населення!AB29+льготи!AB28+субсидии!AB28+'держ.бюджет'!AB28+'місц.-район.бюджет'!AB28+обласной!AB28+'госпрозрахунк.'!AB28</f>
        <v>0</v>
      </c>
      <c r="AC28" s="102">
        <f>населення!AC29+льготи!AC28+субсидии!AC28+'держ.бюджет'!AC28+'місц.-район.бюджет'!AC28+обласной!AC28+'госпрозрахунк.'!AC28</f>
        <v>0</v>
      </c>
      <c r="AD28" s="99" t="e">
        <f t="shared" si="6"/>
        <v>#DIV/0!</v>
      </c>
      <c r="AE28" s="102">
        <f>населення!AE29+льготи!AE28+субсидии!AE28+'держ.бюджет'!AE28+'місц.-район.бюджет'!AE28+обласной!AE28+'госпрозрахунк.'!AE28</f>
        <v>0</v>
      </c>
      <c r="AF28" s="102">
        <f>населення!AF29+льготи!AF28+субсидии!AF28+'держ.бюджет'!AF28+'місц.-район.бюджет'!AF28+обласной!AF28+'госпрозрахунк.'!AF28</f>
        <v>0</v>
      </c>
      <c r="AG28" s="102">
        <v>0</v>
      </c>
      <c r="AH28" s="102">
        <f>населення!AH29+льготи!AH28+субсидии!AH28+'держ.бюджет'!AH28+'місц.-район.бюджет'!AH28+обласной!AH28+'госпрозрахунк.'!AH28</f>
        <v>0</v>
      </c>
      <c r="AI28" s="102">
        <f>населення!AI29+льготи!AI28+субсидии!AI28+'держ.бюджет'!AI28+'місц.-район.бюджет'!AI28+обласной!AI28+'госпрозрахунк.'!AI28</f>
        <v>0</v>
      </c>
      <c r="AJ28" s="102">
        <f>населення!AJ29+льготи!AJ28+субсидии!AJ28+'держ.бюджет'!AJ28+'місц.-район.бюджет'!AJ28+обласной!AJ28+'госпрозрахунк.'!AJ28</f>
        <v>0</v>
      </c>
      <c r="AK28" s="102">
        <f>населення!AK29+льготи!AK28+субсидии!AK28+'держ.бюджет'!AK28+'місц.-район.бюджет'!AK28+обласной!AK28+'госпрозрахунк.'!AK28</f>
        <v>0</v>
      </c>
      <c r="AL28" s="102" t="e">
        <f t="shared" si="7"/>
        <v>#DIV/0!</v>
      </c>
      <c r="AM28" s="102">
        <f>населення!AM29+льготи!AM28+субсидии!AM28+'держ.бюджет'!AM28+'місц.-район.бюджет'!AM28+обласной!AM28+'госпрозрахунк.'!AM28</f>
        <v>0</v>
      </c>
      <c r="AN28" s="102">
        <f>населення!AN29+льготи!AN28+субсидии!AN28+'держ.бюджет'!AN28+'місц.-район.бюджет'!AN28+обласной!AN28+'госпрозрахунк.'!AN28</f>
        <v>0</v>
      </c>
      <c r="AO28" s="102">
        <f>населення!AO29+льготи!AO28+субсидии!AO28+'держ.бюджет'!AO28+'місц.-район.бюджет'!AO28+обласной!AO28+'госпрозрахунк.'!AO28</f>
        <v>0</v>
      </c>
      <c r="AP28" s="102">
        <f>населення!AP29+льготи!AP28+субсидии!AP28+'держ.бюджет'!AP28+'місц.-район.бюджет'!AP28+обласной!AP28+'госпрозрахунк.'!AP28</f>
        <v>0</v>
      </c>
      <c r="AQ28" s="102">
        <f>населення!AR29+льготи!AQ28+субсидии!AQ28+'держ.бюджет'!AQ28+'місц.-район.бюджет'!AQ28+обласной!AQ28+'госпрозрахунк.'!AQ28</f>
        <v>0</v>
      </c>
      <c r="AR28" s="102">
        <f>населення!AS29+льготи!AR28+субсидии!AR28+'держ.бюджет'!AR28+'місц.-район.бюджет'!AR28+обласной!AR28+'госпрозрахунк.'!AR28</f>
        <v>0</v>
      </c>
      <c r="AS28" s="136">
        <f>населення!AT29+льготи!AS28+субсидии!AS28+'держ.бюджет'!AS28+'місц.-район.бюджет'!AS28+обласной!AS28+'госпрозрахунк.'!AS28</f>
        <v>7815.5</v>
      </c>
      <c r="AT28" s="136">
        <f>населення!AU29+льготи!AT28+субсидии!AT28+'держ.бюджет'!AT28+'місц.-район.бюджет'!AT28+обласной!AT28+'госпрозрахунк.'!AT28</f>
        <v>5240.1</v>
      </c>
      <c r="AU28" s="102">
        <f t="shared" si="8"/>
        <v>67.04753374704114</v>
      </c>
      <c r="AV28" s="102">
        <f>населення!AW29+льготи!AV28+субсидии!AV28+'держ.бюджет'!AV28+'місц.-район.бюджет'!AV28+обласной!AV28+'госпрозрахунк.'!AV28</f>
        <v>2575.4000000000005</v>
      </c>
      <c r="AW28" s="102">
        <f>населення!AX29+льготи!AW28+субсидии!AW28+'держ.бюджет'!AW28+'місц.-район.бюджет'!AW28+обласной!AW28+'госпрозрахунк.'!AW28</f>
        <v>4389.800000000001</v>
      </c>
      <c r="AX28" s="136">
        <f t="shared" si="9"/>
        <v>7815.5</v>
      </c>
      <c r="AY28" s="136">
        <f t="shared" si="10"/>
        <v>5240.1</v>
      </c>
      <c r="AZ28" s="20">
        <f t="shared" si="11"/>
        <v>2575.3999999999996</v>
      </c>
      <c r="BA28" s="20">
        <f t="shared" si="12"/>
        <v>4389.799999999999</v>
      </c>
    </row>
    <row r="29" spans="1:53" ht="34.5" customHeight="1">
      <c r="A29" s="19">
        <v>22</v>
      </c>
      <c r="B29" s="1" t="s">
        <v>47</v>
      </c>
      <c r="C29" s="136"/>
      <c r="D29" s="35"/>
      <c r="E29" s="35"/>
      <c r="F29" s="14"/>
      <c r="G29" s="35"/>
      <c r="H29" s="35"/>
      <c r="I29" s="35"/>
      <c r="J29" s="137"/>
      <c r="K29" s="137"/>
      <c r="L29" s="14"/>
      <c r="M29" s="136"/>
      <c r="N29" s="136"/>
      <c r="O29" s="99" t="e">
        <f t="shared" si="4"/>
        <v>#DIV/0!</v>
      </c>
      <c r="P29" s="99">
        <f>населення!P30+льготи!P29+субсидии!P29+'держ.бюджет'!P29+'місц.-район.бюджет'!P29+обласной!P29+'госпрозрахунк.'!P29</f>
        <v>0</v>
      </c>
      <c r="Q29" s="99">
        <f>населення!Q30+льготи!Q29+субсидии!Q29+'держ.бюджет'!Q29+'місц.-район.бюджет'!Q29+обласной!Q29+'госпрозрахунк.'!Q29</f>
        <v>0</v>
      </c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 t="e">
        <f t="shared" si="6"/>
        <v>#DIV/0!</v>
      </c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>
        <f>населення!AT30+льготи!AS29+субсидии!AS29+'держ.бюджет'!AS29+'місц.-район.бюджет'!AS29+обласной!AS29+'госпрозрахунк.'!AS29</f>
        <v>0</v>
      </c>
      <c r="AT29" s="99">
        <f>населення!AU30+льготи!AT29+субсидии!AT29+'держ.бюджет'!AT29+'місц.-район.бюджет'!AT29+обласной!AT29+'госпрозрахунк.'!AT29</f>
        <v>0</v>
      </c>
      <c r="AU29" s="99"/>
      <c r="AV29" s="136"/>
      <c r="AW29" s="136"/>
      <c r="AX29" s="136">
        <f t="shared" si="9"/>
        <v>0</v>
      </c>
      <c r="AY29" s="136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48</v>
      </c>
      <c r="C30" s="136"/>
      <c r="D30" s="35"/>
      <c r="E30" s="35"/>
      <c r="F30" s="14"/>
      <c r="G30" s="35"/>
      <c r="H30" s="35"/>
      <c r="I30" s="35"/>
      <c r="J30" s="137"/>
      <c r="K30" s="137"/>
      <c r="L30" s="14"/>
      <c r="M30" s="136"/>
      <c r="N30" s="136"/>
      <c r="O30" s="99" t="e">
        <f t="shared" si="4"/>
        <v>#DIV/0!</v>
      </c>
      <c r="P30" s="99">
        <f>населення!P31+льготи!P30+субсидии!P30+'держ.бюджет'!P30+'місц.-район.бюджет'!P30+обласной!P30+'госпрозрахунк.'!P30</f>
        <v>0</v>
      </c>
      <c r="Q30" s="99">
        <f>населення!Q31+льготи!Q30+субсидии!Q30+'держ.бюджет'!Q30+'місц.-район.бюджет'!Q30+обласной!Q30+'госпрозрахунк.'!Q30</f>
        <v>0</v>
      </c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 t="e">
        <f t="shared" si="6"/>
        <v>#DIV/0!</v>
      </c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>
        <f>населення!AT31+льготи!AS30+субсидии!AS30+'держ.бюджет'!AS30+'місц.-район.бюджет'!AS30+обласной!AS30+'госпрозрахунк.'!AS30</f>
        <v>0</v>
      </c>
      <c r="AT30" s="99">
        <f>населення!AU31+льготи!AT30+субсидии!AT30+'держ.бюджет'!AT30+'місц.-район.бюджет'!AT30+обласной!AT30+'госпрозрахунк.'!AT30</f>
        <v>0</v>
      </c>
      <c r="AU30" s="99"/>
      <c r="AV30" s="136"/>
      <c r="AW30" s="136"/>
      <c r="AX30" s="136">
        <f t="shared" si="9"/>
        <v>0</v>
      </c>
      <c r="AY30" s="136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49</v>
      </c>
      <c r="C31" s="136"/>
      <c r="D31" s="35"/>
      <c r="E31" s="35"/>
      <c r="F31" s="14"/>
      <c r="G31" s="35"/>
      <c r="H31" s="35"/>
      <c r="I31" s="35"/>
      <c r="J31" s="137"/>
      <c r="K31" s="137"/>
      <c r="L31" s="14"/>
      <c r="M31" s="136"/>
      <c r="N31" s="136"/>
      <c r="O31" s="99" t="e">
        <f t="shared" si="4"/>
        <v>#DIV/0!</v>
      </c>
      <c r="P31" s="99">
        <f>населення!P32+льготи!P31+субсидии!P31+'держ.бюджет'!P31+'місц.-район.бюджет'!P31+обласной!P31+'госпрозрахунк.'!P31</f>
        <v>0</v>
      </c>
      <c r="Q31" s="99">
        <f>населення!Q32+льготи!Q31+субсидии!Q31+'держ.бюджет'!Q31+'місц.-район.бюджет'!Q31+обласной!Q31+'госпрозрахунк.'!Q31</f>
        <v>0</v>
      </c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 t="e">
        <f t="shared" si="6"/>
        <v>#DIV/0!</v>
      </c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>
        <f>населення!AT32+льготи!AS31+субсидии!AS31+'держ.бюджет'!AS31+'місц.-район.бюджет'!AS31+обласной!AS31+'госпрозрахунк.'!AS31</f>
        <v>0</v>
      </c>
      <c r="AT31" s="99">
        <f>населення!AU32+льготи!AT31+субсидии!AT31+'держ.бюджет'!AT31+'місц.-район.бюджет'!AT31+обласной!AT31+'госпрозрахунк.'!AT31</f>
        <v>0</v>
      </c>
      <c r="AU31" s="99"/>
      <c r="AV31" s="136"/>
      <c r="AW31" s="136"/>
      <c r="AX31" s="136">
        <f t="shared" si="9"/>
        <v>0</v>
      </c>
      <c r="AY31" s="136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50</v>
      </c>
      <c r="C32" s="136">
        <f>C33+C34+C35+C36</f>
        <v>4357.499999999999</v>
      </c>
      <c r="D32" s="136">
        <f>D33+D34+D35+D36</f>
        <v>17622</v>
      </c>
      <c r="E32" s="136">
        <f>E33+E34+E35+E36</f>
        <v>8303.9</v>
      </c>
      <c r="F32" s="14">
        <f t="shared" si="3"/>
        <v>47.122347066167286</v>
      </c>
      <c r="G32" s="136">
        <f aca="true" t="shared" si="13" ref="G32:AR32">G33+G34+G35+G36</f>
        <v>15202.3</v>
      </c>
      <c r="H32" s="136">
        <f t="shared" si="13"/>
        <v>10137.699999999999</v>
      </c>
      <c r="I32" s="14">
        <f aca="true" t="shared" si="14" ref="I32:I49">H32/G32*100</f>
        <v>66.68530419739118</v>
      </c>
      <c r="J32" s="136">
        <f t="shared" si="13"/>
        <v>0</v>
      </c>
      <c r="K32" s="136">
        <f t="shared" si="13"/>
        <v>0</v>
      </c>
      <c r="L32" s="136" t="e">
        <f t="shared" si="13"/>
        <v>#DIV/0!</v>
      </c>
      <c r="M32" s="136">
        <f t="shared" si="13"/>
        <v>32824.299999999996</v>
      </c>
      <c r="N32" s="136">
        <f t="shared" si="13"/>
        <v>18441.6</v>
      </c>
      <c r="O32" s="136">
        <f t="shared" si="4"/>
        <v>56.18276703539756</v>
      </c>
      <c r="P32" s="136">
        <f>населення!P33+льготи!P32+субсидии!P32+'держ.бюджет'!P32+'місц.-район.бюджет'!P32+обласной!P32+'госпрозрахунк.'!P32</f>
        <v>0</v>
      </c>
      <c r="Q32" s="136">
        <f>населення!Q33+льготи!Q32+субсидии!Q32+'держ.бюджет'!Q32+'місц.-район.бюджет'!Q32+обласной!Q32+'госпрозрахунк.'!Q32</f>
        <v>0</v>
      </c>
      <c r="R32" s="136" t="e">
        <f t="shared" si="5"/>
        <v>#DIV/0!</v>
      </c>
      <c r="S32" s="136">
        <f t="shared" si="13"/>
        <v>0</v>
      </c>
      <c r="T32" s="136">
        <f t="shared" si="13"/>
        <v>0</v>
      </c>
      <c r="U32" s="136" t="e">
        <f t="shared" si="13"/>
        <v>#DIV/0!</v>
      </c>
      <c r="V32" s="136">
        <f t="shared" si="13"/>
        <v>0</v>
      </c>
      <c r="W32" s="136">
        <f t="shared" si="13"/>
        <v>0</v>
      </c>
      <c r="X32" s="136" t="e">
        <f t="shared" si="13"/>
        <v>#DIV/0!</v>
      </c>
      <c r="Y32" s="136">
        <f t="shared" si="13"/>
        <v>0</v>
      </c>
      <c r="Z32" s="136">
        <f t="shared" si="13"/>
        <v>0</v>
      </c>
      <c r="AA32" s="136" t="e">
        <f t="shared" si="13"/>
        <v>#DIV/0!</v>
      </c>
      <c r="AB32" s="136">
        <f t="shared" si="13"/>
        <v>0</v>
      </c>
      <c r="AC32" s="136">
        <f t="shared" si="13"/>
        <v>0</v>
      </c>
      <c r="AD32" s="136" t="e">
        <f t="shared" si="6"/>
        <v>#DIV/0!</v>
      </c>
      <c r="AE32" s="136">
        <f t="shared" si="13"/>
        <v>0</v>
      </c>
      <c r="AF32" s="136">
        <f t="shared" si="13"/>
        <v>0</v>
      </c>
      <c r="AG32" s="136" t="e">
        <f t="shared" si="13"/>
        <v>#DIV/0!</v>
      </c>
      <c r="AH32" s="136">
        <f t="shared" si="13"/>
        <v>0</v>
      </c>
      <c r="AI32" s="136">
        <f t="shared" si="13"/>
        <v>0</v>
      </c>
      <c r="AJ32" s="136">
        <f t="shared" si="13"/>
        <v>0</v>
      </c>
      <c r="AK32" s="136">
        <f t="shared" si="13"/>
        <v>0</v>
      </c>
      <c r="AL32" s="136" t="e">
        <f t="shared" si="13"/>
        <v>#DIV/0!</v>
      </c>
      <c r="AM32" s="136">
        <f t="shared" si="13"/>
        <v>0</v>
      </c>
      <c r="AN32" s="136">
        <f t="shared" si="13"/>
        <v>0</v>
      </c>
      <c r="AO32" s="136">
        <f t="shared" si="13"/>
        <v>0</v>
      </c>
      <c r="AP32" s="136">
        <f t="shared" si="13"/>
        <v>0</v>
      </c>
      <c r="AQ32" s="136">
        <f t="shared" si="13"/>
        <v>0</v>
      </c>
      <c r="AR32" s="136">
        <f t="shared" si="13"/>
        <v>0</v>
      </c>
      <c r="AS32" s="136">
        <f>населення!AT33+льготи!AS32+субсидии!AS32+'держ.бюджет'!AS32+'місц.-район.бюджет'!AS32+обласной!AS32+'госпрозрахунк.'!AS32</f>
        <v>32824.299999999996</v>
      </c>
      <c r="AT32" s="136">
        <f>населення!AU33+льготи!AT32+субсидии!AT32+'держ.бюджет'!AT32+'місц.-район.бюджет'!AT32+обласной!AT32+'госпрозрахунк.'!AT32</f>
        <v>18441.6</v>
      </c>
      <c r="AU32" s="136">
        <f t="shared" si="8"/>
        <v>56.18276703539756</v>
      </c>
      <c r="AV32" s="136">
        <f>AV33+AV34+AV35+AV36</f>
        <v>14382.699999999997</v>
      </c>
      <c r="AW32" s="136">
        <f>AW33+AW34+AW35+AW36</f>
        <v>18740.2</v>
      </c>
      <c r="AX32" s="136">
        <f t="shared" si="9"/>
        <v>32824.299999999996</v>
      </c>
      <c r="AY32" s="136">
        <f t="shared" si="10"/>
        <v>18441.6</v>
      </c>
      <c r="AZ32" s="20">
        <f t="shared" si="11"/>
        <v>14382.699999999997</v>
      </c>
      <c r="BA32" s="20">
        <f t="shared" si="12"/>
        <v>18740.199999999997</v>
      </c>
      <c r="BB32" s="135"/>
    </row>
    <row r="33" spans="1:53" ht="34.5" customHeight="1">
      <c r="A33" s="6"/>
      <c r="B33" s="15" t="s">
        <v>74</v>
      </c>
      <c r="C33" s="136">
        <f>населення!C34+льготи!C33+субсидии!C33+'держ.бюджет'!C33+'місц.-район.бюджет'!C33+обласной!C33+'госпрозрахунк.'!C33</f>
        <v>-3957.8999999999996</v>
      </c>
      <c r="D33" s="137">
        <f>населення!D34+льготи!D33+субсидии!D33+'держ.бюджет'!D33+'місц.-район.бюджет'!D33+обласной!D33+'госпрозрахунк.'!D33</f>
        <v>10364.8</v>
      </c>
      <c r="E33" s="137">
        <f>населення!E34+льготи!E33+субсидии!E33+'держ.бюджет'!E33+'місц.-район.бюджет'!E33+обласной!E33+'госпрозрахунк.'!E33</f>
        <v>5458.5</v>
      </c>
      <c r="F33" s="14">
        <f t="shared" si="3"/>
        <v>52.66382371102193</v>
      </c>
      <c r="G33" s="137">
        <f>населення!G34+льготи!G33+субсидии!G33+'держ.бюджет'!G33+'місц.-район.бюджет'!G33+обласной!G33+'госпрозрахунк.'!G33</f>
        <v>8967.3</v>
      </c>
      <c r="H33" s="137">
        <f>населення!H34+льготи!H33+субсидии!H33+'держ.бюджет'!H33+'місц.-район.бюджет'!H33+обласной!H33+'госпрозрахунк.'!H33</f>
        <v>4083.1000000000004</v>
      </c>
      <c r="I33" s="14">
        <f t="shared" si="14"/>
        <v>45.53321512606917</v>
      </c>
      <c r="J33" s="137">
        <f>населення!J34+льготи!J33+субсидии!J33+'держ.бюджет'!J33+'місц.-район.бюджет'!J33+обласной!J33+'госпрозрахунк.'!J33</f>
        <v>0</v>
      </c>
      <c r="K33" s="137">
        <f>населення!K34+льготи!K33+субсидии!K33+'держ.бюджет'!K33+'місц.-район.бюджет'!K33+обласной!K33+'госпрозрахунк.'!K33</f>
        <v>0</v>
      </c>
      <c r="L33" s="14" t="e">
        <f t="shared" si="1"/>
        <v>#DIV/0!</v>
      </c>
      <c r="M33" s="136">
        <f>населення!M34+льготи!M33+субсидии!M33+'держ.бюджет'!M33+'місц.-район.бюджет'!M33+обласной!M33+'госпрозрахунк.'!M33</f>
        <v>19332.1</v>
      </c>
      <c r="N33" s="136">
        <f>населення!N34+льготи!N33+субсидии!N33+'держ.бюджет'!N33+'місц.-район.бюджет'!N33+обласной!N33+'госпрозрахунк.'!N33</f>
        <v>9541.599999999999</v>
      </c>
      <c r="O33" s="136">
        <f t="shared" si="4"/>
        <v>49.35625203676786</v>
      </c>
      <c r="P33" s="136">
        <f>населення!P34+льготи!P33+субсидии!P33+'держ.бюджет'!P33+'місц.-район.бюджет'!P33+обласной!P33+'госпрозрахунк.'!P33</f>
        <v>0</v>
      </c>
      <c r="Q33" s="136">
        <f>населення!Q34+льготи!Q33+субсидии!Q33+'держ.бюджет'!Q33+'місц.-район.бюджет'!Q33+обласной!Q33+'госпрозрахунк.'!Q33</f>
        <v>0</v>
      </c>
      <c r="R33" s="136" t="e">
        <f t="shared" si="5"/>
        <v>#DIV/0!</v>
      </c>
      <c r="S33" s="136">
        <f>населення!S34+льготи!S33+субсидии!S33+'держ.бюджет'!S33+'місц.-район.бюджет'!S33+обласной!S33+'госпрозрахунк.'!S33</f>
        <v>0</v>
      </c>
      <c r="T33" s="136">
        <f>населення!T34+льготи!T33+субсидии!T33+'держ.бюджет'!T33+'місц.-район.бюджет'!T33+обласной!T33+'госпрозрахунк.'!T33</f>
        <v>0</v>
      </c>
      <c r="U33" s="136" t="e">
        <f>T33/S33*100</f>
        <v>#DIV/0!</v>
      </c>
      <c r="V33" s="136">
        <f>населення!V34+льготи!V33+субсидии!V33+'держ.бюджет'!V33+'місц.-район.бюджет'!V33+обласной!V33+'госпрозрахунк.'!V33</f>
        <v>0</v>
      </c>
      <c r="W33" s="136">
        <f>населення!W34+льготи!W33+субсидии!W33+'держ.бюджет'!W33+'місц.-район.бюджет'!W33+обласной!W33+'госпрозрахунк.'!W33</f>
        <v>0</v>
      </c>
      <c r="X33" s="136" t="e">
        <f>W33/V33*100</f>
        <v>#DIV/0!</v>
      </c>
      <c r="Y33" s="136">
        <f>населення!Y34+льготи!Y33+субсидии!Y33+'держ.бюджет'!Y33+'місц.-район.бюджет'!Y33+обласной!Y33+'госпрозрахунк.'!Y33</f>
        <v>0</v>
      </c>
      <c r="Z33" s="136">
        <f>населення!Z34+льготи!Z33+субсидии!Z33+'держ.бюджет'!Z33+'місц.-район.бюджет'!Z33+обласной!Z33+'госпрозрахунк.'!Z33</f>
        <v>0</v>
      </c>
      <c r="AA33" s="136" t="e">
        <f aca="true" t="shared" si="15" ref="AA33:AA49">Z33/Y33*100</f>
        <v>#DIV/0!</v>
      </c>
      <c r="AB33" s="136">
        <f>населення!AB34+льготи!AB33+субсидии!AB33+'держ.бюджет'!AB33+'місц.-район.бюджет'!AB33+обласной!AB33+'госпрозрахунк.'!AB33</f>
        <v>0</v>
      </c>
      <c r="AC33" s="136">
        <f>населення!AC34+льготи!AC33+субсидии!AC33+'держ.бюджет'!AC33+'місц.-район.бюджет'!AC33+обласной!AC33+'госпрозрахунк.'!AC33</f>
        <v>0</v>
      </c>
      <c r="AD33" s="136" t="e">
        <f t="shared" si="6"/>
        <v>#DIV/0!</v>
      </c>
      <c r="AE33" s="136">
        <f>населення!AE34+льготи!AE33+субсидии!AE33+'держ.бюджет'!AE33+'місц.-район.бюджет'!AE33+обласной!AE33+'госпрозрахунк.'!AE33</f>
        <v>0</v>
      </c>
      <c r="AF33" s="136">
        <f>населення!AF34+льготи!AF33+субсидии!AF33+'держ.бюджет'!AF33+'місц.-район.бюджет'!AF33+обласной!AF33+'госпрозрахунк.'!AF33</f>
        <v>0</v>
      </c>
      <c r="AG33" s="99" t="e">
        <f aca="true" t="shared" si="16" ref="AG33:AG49">AF33/AE33*100</f>
        <v>#DIV/0!</v>
      </c>
      <c r="AH33" s="136">
        <f>населення!AH34+льготи!AH33+субсидии!AH33+'держ.бюджет'!AH33+'місц.-район.бюджет'!AH33+обласной!AH33+'госпрозрахунк.'!AH33</f>
        <v>0</v>
      </c>
      <c r="AI33" s="136">
        <f>населення!AI34+льготи!AI33+субсидии!AI33+'держ.бюджет'!AI33+'місц.-район.бюджет'!AI33+обласной!AI33+'госпрозрахунк.'!AI33</f>
        <v>0</v>
      </c>
      <c r="AJ33" s="136">
        <f>населення!AJ34+льготи!AK33+субсидии!AJ33+'держ.бюджет'!AJ33+'місц.-район.бюджет'!AJ33+обласной!AJ33+'госпрозрахунк.'!AJ33</f>
        <v>0</v>
      </c>
      <c r="AK33" s="136">
        <f>населення!AK34+льготи!AK33+субсидии!AK33+'держ.бюджет'!AK33+'місц.-район.бюджет'!AK33+обласной!AK33+'госпрозрахунк.'!AK33</f>
        <v>0</v>
      </c>
      <c r="AL33" s="99" t="e">
        <f t="shared" si="7"/>
        <v>#DIV/0!</v>
      </c>
      <c r="AM33" s="136">
        <f>населення!AM34+льготи!AM33+субсидии!AM33+'держ.бюджет'!AM33+'місц.-район.бюджет'!AM33+обласной!AM33+'госпрозрахунк.'!AM33</f>
        <v>0</v>
      </c>
      <c r="AN33" s="136">
        <f>населення!AN34+льготи!AN33+субсидии!AN33+'держ.бюджет'!AN33+'місц.-район.бюджет'!AN33+обласной!AN33+'госпрозрахунк.'!AN33</f>
        <v>0</v>
      </c>
      <c r="AO33" s="136">
        <f>населення!AO34+льготи!AO33+субсидии!AO33+'держ.бюджет'!AO33+'місц.-район.бюджет'!AO33+обласной!AO33+'госпрозрахунк.'!AO33</f>
        <v>0</v>
      </c>
      <c r="AP33" s="136">
        <f>населення!AP34+льготи!AP33+субсидии!AP33+'держ.бюджет'!AP33+'місц.-район.бюджет'!AP33+обласной!AP33+'госпрозрахунк.'!AP33</f>
        <v>0</v>
      </c>
      <c r="AQ33" s="136">
        <f>населення!AR34+льготи!AQ33+субсидии!AQ33+'держ.бюджет'!AQ33+'місц.-район.бюджет'!AQ33+обласной!AQ33+'госпрозрахунк.'!AQ33</f>
        <v>0</v>
      </c>
      <c r="AR33" s="136">
        <f>населення!AS34+льготи!AR33+субсидии!AR33+'держ.бюджет'!AR33+'місц.-район.бюджет'!AR33+обласной!AR33+'госпрозрахунк.'!AR33</f>
        <v>0</v>
      </c>
      <c r="AS33" s="136">
        <f>населення!AT34+льготи!AS33+субсидии!AS33+'держ.бюджет'!AS33+'місц.-район.бюджет'!AS33+обласной!AS33+'госпрозрахунк.'!AS33</f>
        <v>19332.1</v>
      </c>
      <c r="AT33" s="136">
        <f>населення!AU34+льготи!AT33+субсидии!AT33+'держ.бюджет'!AT33+'місц.-район.бюджет'!AT33+обласной!AT33+'госпрозрахунк.'!AT33</f>
        <v>9541.599999999999</v>
      </c>
      <c r="AU33" s="136">
        <f t="shared" si="8"/>
        <v>49.35625203676786</v>
      </c>
      <c r="AV33" s="136">
        <f>населення!AW34+льготи!AV33+субсидии!AV33+'держ.бюджет'!AV33+'місц.-район.бюджет'!AV33+обласной!AV33+'госпрозрахунк.'!AV33</f>
        <v>9790.499999999998</v>
      </c>
      <c r="AW33" s="136">
        <f>населення!AX34+льготи!AW33+субсидии!AW33+'держ.бюджет'!AW33+'місц.-район.бюджет'!AW33+обласной!AW33+'госпрозрахунк.'!AW33</f>
        <v>5832.599999999999</v>
      </c>
      <c r="AX33" s="136">
        <f t="shared" si="9"/>
        <v>19332.1</v>
      </c>
      <c r="AY33" s="136">
        <f t="shared" si="10"/>
        <v>9541.599999999999</v>
      </c>
      <c r="AZ33" s="20">
        <f t="shared" si="11"/>
        <v>9790.5</v>
      </c>
      <c r="BA33" s="20">
        <f t="shared" si="12"/>
        <v>5832.6</v>
      </c>
    </row>
    <row r="34" spans="1:53" ht="34.5" customHeight="1">
      <c r="A34" s="6"/>
      <c r="B34" s="15" t="s">
        <v>21</v>
      </c>
      <c r="C34" s="136">
        <f>населення!C35+льготи!C34+субсидии!C34+'держ.бюджет'!C34+'місц.-район.бюджет'!C34+обласной!C34+'госпрозрахунк.'!C34</f>
        <v>8434.199999999999</v>
      </c>
      <c r="D34" s="136">
        <f>населення!D35+льготи!D34+субсидии!D34+'держ.бюджет'!D34+'місц.-район.бюджет'!D34+обласной!D34+'госпрозрахунк.'!D34</f>
        <v>5353.699999999999</v>
      </c>
      <c r="E34" s="136">
        <f>населення!E35+льготи!E34+субсидии!E34+'держ.бюджет'!E34+'місц.-район.бюджет'!E34+обласной!E34+'госпрозрахунк.'!E34</f>
        <v>2699.2</v>
      </c>
      <c r="F34" s="14">
        <f t="shared" si="3"/>
        <v>50.41746829295628</v>
      </c>
      <c r="G34" s="136">
        <f>населення!G35+льготи!G34+субсидии!G34+'держ.бюджет'!G34+'місц.-район.бюджет'!G34+обласной!G34+'госпрозрахунк.'!G34</f>
        <v>4536.4</v>
      </c>
      <c r="H34" s="136">
        <f>населення!H35+льготи!H34+субсидии!H34+'держ.бюджет'!H34+'місц.-район.бюджет'!H34+обласной!H34+'госпрозрахунк.'!H34</f>
        <v>4297.2</v>
      </c>
      <c r="I34" s="14">
        <f t="shared" si="14"/>
        <v>94.72709637598096</v>
      </c>
      <c r="J34" s="136">
        <f>населення!J35+льготи!J34+субсидии!J34+'держ.бюджет'!J34+'місц.-район.бюджет'!J34+обласной!J34+'госпрозрахунк.'!J34</f>
        <v>0</v>
      </c>
      <c r="K34" s="136">
        <f>населення!K35+льготи!K34+субсидии!K34+'держ.бюджет'!K34+'місц.-район.бюджет'!K34+обласной!K34+'госпрозрахунк.'!K34</f>
        <v>0</v>
      </c>
      <c r="L34" s="14" t="e">
        <f t="shared" si="1"/>
        <v>#DIV/0!</v>
      </c>
      <c r="M34" s="136">
        <f>населення!M35+льготи!M34+субсидии!M34+'держ.бюджет'!M34+'місц.-район.бюджет'!M34+обласной!M34+'госпрозрахунк.'!M34</f>
        <v>9890.1</v>
      </c>
      <c r="N34" s="136">
        <f>населення!N35+льготи!N34+субсидии!N34+'держ.бюджет'!N34+'місц.-район.бюджет'!N34+обласной!N34+'госпрозрахунк.'!N34</f>
        <v>6996.4</v>
      </c>
      <c r="O34" s="136">
        <f t="shared" si="4"/>
        <v>70.7414485192263</v>
      </c>
      <c r="P34" s="136">
        <f>населення!P35+льготи!P34+субсидии!P34+'держ.бюджет'!P34+'місц.-район.бюджет'!P34+обласной!P34+'госпрозрахунк.'!P34</f>
        <v>0</v>
      </c>
      <c r="Q34" s="136">
        <f>населення!Q35+льготи!Q34+субсидии!Q34+'держ.бюджет'!Q34+'місц.-район.бюджет'!Q34+обласной!Q34+'госпрозрахунк.'!Q34</f>
        <v>0</v>
      </c>
      <c r="R34" s="136" t="e">
        <f t="shared" si="5"/>
        <v>#DIV/0!</v>
      </c>
      <c r="S34" s="136">
        <f>населення!S35+льготи!S34+субсидии!S34+'держ.бюджет'!S34+'місц.-район.бюджет'!S34+обласной!S34+'госпрозрахунк.'!S34</f>
        <v>0</v>
      </c>
      <c r="T34" s="136">
        <f>населення!T35+льготи!T34+субсидии!T34+'держ.бюджет'!T34+'місц.-район.бюджет'!T34+обласной!T34+'госпрозрахунк.'!T34</f>
        <v>0</v>
      </c>
      <c r="U34" s="136" t="e">
        <f>населення!U35+льготи!U34+субсидии!U34+'держ.бюджет'!U34+'місц.-район.бюджет'!U34+обласной!U34+'госпрозрахунк.'!U34</f>
        <v>#DIV/0!</v>
      </c>
      <c r="V34" s="136">
        <f>населення!V35+льготи!V34+субсидии!V34+'держ.бюджет'!V34+'місц.-район.бюджет'!V34+обласной!V34+'госпрозрахунк.'!V34</f>
        <v>0</v>
      </c>
      <c r="W34" s="136">
        <f>населення!W35+льготи!W34+субсидии!W34+'держ.бюджет'!W34+'місц.-район.бюджет'!W34+обласной!W34+'госпрозрахунк.'!W34</f>
        <v>0</v>
      </c>
      <c r="X34" s="136" t="e">
        <f>населення!X35+льготи!X34+субсидии!X34+'держ.бюджет'!X34+'місц.-район.бюджет'!X34+обласной!X34+'госпрозрахунк.'!X34</f>
        <v>#DIV/0!</v>
      </c>
      <c r="Y34" s="136">
        <f>населення!Y35+льготи!Y34+субсидии!Y34+'держ.бюджет'!Y34+'місц.-район.бюджет'!Y34+обласной!Y34+'госпрозрахунк.'!Y34</f>
        <v>0</v>
      </c>
      <c r="Z34" s="136">
        <f>населення!Z35+льготи!Z34+субсидии!Z34+'держ.бюджет'!Z34+'місц.-район.бюджет'!Z34+обласной!Z34+'госпрозрахунк.'!Z34</f>
        <v>0</v>
      </c>
      <c r="AA34" s="99" t="e">
        <f>населення!AA35+льготи!AA34+субсидии!AA34+'держ.бюджет'!AA34+'місц.-район.бюджет'!AA34+обласной!AA34+'госпрозрахунк.'!AA34</f>
        <v>#DIV/0!</v>
      </c>
      <c r="AB34" s="136">
        <f>населення!AB35+льготи!AB34+субсидии!AB34+'держ.бюджет'!AB34+'місц.-район.бюджет'!AB34+обласной!AB34+'госпрозрахунк.'!AB34</f>
        <v>0</v>
      </c>
      <c r="AC34" s="136">
        <f>населення!AC35+льготи!AC34+субсидии!AC34+'держ.бюджет'!AC34+'місц.-район.бюджет'!AC34+обласной!AC34+'госпрозрахунк.'!AC34</f>
        <v>0</v>
      </c>
      <c r="AD34" s="136" t="e">
        <f t="shared" si="6"/>
        <v>#DIV/0!</v>
      </c>
      <c r="AE34" s="136">
        <f>населення!AE35+льготи!AE34+субсидии!AE34+'держ.бюджет'!AE34+'місц.-район.бюджет'!AE34+обласной!AE34+'госпрозрахунк.'!AE34</f>
        <v>0</v>
      </c>
      <c r="AF34" s="136">
        <f>населення!AF35+льготи!AF34+субсидии!AF34+'держ.бюджет'!AF34+'місц.-район.бюджет'!AF34+обласной!AF34+'госпрозрахунк.'!AF34</f>
        <v>0</v>
      </c>
      <c r="AG34" s="136">
        <f>населення!AG35+льготи!AG34+субсидии!AG34+'держ.бюджет'!AG34+'місц.-район.бюджет'!AG34+обласной!AG34+'госпрозрахунк.'!AG34</f>
        <v>0</v>
      </c>
      <c r="AH34" s="136">
        <f>населення!AH35+льготи!AH34+субсидии!AH34+'держ.бюджет'!AH34+'місц.-район.бюджет'!AH34+обласной!AH34+'госпрозрахунк.'!AH34</f>
        <v>0</v>
      </c>
      <c r="AI34" s="136">
        <f>населення!AI35+льготи!AI34+субсидии!AI34+'держ.бюджет'!AI34+'місц.-район.бюджет'!AI34+обласной!AI34+'госпрозрахунк.'!AI34</f>
        <v>0</v>
      </c>
      <c r="AJ34" s="136">
        <f>населення!AJ35+льготи!AJ34+субсидии!AJ34+'держ.бюджет'!AJ34+'місц.-район.бюджет'!AJ34+обласной!AJ34+'госпрозрахунк.'!AJ34</f>
        <v>0</v>
      </c>
      <c r="AK34" s="136">
        <f>населення!AK35+льготи!AK34+субсидии!AK34+'держ.бюджет'!AK34+'місц.-район.бюджет'!AK34+обласной!AK34+'госпрозрахунк.'!AK34</f>
        <v>0</v>
      </c>
      <c r="AL34" s="136" t="e">
        <f>населення!AL35+льготи!AL34+субсидии!AL34+'держ.бюджет'!AL34+'місц.-район.бюджет'!AL34+обласной!AL34+'госпрозрахунк.'!AL34</f>
        <v>#DIV/0!</v>
      </c>
      <c r="AM34" s="136">
        <f>населення!AM35+льготи!AM34+субсидии!AM34+'держ.бюджет'!AM34+'місц.-район.бюджет'!AM34+обласной!AM34+'госпрозрахунк.'!AM34</f>
        <v>0</v>
      </c>
      <c r="AN34" s="136">
        <f>населення!AN35+льготи!AN34+субсидии!AN34+'держ.бюджет'!AN34+'місц.-район.бюджет'!AN34+обласной!AN34+'госпрозрахунк.'!AN34</f>
        <v>0</v>
      </c>
      <c r="AO34" s="136">
        <f>населення!AO35+льготи!AO34+субсидии!AO34+'держ.бюджет'!AO34+'місц.-район.бюджет'!AO34+обласной!AO34+'госпрозрахунк.'!AO34</f>
        <v>0</v>
      </c>
      <c r="AP34" s="136">
        <f>населення!AP35+льготи!AP34+субсидии!AP34+'держ.бюджет'!AP34+'місц.-район.бюджет'!AP34+обласной!AP34+'госпрозрахунк.'!AP34</f>
        <v>0</v>
      </c>
      <c r="AQ34" s="136">
        <f>населення!AR35+льготи!AQ34+субсидии!AQ34+'держ.бюджет'!AQ34+'місц.-район.бюджет'!AQ34+обласной!AQ34+'госпрозрахунк.'!AQ34</f>
        <v>0</v>
      </c>
      <c r="AR34" s="136">
        <f>населення!AS35+льготи!AR34+субсидии!AR34+'держ.бюджет'!AR34+'місц.-район.бюджет'!AR34+обласной!AR34+'госпрозрахунк.'!AR34</f>
        <v>0</v>
      </c>
      <c r="AS34" s="136">
        <f>населення!AT35+льготи!AS34+субсидии!AS34+'держ.бюджет'!AS34+'місц.-район.бюджет'!AS34+обласной!AS34+'госпрозрахунк.'!AS34</f>
        <v>9890.1</v>
      </c>
      <c r="AT34" s="136">
        <f>населення!AU35+льготи!AT34+субсидии!AT34+'держ.бюджет'!AT34+'місц.-район.бюджет'!AT34+обласной!AT34+'госпрозрахунк.'!AT34</f>
        <v>6996.4</v>
      </c>
      <c r="AU34" s="136">
        <f t="shared" si="8"/>
        <v>70.7414485192263</v>
      </c>
      <c r="AV34" s="136">
        <f>населення!AW35+льготи!AV34+субсидии!AV34+'держ.бюджет'!AV34+'місц.-район.бюджет'!AV34+обласной!AV34+'госпрозрахунк.'!AV34</f>
        <v>2893.7</v>
      </c>
      <c r="AW34" s="136">
        <f>населення!AX35+льготи!AW34+субсидии!AW34+'держ.бюджет'!AW34+'місц.-район.бюджет'!AW34+обласной!AW34+'госпрозрахунк.'!AW34</f>
        <v>11327.9</v>
      </c>
      <c r="AX34" s="136">
        <f t="shared" si="9"/>
        <v>9890.1</v>
      </c>
      <c r="AY34" s="136">
        <f t="shared" si="10"/>
        <v>6996.4</v>
      </c>
      <c r="AZ34" s="20">
        <f t="shared" si="11"/>
        <v>2893.7000000000007</v>
      </c>
      <c r="BA34" s="20">
        <f t="shared" si="12"/>
        <v>11327.9</v>
      </c>
    </row>
    <row r="35" spans="1:53" ht="34.5" customHeight="1" hidden="1">
      <c r="A35" s="6"/>
      <c r="B35" s="15" t="s">
        <v>23</v>
      </c>
      <c r="C35" s="136">
        <f>населення!C36+льготи!C35+субсидии!C35+'держ.бюджет'!C35+'місц.-район.бюджет'!C35+обласной!C35+'госпрозрахунк.'!C35</f>
        <v>0</v>
      </c>
      <c r="D35" s="136">
        <f>населення!D36+льготи!D35+субсидии!D35+'держ.бюджет'!D35+'місц.-район.бюджет'!D35+обласной!D35+'госпрозрахунк.'!D35</f>
        <v>0</v>
      </c>
      <c r="E35" s="136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36">
        <f>населення!G36+льготи!G35+субсидии!G35+'держ.бюджет'!G35+'місц.-район.бюджет'!G35+обласной!G35+'госпрозрахунк.'!G35</f>
        <v>0</v>
      </c>
      <c r="H35" s="136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36">
        <f>населення!J36+льготи!J35+субсидии!J35+'держ.бюджет'!J35+'місц.-район.бюджет'!J35+обласной!J35+'госпрозрахунк.'!J35</f>
        <v>0</v>
      </c>
      <c r="K35" s="136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36">
        <f>населення!M36+льготи!M35+субсидии!M35+'держ.бюджет'!M35+'місц.-район.бюджет'!M35+обласной!M35+'госпрозрахунк.'!M35</f>
        <v>0</v>
      </c>
      <c r="N35" s="136">
        <f>населення!N36+льготи!N35+субсидии!N35+'держ.бюджет'!N35+'місц.-район.бюджет'!N35+обласной!N35+'госпрозрахунк.'!N35</f>
        <v>0</v>
      </c>
      <c r="O35" s="136" t="e">
        <f t="shared" si="4"/>
        <v>#DIV/0!</v>
      </c>
      <c r="P35" s="136">
        <f>населення!P36+льготи!P35+субсидии!P35+'держ.бюджет'!P35+'місц.-район.бюджет'!P35+обласной!P35+'госпрозрахунк.'!P35</f>
        <v>0</v>
      </c>
      <c r="Q35" s="136">
        <f>населення!Q36+льготи!Q35+субсидии!Q35+'держ.бюджет'!Q35+'місц.-район.бюджет'!Q35+обласной!Q35+'госпрозрахунк.'!Q35</f>
        <v>0</v>
      </c>
      <c r="R35" s="136" t="e">
        <f>населення!R36+льготи!R35+субсидии!R35+'держ.бюджет'!R35+'місц.-район.бюджет'!R35+обласной!R35+'госпрозрахунк.'!R35</f>
        <v>#DIV/0!</v>
      </c>
      <c r="S35" s="136">
        <f>населення!S36+льготи!S35+субсидии!S35+'держ.бюджет'!S35+'місц.-район.бюджет'!S35+обласной!S35+'госпрозрахунк.'!S35</f>
        <v>0</v>
      </c>
      <c r="T35" s="136">
        <f>населення!T36+льготи!T35+субсидии!T35+'держ.бюджет'!T35+'місц.-район.бюджет'!T35+обласной!T35+'госпрозрахунк.'!T35</f>
        <v>0</v>
      </c>
      <c r="U35" s="136" t="e">
        <f>населення!U36+льготи!U35+субсидии!U35+'держ.бюджет'!U35+'місц.-район.бюджет'!U35+обласной!U35+'госпрозрахунк.'!U35</f>
        <v>#DIV/0!</v>
      </c>
      <c r="V35" s="136">
        <f>населення!V36+льготи!V35+субсидии!V35+'держ.бюджет'!V35+'місц.-район.бюджет'!V35+обласной!V35+'госпрозрахунк.'!V35</f>
        <v>0</v>
      </c>
      <c r="W35" s="136">
        <f>населення!W36+льготи!W35+субсидии!W35+'держ.бюджет'!W35+'місц.-район.бюджет'!W35+обласной!W35+'госпрозрахунк.'!W35</f>
        <v>0</v>
      </c>
      <c r="X35" s="136" t="e">
        <f>населення!X36+льготи!X35+субсидии!X35+'держ.бюджет'!X35+'місц.-район.бюджет'!X35+обласной!X35+'госпрозрахунк.'!X35</f>
        <v>#DIV/0!</v>
      </c>
      <c r="Y35" s="136">
        <f>населення!Y36+льготи!Y35+субсидии!Y35+'держ.бюджет'!Y35+'місц.-район.бюджет'!Y35+обласной!Y35+'госпрозрахунк.'!Y35</f>
        <v>0</v>
      </c>
      <c r="Z35" s="136">
        <f>населення!Z36+льготи!Z35+субсидии!Z35+'держ.бюджет'!Z35+'місц.-район.бюджет'!Z35+обласной!Z35+'госпрозрахунк.'!Z35</f>
        <v>0</v>
      </c>
      <c r="AA35" s="136" t="e">
        <f>населення!AA36+льготи!AA35+субсидии!AA35+'держ.бюджет'!AA35+'місц.-район.бюджет'!AA35+обласной!AA35+'госпрозрахунк.'!AA35</f>
        <v>#DIV/0!</v>
      </c>
      <c r="AB35" s="136">
        <f>населення!AB36+льготи!AB35+субсидии!AB35+'держ.бюджет'!AB35+'місц.-район.бюджет'!AB35+обласной!AB35+'госпрозрахунк.'!AB35</f>
        <v>0</v>
      </c>
      <c r="AC35" s="136">
        <f>населення!AC36+льготи!AC35+субсидии!AC35+'держ.бюджет'!AC35+'місц.-район.бюджет'!AC35+обласной!AC35+'госпрозрахунк.'!AC35</f>
        <v>0</v>
      </c>
      <c r="AD35" s="136" t="e">
        <f t="shared" si="6"/>
        <v>#DIV/0!</v>
      </c>
      <c r="AE35" s="136">
        <f>населення!AE36+льготи!AE35+субсидии!AE35+'держ.бюджет'!AE35+'місц.-район.бюджет'!AE35+обласной!AE35+'госпрозрахунк.'!AE35</f>
        <v>0</v>
      </c>
      <c r="AF35" s="136">
        <f>населення!AF36+льготи!AF35+субсидии!AF35+'держ.бюджет'!AF35+'місц.-район.бюджет'!AF35+обласной!AF35+'госпрозрахунк.'!AF35</f>
        <v>0</v>
      </c>
      <c r="AG35" s="136">
        <f>населення!AG36+льготи!AG35+субсидии!AG35+'держ.бюджет'!AG35+'місц.-район.бюджет'!AG35+обласной!AG35+'госпрозрахунк.'!AG35</f>
        <v>0</v>
      </c>
      <c r="AH35" s="136">
        <f>населення!AH36+льготи!AH35+субсидии!AH35+'держ.бюджет'!AH35+'місц.-район.бюджет'!AH35+обласной!AH35+'госпрозрахунк.'!AH35</f>
        <v>0</v>
      </c>
      <c r="AI35" s="136">
        <f>населення!AI36+льготи!AI35+субсидии!AI35+'держ.бюджет'!AI35+'місц.-район.бюджет'!AI35+обласной!AI35+'госпрозрахунк.'!AI35</f>
        <v>0</v>
      </c>
      <c r="AJ35" s="136">
        <f>населення!AJ36+льготи!AJ35+субсидии!AJ35+'держ.бюджет'!AJ35+'місц.-район.бюджет'!AJ35+обласной!AJ35+'госпрозрахунк.'!AJ35</f>
        <v>0</v>
      </c>
      <c r="AK35" s="136">
        <f>населення!AK36+льготи!AK35+субсидии!AK35+'держ.бюджет'!AK35+'місц.-район.бюджет'!AK35+обласной!AK35+'госпрозрахунк.'!AK35</f>
        <v>0</v>
      </c>
      <c r="AL35" s="136" t="e">
        <f>населення!AL36+льготи!AL35+субсидии!AL35+'держ.бюджет'!AL35+'місц.-район.бюджет'!AL35+обласной!AL35+'госпрозрахунк.'!AL35</f>
        <v>#DIV/0!</v>
      </c>
      <c r="AM35" s="136">
        <f>населення!AM36+льготи!AM35+субсидии!AM35+'держ.бюджет'!AM35+'місц.-район.бюджет'!AM35+обласной!AM35+'госпрозрахунк.'!AM35</f>
        <v>0</v>
      </c>
      <c r="AN35" s="136">
        <f>населення!AN36+льготи!AN35+субсидии!AN35+'держ.бюджет'!AN35+'місц.-район.бюджет'!AN35+обласной!AN35+'госпрозрахунк.'!AN35</f>
        <v>0</v>
      </c>
      <c r="AO35" s="136">
        <f>населення!AO36+льготи!AO35+субсидии!AO35+'держ.бюджет'!AO35+'місц.-район.бюджет'!AO35+обласной!AO35+'госпрозрахунк.'!AO35</f>
        <v>0</v>
      </c>
      <c r="AP35" s="136">
        <f>населення!AP36+льготи!AP35+субсидии!AP35+'держ.бюджет'!AP35+'місц.-район.бюджет'!AP35+обласной!AP35+'госпрозрахунк.'!AP35</f>
        <v>0</v>
      </c>
      <c r="AQ35" s="136">
        <f>населення!AR36+льготи!AQ35+субсидии!AQ35+'держ.бюджет'!AQ35+'місц.-район.бюджет'!AQ35+обласной!AQ35+'госпрозрахунк.'!AQ35</f>
        <v>0</v>
      </c>
      <c r="AR35" s="136">
        <f>населення!AS36+льготи!AR35+субсидии!AR35+'держ.бюджет'!AR35+'місц.-район.бюджет'!AR35+обласной!AR35+'госпрозрахунк.'!AR35</f>
        <v>0</v>
      </c>
      <c r="AS35" s="136">
        <f>населення!AT36+льготи!AS35+субсидии!AS35+'держ.бюджет'!AS35+'місц.-район.бюджет'!AS35+обласной!AS35+'госпрозрахунк.'!AS35</f>
        <v>0</v>
      </c>
      <c r="AT35" s="136">
        <f>населення!AU36+льготи!AT35+субсидии!AT35+'держ.бюджет'!AT35+'місц.-район.бюджет'!AT35+обласной!AT35+'госпрозрахунк.'!AT35</f>
        <v>0</v>
      </c>
      <c r="AU35" s="136" t="e">
        <f t="shared" si="8"/>
        <v>#DIV/0!</v>
      </c>
      <c r="AV35" s="136">
        <f>населення!AW36+льготи!AV35+субсидии!AV35+'держ.бюджет'!AV35+'місц.-район.бюджет'!AV35+обласной!AV35+'госпрозрахунк.'!AV35</f>
        <v>0</v>
      </c>
      <c r="AW35" s="136">
        <f>населення!AX36+льготи!AW35+субсидии!AW35+'держ.бюджет'!AW35+'місц.-район.бюджет'!AW35+обласной!AW35+'госпрозрахунк.'!AW35</f>
        <v>0</v>
      </c>
      <c r="AX35" s="136">
        <f t="shared" si="9"/>
        <v>0</v>
      </c>
      <c r="AY35" s="136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65</v>
      </c>
      <c r="C36" s="136">
        <f>населення!C37+льготи!C36+субсидии!C36+'держ.бюджет'!C36+'місц.-район.бюджет'!C36+обласной!C36+'госпрозрахунк.'!C36</f>
        <v>-118.8</v>
      </c>
      <c r="D36" s="137">
        <f>населення!D37+льготи!D36+субсидии!D36+'держ.бюджет'!D36+'місц.-район.бюджет'!D36+обласной!D36+'госпрозрахунк.'!D36</f>
        <v>1903.5</v>
      </c>
      <c r="E36" s="137">
        <f>населення!E37+льготи!E36+субсидии!E36+'держ.бюджет'!E36+'місц.-район.бюджет'!E36+обласной!E36+'госпрозрахунк.'!E36</f>
        <v>146.2</v>
      </c>
      <c r="F36" s="14">
        <f t="shared" si="3"/>
        <v>7.680588389808247</v>
      </c>
      <c r="G36" s="137">
        <f>населення!G37+льготи!G36+субсидии!G36+'держ.бюджет'!G36+'місц.-район.бюджет'!G36+обласной!G36+'госпрозрахунк.'!G36</f>
        <v>1698.6</v>
      </c>
      <c r="H36" s="137">
        <f>населення!H37+льготи!H36+субсидии!H36+'держ.бюджет'!H36+'місц.-район.бюджет'!H36+обласной!H36+'госпрозрахунк.'!H36</f>
        <v>1757.4</v>
      </c>
      <c r="I36" s="14">
        <f t="shared" si="14"/>
        <v>103.46167432002827</v>
      </c>
      <c r="J36" s="137">
        <f>населення!J37+льготи!J36+субсидии!J36+'держ.бюджет'!J36+'місц.-район.бюджет'!J36+обласной!J36+'госпрозрахунк.'!J36</f>
        <v>0</v>
      </c>
      <c r="K36" s="137">
        <f>населення!K37+льготи!K36+субсидии!K36+'держ.бюджет'!K36+'місц.-район.бюджет'!K36+обласной!K36+'госпрозрахунк.'!K36</f>
        <v>0</v>
      </c>
      <c r="L36" s="14" t="e">
        <f t="shared" si="1"/>
        <v>#DIV/0!</v>
      </c>
      <c r="M36" s="136">
        <f>населення!M37+льготи!M36+субсидии!M36+'держ.бюджет'!M36+'місц.-район.бюджет'!M36+обласной!M36+'госпрозрахунк.'!M36</f>
        <v>3602.1000000000004</v>
      </c>
      <c r="N36" s="136">
        <f>населення!N37+льготи!N36+субсидии!N36+'держ.бюджет'!N36+'місц.-район.бюджет'!N36+обласной!N36+'госпрозрахунк.'!N36</f>
        <v>1903.6</v>
      </c>
      <c r="O36" s="136">
        <f t="shared" si="4"/>
        <v>52.84695039005024</v>
      </c>
      <c r="P36" s="136">
        <f>населення!P37+льготи!P36+субсидии!P36+'держ.бюджет'!P36+'місц.-район.бюджет'!P36+обласной!P36+'госпрозрахунк.'!P36</f>
        <v>0</v>
      </c>
      <c r="Q36" s="136">
        <f>населення!Q37+льготи!Q36+субсидии!Q36+'держ.бюджет'!Q36+'місц.-район.бюджет'!Q36+обласной!Q36+'госпрозрахунк.'!Q36</f>
        <v>0</v>
      </c>
      <c r="R36" s="136" t="e">
        <f t="shared" si="5"/>
        <v>#DIV/0!</v>
      </c>
      <c r="S36" s="136">
        <f>населення!S37+льготи!S36+субсидии!S36+'держ.бюджет'!S36+'місц.-район.бюджет'!S36+обласной!S36+'госпрозрахунк.'!S36</f>
        <v>0</v>
      </c>
      <c r="T36" s="136">
        <f>населення!T37+льготи!T36+субсидии!T36+'держ.бюджет'!T36+'місц.-район.бюджет'!T36+обласной!T36+'госпрозрахунк.'!T36</f>
        <v>0</v>
      </c>
      <c r="U36" s="136" t="e">
        <f>T36/S36*100</f>
        <v>#DIV/0!</v>
      </c>
      <c r="V36" s="136">
        <f>населення!V37+льготи!V36+субсидии!V36+'держ.бюджет'!V36+'місц.-район.бюджет'!V36+обласной!V36+'госпрозрахунк.'!V36</f>
        <v>0</v>
      </c>
      <c r="W36" s="136">
        <f>населення!W37+льготи!W36+субсидии!W36+'держ.бюджет'!W36+'місц.-район.бюджет'!W36+обласной!W36+'госпрозрахунк.'!W36</f>
        <v>0</v>
      </c>
      <c r="X36" s="136" t="e">
        <f>W36/V36*100</f>
        <v>#DIV/0!</v>
      </c>
      <c r="Y36" s="136">
        <f>населення!Y37+льготи!Y36+субсидии!Y36+'держ.бюджет'!Y36+'місц.-район.бюджет'!Y36+обласной!Y36+'госпрозрахунк.'!Y36</f>
        <v>0</v>
      </c>
      <c r="Z36" s="136">
        <f>населення!Z37+льготи!Z36+субсидии!Z36+'держ.бюджет'!Z36+'місц.-район.бюджет'!Z36+обласной!Z36+'госпрозрахунк.'!Z36</f>
        <v>0</v>
      </c>
      <c r="AA36" s="136" t="e">
        <f t="shared" si="15"/>
        <v>#DIV/0!</v>
      </c>
      <c r="AB36" s="136">
        <f>населення!AB37+льготи!AB36+субсидии!AB36+'держ.бюджет'!AB36+'місц.-район.бюджет'!AB36+обласной!AB36+'госпрозрахунк.'!AB36</f>
        <v>0</v>
      </c>
      <c r="AC36" s="136">
        <f>населення!AC37+льготи!AC36+субсидии!AC36+'держ.бюджет'!AC36+'місц.-район.бюджет'!AC36+обласной!AC36+'госпрозрахунк.'!AC36</f>
        <v>0</v>
      </c>
      <c r="AD36" s="136" t="e">
        <f t="shared" si="6"/>
        <v>#DIV/0!</v>
      </c>
      <c r="AE36" s="136">
        <f>населення!AE37+льготи!AE36+субсидии!AE36+'держ.бюджет'!AE36+'місц.-район.бюджет'!AE36+обласной!AE36+'госпрозрахунк.'!AE36</f>
        <v>0</v>
      </c>
      <c r="AF36" s="136">
        <f>населення!AF37+льготи!AF36+субсидии!AF36+'держ.бюджет'!AF36+'місц.-район.бюджет'!AF36+обласной!AF36+'госпрозрахунк.'!AF36</f>
        <v>0</v>
      </c>
      <c r="AG36" s="136" t="e">
        <f t="shared" si="16"/>
        <v>#DIV/0!</v>
      </c>
      <c r="AH36" s="136">
        <f>населення!AH37+льготи!AH36+субсидии!AH36+'держ.бюджет'!AH36+'місц.-район.бюджет'!AH36+обласной!AH36+'госпрозрахунк.'!AH36</f>
        <v>0</v>
      </c>
      <c r="AI36" s="136">
        <f>населення!AI37+льготи!AI36+субсидии!AI36+'держ.бюджет'!AI36+'місц.-район.бюджет'!AI36+обласной!AI36+'госпрозрахунк.'!AI36</f>
        <v>0</v>
      </c>
      <c r="AJ36" s="136">
        <f>населення!AJ37+льготи!AJ36+субсидии!AJ36+'держ.бюджет'!AJ36+'місц.-район.бюджет'!AJ36+обласной!AJ36+'госпрозрахунк.'!AJ36</f>
        <v>0</v>
      </c>
      <c r="AK36" s="136">
        <f>населення!AK37+льготи!AK36+субсидии!AK36+'держ.бюджет'!AK36+'місц.-район.бюджет'!AK36+обласной!AK36+'госпрозрахунк.'!AK36</f>
        <v>0</v>
      </c>
      <c r="AL36" s="136" t="e">
        <f t="shared" si="7"/>
        <v>#DIV/0!</v>
      </c>
      <c r="AM36" s="136">
        <f>населення!AM37+льготи!AM36+субсидии!AM36+'держ.бюджет'!AM36+'місц.-район.бюджет'!AM36+обласной!AM36+'госпрозрахунк.'!AM36</f>
        <v>0</v>
      </c>
      <c r="AN36" s="136">
        <f>населення!AN37+льготи!AN36+субсидии!AN36+'держ.бюджет'!AN36+'місц.-район.бюджет'!AN36+обласной!AN36+'госпрозрахунк.'!AN36</f>
        <v>0</v>
      </c>
      <c r="AO36" s="136">
        <f>населення!AO37+льготи!AO36+субсидии!AO36+'держ.бюджет'!AO36+'місц.-район.бюджет'!AO36+обласной!AO36+'госпрозрахунк.'!AO36</f>
        <v>0</v>
      </c>
      <c r="AP36" s="136">
        <f>населення!AP37+льготи!AP36+субсидии!AP36+'держ.бюджет'!AP36+'місц.-район.бюджет'!AP36+обласной!AP36+'госпрозрахунк.'!AP36</f>
        <v>0</v>
      </c>
      <c r="AQ36" s="136">
        <f>населення!AR37+льготи!AQ36+субсидии!AQ36+'держ.бюджет'!AQ36+'місц.-район.бюджет'!AQ36+обласной!AQ36+'госпрозрахунк.'!AQ36</f>
        <v>0</v>
      </c>
      <c r="AR36" s="136">
        <f>населення!AS37+льготи!AR36+субсидии!AR36+'держ.бюджет'!AR36+'місц.-район.бюджет'!AR36+обласной!AR36+'госпрозрахунк.'!AR36</f>
        <v>0</v>
      </c>
      <c r="AS36" s="136">
        <f>населення!AT37+льготи!AS36+субсидии!AS36+'держ.бюджет'!AS36+'місц.-район.бюджет'!AS36+обласной!AS36+'госпрозрахунк.'!AS36</f>
        <v>3602.1000000000004</v>
      </c>
      <c r="AT36" s="136">
        <f>населення!AU37+льготи!AT36+субсидии!AT36+'держ.бюджет'!AT36+'місц.-район.бюджет'!AT36+обласной!AT36+'госпрозрахунк.'!AT36</f>
        <v>1903.6</v>
      </c>
      <c r="AU36" s="136">
        <f t="shared" si="8"/>
        <v>52.84695039005024</v>
      </c>
      <c r="AV36" s="136">
        <f>населення!AW37+льготи!AV36+субсидии!AV36+'держ.бюджет'!AV36+'місц.-район.бюджет'!AV36+обласной!AV36+'госпрозрахунк.'!AV36</f>
        <v>1698.5000000000002</v>
      </c>
      <c r="AW36" s="136">
        <f>населення!AX37+льготи!AW36+субсидии!AW36+'держ.бюджет'!AW36+'місц.-район.бюджет'!AW36+обласной!AW36+'госпрозрахунк.'!AW36</f>
        <v>1579.7000000000003</v>
      </c>
      <c r="AX36" s="136">
        <f t="shared" si="9"/>
        <v>3602.1000000000004</v>
      </c>
      <c r="AY36" s="136">
        <f t="shared" si="10"/>
        <v>1903.6</v>
      </c>
      <c r="AZ36" s="20">
        <f t="shared" si="11"/>
        <v>1698.5000000000005</v>
      </c>
      <c r="BA36" s="20">
        <f t="shared" si="12"/>
        <v>1579.7000000000003</v>
      </c>
    </row>
    <row r="37" spans="1:53" ht="34.5" customHeight="1">
      <c r="A37" s="19">
        <v>26</v>
      </c>
      <c r="B37" s="15" t="s">
        <v>51</v>
      </c>
      <c r="C37" s="136">
        <f>населення!C38+льготи!C37+субсидии!C37+'держ.бюджет'!C37+'місц.-район.бюджет'!C37+обласной!C37+'госпрозрахунк.'!C37</f>
        <v>13784.3</v>
      </c>
      <c r="D37" s="137">
        <f>населення!D38+льготи!D37+субсидии!D37+'держ.бюджет'!D37+'місц.-район.бюджет'!D37+обласной!D37+'госпрозрахунк.'!D37</f>
        <v>5413.8</v>
      </c>
      <c r="E37" s="137">
        <f>населення!E38+льготи!E37+субсидии!E37+'держ.бюджет'!E37+'місц.-район.бюджет'!E37+обласной!E37+'госпрозрахунк.'!E37</f>
        <v>4078.5000000000005</v>
      </c>
      <c r="F37" s="14">
        <f t="shared" si="3"/>
        <v>75.33525434999446</v>
      </c>
      <c r="G37" s="137">
        <f>населення!G38+льготи!G37+субсидии!G37+'держ.бюджет'!G37+'місц.-район.бюджет'!G37+обласной!G37+'госпрозрахунк.'!G37</f>
        <v>5144</v>
      </c>
      <c r="H37" s="137">
        <f>населення!H38+льготи!H37+субсидии!H37+'держ.бюджет'!H37+'місц.-район.бюджет'!H37+обласной!H37+'госпрозрахунк.'!H37</f>
        <v>4299.6</v>
      </c>
      <c r="I37" s="14">
        <f t="shared" si="14"/>
        <v>83.58475894245724</v>
      </c>
      <c r="J37" s="137">
        <f>населення!J38+льготи!J37+субсидии!J37+'держ.бюджет'!J37+'місц.-район.бюджет'!J37+обласной!J37+'госпрозрахунк.'!J37</f>
        <v>0</v>
      </c>
      <c r="K37" s="137">
        <f>населення!K38+льготи!K37+субсидии!K37+'держ.бюджет'!K37+'місц.-район.бюджет'!K37+обласной!K37+'госпрозрахунк.'!K37</f>
        <v>0</v>
      </c>
      <c r="L37" s="14" t="e">
        <f t="shared" si="1"/>
        <v>#DIV/0!</v>
      </c>
      <c r="M37" s="136">
        <f>населення!M38+льготи!M37+субсидии!M37+'держ.бюджет'!M37+'місц.-район.бюджет'!M37+обласной!M37+'госпрозрахунк.'!M37</f>
        <v>10557.800000000001</v>
      </c>
      <c r="N37" s="136">
        <f>населення!N38+льготи!N37+субсидии!N37+'держ.бюджет'!N37+'місц.-район.бюджет'!N37+обласной!N37+'госпрозрахунк.'!N37</f>
        <v>8378.1</v>
      </c>
      <c r="O37" s="136">
        <f t="shared" si="4"/>
        <v>79.3546003902328</v>
      </c>
      <c r="P37" s="136">
        <f>населення!P38+льготи!P37+субсидии!P37+'держ.бюджет'!P37+'місц.-район.бюджет'!P37+обласной!P37+'госпрозрахунк.'!P37</f>
        <v>0</v>
      </c>
      <c r="Q37" s="136">
        <f>населення!Q38+льготи!Q37+субсидии!Q37+'держ.бюджет'!Q37+'місц.-район.бюджет'!Q37+обласной!Q37+'госпрозрахунк.'!Q37</f>
        <v>0</v>
      </c>
      <c r="R37" s="136" t="e">
        <f t="shared" si="5"/>
        <v>#DIV/0!</v>
      </c>
      <c r="S37" s="136">
        <f>населення!S38+льготи!S37+субсидии!S37+'держ.бюджет'!S37+'місц.-район.бюджет'!S37+обласной!S37+'госпрозрахунк.'!S37</f>
        <v>0</v>
      </c>
      <c r="T37" s="136">
        <f>населення!T38+льготи!T37+субсидии!T37+'держ.бюджет'!T37+'місц.-район.бюджет'!T37+обласной!T37+'госпрозрахунк.'!T37</f>
        <v>0</v>
      </c>
      <c r="U37" s="136"/>
      <c r="V37" s="136">
        <f>населення!V38+льготи!V37+субсидии!V37+'держ.бюджет'!V37+'місц.-район.бюджет'!V37+обласной!V37+'госпрозрахунк.'!V37</f>
        <v>0</v>
      </c>
      <c r="W37" s="136">
        <f>населення!W38+льготи!W37+субсидии!W37+'держ.бюджет'!W37+'місц.-район.бюджет'!W37+обласной!W37+'госпрозрахунк.'!W37</f>
        <v>0</v>
      </c>
      <c r="X37" s="136"/>
      <c r="Y37" s="136">
        <f>населення!Y38+льготи!Y37+субсидии!Y37+'держ.бюджет'!Y37+'місц.-район.бюджет'!Y37+обласной!Y37+'госпрозрахунк.'!Y37</f>
        <v>0</v>
      </c>
      <c r="Z37" s="136">
        <f>населення!Z38+льготи!Z37+субсидии!Z37+'держ.бюджет'!Z37+'місц.-район.бюджет'!Z37+обласной!Z37+'госпрозрахунк.'!Z37</f>
        <v>0</v>
      </c>
      <c r="AA37" s="136" t="e">
        <f t="shared" si="15"/>
        <v>#DIV/0!</v>
      </c>
      <c r="AB37" s="136">
        <f>населення!AB38+льготи!AB37+субсидии!AB37+'держ.бюджет'!AB37+'місц.-район.бюджет'!AB37+обласной!AB37+'госпрозрахунк.'!AB37</f>
        <v>0</v>
      </c>
      <c r="AC37" s="136">
        <f>населення!AC38+льготи!AC37+субсидии!AC37+'держ.бюджет'!AC37+'місц.-район.бюджет'!AC37+обласной!AC37+'госпрозрахунк.'!AC37</f>
        <v>0</v>
      </c>
      <c r="AD37" s="99" t="e">
        <f t="shared" si="6"/>
        <v>#DIV/0!</v>
      </c>
      <c r="AE37" s="136">
        <f>населення!AE38+льготи!AE37+субсидии!AE37+'держ.бюджет'!AE37+'місц.-район.бюджет'!AE37+обласной!AE37+'госпрозрахунк.'!AE37</f>
        <v>0</v>
      </c>
      <c r="AF37" s="136">
        <f>населення!AF38+льготи!AF37+субсидии!AF37+'держ.бюджет'!AF37+'місц.-район.бюджет'!AF37+обласной!AF37+'госпрозрахунк.'!AF37</f>
        <v>0</v>
      </c>
      <c r="AG37" s="136" t="e">
        <f t="shared" si="16"/>
        <v>#DIV/0!</v>
      </c>
      <c r="AH37" s="136">
        <f>населення!AH38+льготи!AH37+субсидии!AH37+'держ.бюджет'!AH37+'місц.-район.бюджет'!AH37+обласной!AH37+'госпрозрахунк.'!AH37</f>
        <v>0</v>
      </c>
      <c r="AI37" s="136">
        <f>населення!AI38+льготи!AI37+субсидии!AI37+'держ.бюджет'!AI37+'місц.-район.бюджет'!AI37+обласной!AI37+'госпрозрахунк.'!AI37</f>
        <v>0</v>
      </c>
      <c r="AJ37" s="136">
        <f>населення!AJ38+льготи!AJ37+субсидии!AJ37+'держ.бюджет'!AJ37+'місц.-район.бюджет'!AJ37+обласной!AJ37+'госпрозрахунк.'!AJ37</f>
        <v>0</v>
      </c>
      <c r="AK37" s="136">
        <f>населення!AK38+льготи!AK37+субсидии!AK37+'держ.бюджет'!AK37+'місц.-район.бюджет'!AK37+обласной!AK37+'госпрозрахунк.'!AK37</f>
        <v>0</v>
      </c>
      <c r="AL37" s="136" t="e">
        <f t="shared" si="7"/>
        <v>#DIV/0!</v>
      </c>
      <c r="AM37" s="136">
        <f>населення!AM38+льготи!AM37+субсидии!AM37+'держ.бюджет'!AM37+'місц.-район.бюджет'!AM37+обласной!AM37+'госпрозрахунк.'!AM37</f>
        <v>0</v>
      </c>
      <c r="AN37" s="136">
        <f>населення!AN38+льготи!AN37+субсидии!AN37+'держ.бюджет'!AN37+'місц.-район.бюджет'!AN37+обласной!AN37+'госпрозрахунк.'!AN37</f>
        <v>0</v>
      </c>
      <c r="AO37" s="136">
        <f>населення!AO38+льготи!AO37+субсидии!AO37+'держ.бюджет'!AO37+'місц.-район.бюджет'!AO37+обласной!AO37+'госпрозрахунк.'!AO37</f>
        <v>0</v>
      </c>
      <c r="AP37" s="136">
        <f>населення!AP38+льготи!AP37+субсидии!AP37+'держ.бюджет'!AP37+'місц.-район.бюджет'!AP37+обласной!AP37+'госпрозрахунк.'!AP37</f>
        <v>0</v>
      </c>
      <c r="AQ37" s="136">
        <f>населення!AR38+льготи!AQ37+субсидии!AQ37+'держ.бюджет'!AQ37+'місц.-район.бюджет'!AQ37+обласной!AQ37+'госпрозрахунк.'!AQ37</f>
        <v>0</v>
      </c>
      <c r="AR37" s="136">
        <f>населення!AS38+льготи!AR37+субсидии!AR37+'держ.бюджет'!AR37+'місц.-район.бюджет'!AR37+обласной!AR37+'госпрозрахунк.'!AR37</f>
        <v>0</v>
      </c>
      <c r="AS37" s="136">
        <f>населення!AT38+льготи!AS37+субсидии!AS37+'держ.бюджет'!AS37+'місц.-район.бюджет'!AS37+обласной!AS37+'госпрозрахунк.'!AS37</f>
        <v>10557.800000000001</v>
      </c>
      <c r="AT37" s="136">
        <f>населення!AU38+льготи!AT37+субсидии!AT37+'держ.бюджет'!AT37+'місц.-район.бюджет'!AT37+обласной!AT37+'госпрозрахунк.'!AT37</f>
        <v>8378.1</v>
      </c>
      <c r="AU37" s="136">
        <f t="shared" si="8"/>
        <v>79.3546003902328</v>
      </c>
      <c r="AV37" s="136">
        <f>населення!AW38+льготи!AV37+субсидии!AV37+'держ.бюджет'!AV37+'місц.-район.бюджет'!AV37+обласной!AV37+'госпрозрахунк.'!AV37</f>
        <v>2179.7000000000007</v>
      </c>
      <c r="AW37" s="136">
        <f>населення!AX38+льготи!AW37+субсидии!AW37+'держ.бюджет'!AW37+'місц.-район.бюджет'!AW37+обласной!AW37+'госпрозрахунк.'!AW37</f>
        <v>15964.000000000004</v>
      </c>
      <c r="AX37" s="136">
        <f t="shared" si="9"/>
        <v>10557.800000000001</v>
      </c>
      <c r="AY37" s="136">
        <f t="shared" si="10"/>
        <v>8378.1</v>
      </c>
      <c r="AZ37" s="20">
        <f t="shared" si="11"/>
        <v>2179.7000000000007</v>
      </c>
      <c r="BA37" s="20">
        <f t="shared" si="12"/>
        <v>15963.999999999998</v>
      </c>
    </row>
    <row r="38" spans="1:53" ht="34.5" customHeight="1">
      <c r="A38" s="19">
        <v>27</v>
      </c>
      <c r="B38" s="104" t="s">
        <v>52</v>
      </c>
      <c r="C38" s="136">
        <f>населення!C39+льготи!C38+субсидии!C38+'держ.бюджет'!C38+'місц.-район.бюджет'!C38+обласной!C38+'госпрозрахунк.'!C38</f>
        <v>-221.20000000000005</v>
      </c>
      <c r="D38" s="137">
        <f>населення!D39+льготи!D38+субсидии!D38+'держ.бюджет'!D38+'місц.-район.бюджет'!D38+обласной!D38+'госпрозрахунк.'!D38</f>
        <v>3391.1</v>
      </c>
      <c r="E38" s="137">
        <f>населення!E39+льготи!E38+субсидии!E38+'держ.бюджет'!E38+'місц.-район.бюджет'!E38+обласной!E38+'госпрозрахунк.'!E38</f>
        <v>2426</v>
      </c>
      <c r="F38" s="14">
        <f t="shared" si="3"/>
        <v>71.54020819203208</v>
      </c>
      <c r="G38" s="137">
        <f>населення!G39+льготи!G38+субсидии!G38+'держ.бюджет'!G38+'місц.-район.бюджет'!G38+обласной!G38+'госпрозрахунк.'!G38</f>
        <v>3496.5000000000005</v>
      </c>
      <c r="H38" s="137">
        <f>населення!H39+льготи!H38+субсидии!H38+'держ.бюджет'!H38+'місц.-район.бюджет'!H38+обласной!H38+'госпрозрахунк.'!H38</f>
        <v>3299.1</v>
      </c>
      <c r="I38" s="14">
        <f t="shared" si="14"/>
        <v>94.35435435435434</v>
      </c>
      <c r="J38" s="137">
        <f>населення!J39+льготи!J38+субсидии!J38+'держ.бюджет'!J38+'місц.-район.бюджет'!J38+обласной!J38+'госпрозрахунк.'!J38</f>
        <v>0</v>
      </c>
      <c r="K38" s="137">
        <f>населення!K39+льготи!K38+субсидии!K38+'держ.бюджет'!K38+'місц.-район.бюджет'!K38+обласной!K38+'госпрозрахунк.'!K38</f>
        <v>0</v>
      </c>
      <c r="L38" s="14" t="e">
        <f t="shared" si="1"/>
        <v>#DIV/0!</v>
      </c>
      <c r="M38" s="136">
        <f>населення!M39+льготи!M38+субсидии!M38+'держ.бюджет'!M38+'місц.-район.бюджет'!M38+обласной!M38+'госпрозрахунк.'!M38</f>
        <v>6887.6</v>
      </c>
      <c r="N38" s="136">
        <f>населення!N39+льготи!N38+субсидии!N38+'держ.бюджет'!N38+'місц.-район.бюджет'!N38+обласной!N38+'госпрозрахунк.'!N38</f>
        <v>5725.099999999999</v>
      </c>
      <c r="O38" s="136">
        <f t="shared" si="4"/>
        <v>83.12184215111213</v>
      </c>
      <c r="P38" s="136">
        <f>населення!P39+льготи!P38+субсидии!P38+'держ.бюджет'!P38+'місц.-район.бюджет'!P38+обласной!P38+'госпрозрахунк.'!P38</f>
        <v>0</v>
      </c>
      <c r="Q38" s="136">
        <f>населення!Q39+льготи!Q38+субсидии!Q38+'держ.бюджет'!Q38+'місц.-район.бюджет'!Q38+обласной!Q38+'госпрозрахунк.'!Q38</f>
        <v>0</v>
      </c>
      <c r="R38" s="136" t="e">
        <f t="shared" si="5"/>
        <v>#DIV/0!</v>
      </c>
      <c r="S38" s="136">
        <f>населення!S39+льготи!S38+субсидии!S38+'держ.бюджет'!S38+'місц.-район.бюджет'!S38+обласной!S38+'госпрозрахунк.'!S38</f>
        <v>0</v>
      </c>
      <c r="T38" s="136">
        <f>населення!T39+льготи!T38+субсидии!T38+'держ.бюджет'!T38+'місц.-район.бюджет'!T38+обласной!T38+'госпрозрахунк.'!T38</f>
        <v>0</v>
      </c>
      <c r="U38" s="136"/>
      <c r="V38" s="136">
        <f>населення!V39+льготи!V38+субсидии!V38+'держ.бюджет'!V38+'місц.-район.бюджет'!V38+обласной!V38+'госпрозрахунк.'!V38</f>
        <v>0</v>
      </c>
      <c r="W38" s="136">
        <f>населення!W39+льготи!W38+субсидии!W38+'держ.бюджет'!W38+'місц.-район.бюджет'!W38+обласной!W38+'госпрозрахунк.'!W38</f>
        <v>0</v>
      </c>
      <c r="X38" s="136"/>
      <c r="Y38" s="136">
        <f>населення!Y39+льготи!Y38+субсидии!Y38+'держ.бюджет'!Y38+'місц.-район.бюджет'!Y38+обласной!Y38+'госпрозрахунк.'!Y38</f>
        <v>0</v>
      </c>
      <c r="Z38" s="136">
        <f>населення!Z39+льготи!Z38+субсидии!Z38+'держ.бюджет'!Z38+'місц.-район.бюджет'!Z38+обласной!Z38+'госпрозрахунк.'!Z38</f>
        <v>0</v>
      </c>
      <c r="AA38" s="136" t="e">
        <f t="shared" si="15"/>
        <v>#DIV/0!</v>
      </c>
      <c r="AB38" s="136">
        <f>населення!AB39+льготи!AB38+субсидии!AB38+'держ.бюджет'!AB38+'місц.-район.бюджет'!AB38+обласной!AB38+'госпрозрахунк.'!AB38</f>
        <v>0</v>
      </c>
      <c r="AC38" s="136">
        <f>населення!AC39+льготи!AC38+субсидии!AC38+'держ.бюджет'!AC38+'місц.-район.бюджет'!AC38+обласной!AC38+'госпрозрахунк.'!AC38</f>
        <v>0</v>
      </c>
      <c r="AD38" s="99" t="e">
        <f t="shared" si="6"/>
        <v>#DIV/0!</v>
      </c>
      <c r="AE38" s="136">
        <f>населення!AE39+льготи!AE38+субсидии!AE38+'держ.бюджет'!AE38+'місц.-район.бюджет'!AE38+обласной!AE38+'госпрозрахунк.'!AE38</f>
        <v>0</v>
      </c>
      <c r="AF38" s="136">
        <f>населення!AF39+льготи!AF38+субсидии!AF38+'держ.бюджет'!AF38+'місц.-район.бюджет'!AF38+обласной!AF38+'госпрозрахунк.'!AF38</f>
        <v>0</v>
      </c>
      <c r="AG38" s="99" t="e">
        <f t="shared" si="16"/>
        <v>#DIV/0!</v>
      </c>
      <c r="AH38" s="136">
        <f>населення!AH39+льготи!AH38+субсидии!AH38+'держ.бюджет'!AH38+'місц.-район.бюджет'!AH38+обласной!AH38+'госпрозрахунк.'!AH38</f>
        <v>0</v>
      </c>
      <c r="AI38" s="136">
        <f>населення!AI39+льготи!AI38+субсидии!AI38+'держ.бюджет'!AI38+'місц.-район.бюджет'!AI38+обласной!AI38+'госпрозрахунк.'!AI38</f>
        <v>0</v>
      </c>
      <c r="AJ38" s="136">
        <f>населення!AJ39+льготи!AJ38+субсидии!AJ38+'держ.бюджет'!AJ38+'місц.-район.бюджет'!AJ38+обласной!AJ38+'госпрозрахунк.'!AJ38</f>
        <v>0</v>
      </c>
      <c r="AK38" s="136">
        <f>населення!AK39+льготи!AK38+субсидии!AK38+'держ.бюджет'!AK38+'місц.-район.бюджет'!AK38+обласной!AK38+'госпрозрахунк.'!AK38</f>
        <v>0</v>
      </c>
      <c r="AL38" s="99" t="e">
        <f t="shared" si="7"/>
        <v>#DIV/0!</v>
      </c>
      <c r="AM38" s="136">
        <f>населення!AM39+льготи!AM38+субсидии!AM38+'держ.бюджет'!AM38+'місц.-район.бюджет'!AM38+обласной!AM38+'госпрозрахунк.'!AM38</f>
        <v>0</v>
      </c>
      <c r="AN38" s="136">
        <f>населення!AN39+льготи!AN38+субсидии!AN38+'держ.бюджет'!AN38+'місц.-район.бюджет'!AN38+обласной!AN38+'госпрозрахунк.'!AN38</f>
        <v>0</v>
      </c>
      <c r="AO38" s="136">
        <f>населення!AO39+льготи!AO38+субсидии!AO38+'держ.бюджет'!AO38+'місц.-район.бюджет'!AO38+обласной!AO38+'госпрозрахунк.'!AO38</f>
        <v>0</v>
      </c>
      <c r="AP38" s="136">
        <f>населення!AP39+льготи!AP38+субсидии!AP38+'держ.бюджет'!AP38+'місц.-район.бюджет'!AP38+обласной!AP38+'госпрозрахунк.'!AP38</f>
        <v>0</v>
      </c>
      <c r="AQ38" s="136">
        <f>населення!AR39+льготи!AQ38+субсидии!AQ38+'держ.бюджет'!AQ38+'місц.-район.бюджет'!AQ38+обласной!AQ38+'госпрозрахунк.'!AQ38</f>
        <v>0</v>
      </c>
      <c r="AR38" s="136">
        <f>населення!AS39+льготи!AR38+субсидии!AR38+'держ.бюджет'!AR38+'місц.-район.бюджет'!AR38+обласной!AR38+'госпрозрахунк.'!AR38</f>
        <v>0</v>
      </c>
      <c r="AS38" s="136">
        <f>населення!AT39+льготи!AS38+субсидии!AS38+'держ.бюджет'!AS38+'місц.-район.бюджет'!AS38+обласной!AS38+'госпрозрахунк.'!AS38</f>
        <v>6887.6</v>
      </c>
      <c r="AT38" s="136">
        <f>населення!AU39+льготи!AT38+субсидии!AT38+'держ.бюджет'!AT38+'місц.-район.бюджет'!AT38+обласной!AT38+'госпрозрахунк.'!AT38</f>
        <v>5725.099999999999</v>
      </c>
      <c r="AU38" s="136">
        <f t="shared" si="8"/>
        <v>83.12184215111213</v>
      </c>
      <c r="AV38" s="136">
        <f>населення!AW39+льготи!AV38+субсидии!AV38+'держ.бюджет'!AV38+'місц.-район.бюджет'!AV38+обласной!AV38+'госпрозрахунк.'!AV38</f>
        <v>1162.4999999999995</v>
      </c>
      <c r="AW38" s="136">
        <f>населення!AX39+льготи!AW38+субсидии!AW38+'держ.бюджет'!AW38+'місц.-район.бюджет'!AW38+обласной!AW38+'госпрозрахунк.'!AW38</f>
        <v>941.3000000000002</v>
      </c>
      <c r="AX38" s="136">
        <f t="shared" si="9"/>
        <v>6887.6</v>
      </c>
      <c r="AY38" s="136">
        <f t="shared" si="10"/>
        <v>5725.099999999999</v>
      </c>
      <c r="AZ38" s="20">
        <f t="shared" si="11"/>
        <v>1162.500000000001</v>
      </c>
      <c r="BA38" s="20">
        <f t="shared" si="12"/>
        <v>941.3000000000011</v>
      </c>
    </row>
    <row r="39" spans="1:53" ht="34.5" customHeight="1">
      <c r="A39" s="19">
        <v>28</v>
      </c>
      <c r="B39" s="105" t="s">
        <v>53</v>
      </c>
      <c r="C39" s="136">
        <f>населення!C40+льготи!C39+субсидии!C39+'держ.бюджет'!C39+'місц.-район.бюджет'!C39+обласной!C39+'госпрозрахунк.'!C39</f>
        <v>36098.799999999996</v>
      </c>
      <c r="D39" s="137">
        <f>населення!D40+льготи!D39+субсидии!D39+'держ.бюджет'!D39+'місц.-район.бюджет'!D39+обласной!D39+'госпрозрахунк.'!D39</f>
        <v>16887.600000000002</v>
      </c>
      <c r="E39" s="137">
        <f>населення!E40+льготи!E39+субсидии!E39+'держ.бюджет'!E39+'місц.-район.бюджет'!E39+обласной!E39+'госпрозрахунк.'!E39</f>
        <v>10736.6</v>
      </c>
      <c r="F39" s="14">
        <f t="shared" si="3"/>
        <v>63.576825599848405</v>
      </c>
      <c r="G39" s="137">
        <f>населення!G40+льготи!G39+субсидии!G39+'держ.бюджет'!G39+'місц.-район.бюджет'!G39+обласной!G39+'госпрозрахунк.'!G39</f>
        <v>15335.499999999998</v>
      </c>
      <c r="H39" s="137">
        <f>населення!H40+льготи!H39+субсидии!H39+'держ.бюджет'!H39+'місц.-район.бюджет'!H39+обласной!H39+'госпрозрахунк.'!H39</f>
        <v>13827.6</v>
      </c>
      <c r="I39" s="14">
        <f t="shared" si="14"/>
        <v>90.16725897427538</v>
      </c>
      <c r="J39" s="137">
        <f>населення!J40+льготи!J39+субсидии!J39+'держ.бюджет'!J39+'місц.-район.бюджет'!J39+обласной!J39+'госпрозрахунк.'!J39</f>
        <v>0</v>
      </c>
      <c r="K39" s="137">
        <f>населення!K40+льготи!K39+субсидии!K39+'держ.бюджет'!K39+'місц.-район.бюджет'!K39+обласной!K39+'госпрозрахунк.'!K39</f>
        <v>0</v>
      </c>
      <c r="L39" s="14" t="e">
        <f t="shared" si="1"/>
        <v>#DIV/0!</v>
      </c>
      <c r="M39" s="136">
        <f>населення!M40+льготи!M39+субсидии!M39+'держ.бюджет'!M39+'місц.-район.бюджет'!M39+обласной!M39+'госпрозрахунк.'!M39</f>
        <v>32223.100000000002</v>
      </c>
      <c r="N39" s="136">
        <f>населення!N40+льготи!N39+субсидии!N39+'держ.бюджет'!N39+'місц.-район.бюджет'!N39+обласной!N39+'госпрозрахунк.'!N39</f>
        <v>24564.2</v>
      </c>
      <c r="O39" s="136">
        <f t="shared" si="4"/>
        <v>76.2316474827065</v>
      </c>
      <c r="P39" s="136">
        <f>населення!P40+льготи!P39+субсидии!P39+'держ.бюджет'!P39+'місц.-район.бюджет'!P39+обласной!P39+'госпрозрахунк.'!P39</f>
        <v>0</v>
      </c>
      <c r="Q39" s="136">
        <f>населення!Q40+льготи!Q39+субсидии!Q39+'держ.бюджет'!Q39+'місц.-район.бюджет'!Q39+обласной!Q39+'госпрозрахунк.'!Q39</f>
        <v>0</v>
      </c>
      <c r="R39" s="136" t="e">
        <f t="shared" si="5"/>
        <v>#DIV/0!</v>
      </c>
      <c r="S39" s="136">
        <f>населення!S40+льготи!S39+субсидии!S39+'держ.бюджет'!S39+'місц.-район.бюджет'!S39+обласной!S39+'госпрозрахунк.'!S39</f>
        <v>0</v>
      </c>
      <c r="T39" s="136">
        <f>населення!T40+льготи!T39+субсидии!T39+'держ.бюджет'!T39+'місц.-район.бюджет'!T39+обласной!T39+'госпрозрахунк.'!T39</f>
        <v>0</v>
      </c>
      <c r="U39" s="136" t="e">
        <f>T39/S39*100</f>
        <v>#DIV/0!</v>
      </c>
      <c r="V39" s="136">
        <f>населення!V40+льготи!V39+субсидии!V39+'держ.бюджет'!V39+'місц.-район.бюджет'!V39+обласной!V39+'госпрозрахунк.'!V39</f>
        <v>0</v>
      </c>
      <c r="W39" s="136">
        <f>населення!W40+льготи!W39+субсидии!W39+'держ.бюджет'!W39+'місц.-район.бюджет'!W39+обласной!W39+'госпрозрахунк.'!W39</f>
        <v>0</v>
      </c>
      <c r="X39" s="136" t="e">
        <f>W39/V39*100</f>
        <v>#DIV/0!</v>
      </c>
      <c r="Y39" s="136">
        <f>населення!Y40+льготи!Y39+субсидии!Y39+'держ.бюджет'!Y39+'місц.-район.бюджет'!Y39+обласной!Y39+'госпрозрахунк.'!Y39</f>
        <v>0</v>
      </c>
      <c r="Z39" s="136">
        <f>населення!Z40+льготи!Z39+субсидии!Z39+'держ.бюджет'!Z39+'місц.-район.бюджет'!Z39+обласной!Z39+'госпрозрахунк.'!Z39</f>
        <v>0</v>
      </c>
      <c r="AA39" s="136" t="e">
        <f t="shared" si="15"/>
        <v>#DIV/0!</v>
      </c>
      <c r="AB39" s="136">
        <f>населення!AB40+льготи!AB39+субсидии!AB39+'держ.бюджет'!AB39+'місц.-район.бюджет'!AB39+обласной!AB39+'госпрозрахунк.'!AB39</f>
        <v>0</v>
      </c>
      <c r="AC39" s="136">
        <f>населення!AC40+льготи!AC39+субсидии!AC39+'держ.бюджет'!AC39+'місц.-район.бюджет'!AC39+обласной!AC39+'госпрозрахунк.'!AC39</f>
        <v>0</v>
      </c>
      <c r="AD39" s="136" t="e">
        <f t="shared" si="6"/>
        <v>#DIV/0!</v>
      </c>
      <c r="AE39" s="136">
        <f>населення!AE40+льготи!AE39+субсидии!AE39+'держ.бюджет'!AE39+'місц.-район.бюджет'!AE39+обласной!AE39+'госпрозрахунк.'!AE39</f>
        <v>0</v>
      </c>
      <c r="AF39" s="136">
        <f>населення!AF40+льготи!AF39+субсидии!AF39+'держ.бюджет'!AF39+'місц.-район.бюджет'!AF39+обласной!AF39+'госпрозрахунк.'!AF39</f>
        <v>0</v>
      </c>
      <c r="AG39" s="136" t="e">
        <f t="shared" si="16"/>
        <v>#DIV/0!</v>
      </c>
      <c r="AH39" s="136">
        <f>населення!AH40+льготи!AH39+субсидии!AH39+'держ.бюджет'!AH39+'місц.-район.бюджет'!AH39+обласной!AH39+'госпрозрахунк.'!AH39</f>
        <v>0</v>
      </c>
      <c r="AI39" s="136">
        <f>населення!AI40+льготи!AI39+субсидии!AI39+'держ.бюджет'!AI39+'місц.-район.бюджет'!AI39+обласной!AI39+'госпрозрахунк.'!AI39</f>
        <v>0</v>
      </c>
      <c r="AJ39" s="136">
        <f>населення!AJ40+льготи!AJ39+субсидии!AJ39+'держ.бюджет'!AJ39+'місц.-район.бюджет'!AJ39+обласной!AJ39+'госпрозрахунк.'!AJ39</f>
        <v>0</v>
      </c>
      <c r="AK39" s="136">
        <f>населення!AK40+льготи!AK39+субсидии!AK39+'держ.бюджет'!AK39+'місц.-район.бюджет'!AK39+обласной!AK39+'госпрозрахунк.'!AK39</f>
        <v>0</v>
      </c>
      <c r="AL39" s="99" t="e">
        <f t="shared" si="7"/>
        <v>#DIV/0!</v>
      </c>
      <c r="AM39" s="136">
        <f>населення!AM40+льготи!AM39+субсидии!AM39+'держ.бюджет'!AM39+'місц.-район.бюджет'!AM39+обласной!AM39+'госпрозрахунк.'!AM39</f>
        <v>0</v>
      </c>
      <c r="AN39" s="136">
        <f>населення!AN40+льготи!AN39+субсидии!AN39+'держ.бюджет'!AN39+'місц.-район.бюджет'!AN39+обласной!AN39+'госпрозрахунк.'!AN39</f>
        <v>0</v>
      </c>
      <c r="AO39" s="136">
        <f>населення!AO40+льготи!AO39+субсидии!AO39+'держ.бюджет'!AO39+'місц.-район.бюджет'!AO39+обласной!AO39+'госпрозрахунк.'!AO39</f>
        <v>0</v>
      </c>
      <c r="AP39" s="136">
        <f>населення!AP40+льготи!AP39+субсидии!AP39+'держ.бюджет'!AP39+'місц.-район.бюджет'!AP39+обласной!AP39+'госпрозрахунк.'!AP39</f>
        <v>0</v>
      </c>
      <c r="AQ39" s="136">
        <f>населення!AR40+льготи!AQ39+субсидии!AQ39+'держ.бюджет'!AQ39+'місц.-район.бюджет'!AQ39+обласной!AQ39+'госпрозрахунк.'!AQ39</f>
        <v>0</v>
      </c>
      <c r="AR39" s="136">
        <f>населення!AS40+льготи!AR39+субсидии!AR39+'держ.бюджет'!AR39+'місц.-район.бюджет'!AR39+обласной!AR39+'госпрозрахунк.'!AR39</f>
        <v>0</v>
      </c>
      <c r="AS39" s="136">
        <f>населення!AT40+льготи!AS39+субсидии!AS39+'держ.бюджет'!AS39+'місц.-район.бюджет'!AS39+обласной!AS39+'госпрозрахунк.'!AS39</f>
        <v>32223.100000000002</v>
      </c>
      <c r="AT39" s="136">
        <f>населення!AU40+льготи!AT39+субсидии!AT39+'держ.бюджет'!AT39+'місц.-район.бюджет'!AT39+обласной!AT39+'госпрозрахунк.'!AT39</f>
        <v>24564.2</v>
      </c>
      <c r="AU39" s="136">
        <f t="shared" si="8"/>
        <v>76.2316474827065</v>
      </c>
      <c r="AV39" s="136">
        <f>населення!AW40+льготи!AV39+субсидии!AV39+'держ.бюджет'!AV39+'місц.-район.бюджет'!AV39+обласной!AV39+'госпрозрахунк.'!AV39</f>
        <v>7658.9000000000015</v>
      </c>
      <c r="AW39" s="136">
        <f>населення!AX40+льготи!AW39+субсидии!AW39+'держ.бюджет'!AW39+'місц.-район.бюджет'!AW39+обласной!AW39+'госпрозрахунк.'!AW39</f>
        <v>43757.7</v>
      </c>
      <c r="AX39" s="136">
        <f t="shared" si="9"/>
        <v>32223.100000000002</v>
      </c>
      <c r="AY39" s="136">
        <f t="shared" si="10"/>
        <v>24564.2</v>
      </c>
      <c r="AZ39" s="20">
        <f t="shared" si="11"/>
        <v>7658.9000000000015</v>
      </c>
      <c r="BA39" s="20">
        <f t="shared" si="12"/>
        <v>43757.7</v>
      </c>
    </row>
    <row r="40" spans="1:53" ht="34.5" customHeight="1">
      <c r="A40" s="19">
        <v>29</v>
      </c>
      <c r="B40" s="105" t="s">
        <v>54</v>
      </c>
      <c r="C40" s="136">
        <f>населення!C41+льготи!C40+субсидии!C40+'держ.бюджет'!C40+'місц.-район.бюджет'!C40+обласной!C40+'госпрозрахунк.'!C40</f>
        <v>35246.5</v>
      </c>
      <c r="D40" s="137">
        <f>населення!D41+льготи!D40+субсидии!D40+'держ.бюджет'!D40+'місц.-район.бюджет'!D40+обласной!D40+'госпрозрахунк.'!D40</f>
        <v>19498.2</v>
      </c>
      <c r="E40" s="137">
        <f>населення!E41+льготи!E40+субсидии!E40+'держ.бюджет'!E40+'місц.-район.бюджет'!E40+обласной!E40+'госпрозрахунк.'!E40</f>
        <v>8464.099999999999</v>
      </c>
      <c r="F40" s="14">
        <f t="shared" si="3"/>
        <v>43.409648070078255</v>
      </c>
      <c r="G40" s="137">
        <f>населення!G41+льготи!G40+субсидии!G40+'держ.бюджет'!G40+'місц.-район.бюджет'!G40+обласной!G40+'госпрозрахунк.'!G40</f>
        <v>17057.6</v>
      </c>
      <c r="H40" s="137">
        <f>населення!H41+льготи!H40+субсидии!H40+'держ.бюджет'!H40+'місц.-район.бюджет'!H40+обласной!H40+'госпрозрахунк.'!H40</f>
        <v>16067.499999999998</v>
      </c>
      <c r="I40" s="14">
        <f t="shared" si="14"/>
        <v>94.19554919801143</v>
      </c>
      <c r="J40" s="137">
        <f>населення!J41+льготи!J40+субсидии!J40+'держ.бюджет'!J40+'місц.-район.бюджет'!J40+обласной!J40+'госпрозрахунк.'!J40</f>
        <v>0</v>
      </c>
      <c r="K40" s="137">
        <f>населення!K41+льготи!K40+субсидии!K40+'держ.бюджет'!K40+'місц.-район.бюджет'!K40+обласной!K40+'госпрозрахунк.'!K40</f>
        <v>0</v>
      </c>
      <c r="L40" s="14" t="e">
        <f t="shared" si="1"/>
        <v>#DIV/0!</v>
      </c>
      <c r="M40" s="136">
        <f>населення!M41+льготи!M40+субсидии!M40+'держ.бюджет'!M40+'місц.-район.бюджет'!M40+обласной!M40+'госпрозрахунк.'!M40</f>
        <v>36555.8</v>
      </c>
      <c r="N40" s="136">
        <f>населення!N41+льготи!N40+субсидии!N40+'держ.бюджет'!N40+'місц.-район.бюджет'!N40+обласной!N40+'госпрозрахунк.'!N40</f>
        <v>24531.6</v>
      </c>
      <c r="O40" s="136">
        <f t="shared" si="4"/>
        <v>67.10727162310768</v>
      </c>
      <c r="P40" s="136">
        <f>населення!P41+льготи!P40+субсидии!P40+'держ.бюджет'!P40+'місц.-район.бюджет'!P40+обласной!P40+'госпрозрахунк.'!P40</f>
        <v>0</v>
      </c>
      <c r="Q40" s="136">
        <f>населення!Q41+льготи!Q40+субсидии!Q40+'держ.бюджет'!Q40+'місц.-район.бюджет'!Q40+обласной!Q40+'госпрозрахунк.'!Q40</f>
        <v>0</v>
      </c>
      <c r="R40" s="136" t="e">
        <f t="shared" si="5"/>
        <v>#DIV/0!</v>
      </c>
      <c r="S40" s="136">
        <f>населення!S41+льготи!S40+субсидии!S40+'держ.бюджет'!S40+'місц.-район.бюджет'!S40+обласной!S40+'госпрозрахунк.'!S40</f>
        <v>0</v>
      </c>
      <c r="T40" s="136">
        <f>населення!T41+льготи!T40+субсидии!T40+'держ.бюджет'!T40+'місц.-район.бюджет'!T40+обласной!T40+'госпрозрахунк.'!T40</f>
        <v>0</v>
      </c>
      <c r="U40" s="136" t="e">
        <f>T40/S40*100</f>
        <v>#DIV/0!</v>
      </c>
      <c r="V40" s="136">
        <f>населення!V41+льготи!V40+субсидии!V40+'держ.бюджет'!V40+'місц.-район.бюджет'!V40+обласной!V40+'госпрозрахунк.'!V40</f>
        <v>0</v>
      </c>
      <c r="W40" s="136">
        <f>населення!W41+льготи!W40+субсидии!W40+'держ.бюджет'!W40+'місц.-район.бюджет'!W40+обласной!W40+'госпрозрахунк.'!W40</f>
        <v>0</v>
      </c>
      <c r="X40" s="99" t="e">
        <f>W40/V40*100</f>
        <v>#DIV/0!</v>
      </c>
      <c r="Y40" s="136">
        <f>населення!Y41+льготи!Y40+субсидии!Y40+'держ.бюджет'!Y40+'місц.-район.бюджет'!Y40+обласной!Y40+'госпрозрахунк.'!Y40</f>
        <v>0</v>
      </c>
      <c r="Z40" s="136">
        <f>населення!Z41+льготи!Z40+субсидии!Z40+'держ.бюджет'!Z40+'місц.-район.бюджет'!Z40+обласной!Z40+'госпрозрахунк.'!Z40</f>
        <v>0</v>
      </c>
      <c r="AA40" s="136" t="e">
        <f t="shared" si="15"/>
        <v>#DIV/0!</v>
      </c>
      <c r="AB40" s="136">
        <f>населення!AB41+льготи!AB40+субсидии!AB40+'держ.бюджет'!AB40+'місц.-район.бюджет'!AB40+обласной!AB40+'госпрозрахунк.'!AB40</f>
        <v>0</v>
      </c>
      <c r="AC40" s="136">
        <f>населення!AC41+льготи!AC40+субсидии!AC40+'держ.бюджет'!AC40+'місц.-район.бюджет'!AC40+обласной!AC40+'госпрозрахунк.'!AC40</f>
        <v>0</v>
      </c>
      <c r="AD40" s="99" t="e">
        <f t="shared" si="6"/>
        <v>#DIV/0!</v>
      </c>
      <c r="AE40" s="136">
        <f>населення!AE41+льготи!AE40+субсидии!AE40+'держ.бюджет'!AE40+'місц.-район.бюджет'!AE40+обласной!AE40+'госпрозрахунк.'!AE40</f>
        <v>0</v>
      </c>
      <c r="AF40" s="136">
        <f>населення!AF41+льготи!AF40+субсидии!AF40+'держ.бюджет'!AF40+'місц.-район.бюджет'!AF40+обласной!AF40+'госпрозрахунк.'!AF40</f>
        <v>0</v>
      </c>
      <c r="AG40" s="99" t="e">
        <f t="shared" si="16"/>
        <v>#DIV/0!</v>
      </c>
      <c r="AH40" s="136">
        <f>населення!AH41+льготи!AH40+субсидии!AH40+'держ.бюджет'!AH40+'місц.-район.бюджет'!AH40+обласной!AH40+'госпрозрахунк.'!AH40</f>
        <v>0</v>
      </c>
      <c r="AI40" s="136">
        <f>населення!AI41+льготи!AI40+субсидии!AI40+'держ.бюджет'!AI40+'місц.-район.бюджет'!AI40+обласной!AI40+'госпрозрахунк.'!AI40</f>
        <v>0</v>
      </c>
      <c r="AJ40" s="136">
        <f>населення!AJ41+льготи!AJ40+субсидии!AJ40+'держ.бюджет'!AJ40+'місц.-район.бюджет'!AJ40+обласной!AJ40+'госпрозрахунк.'!AJ40</f>
        <v>0</v>
      </c>
      <c r="AK40" s="136">
        <f>населення!AK41+льготи!AK40+субсидии!AK40+'держ.бюджет'!AK40+'місц.-район.бюджет'!AK40+обласной!AK40+'госпрозрахунк.'!AK40</f>
        <v>0</v>
      </c>
      <c r="AL40" s="99" t="e">
        <f t="shared" si="7"/>
        <v>#DIV/0!</v>
      </c>
      <c r="AM40" s="136">
        <f>населення!AM41+льготи!AM40+субсидии!AM40+'держ.бюджет'!AM40+'місц.-район.бюджет'!AM40+обласной!AM40+'госпрозрахунк.'!AM40</f>
        <v>0</v>
      </c>
      <c r="AN40" s="136">
        <f>населення!AN41+льготи!AN40+субсидии!AN40+'держ.бюджет'!AN40+'місц.-район.бюджет'!AN40+обласной!AN40+'госпрозрахунк.'!AN40</f>
        <v>0</v>
      </c>
      <c r="AO40" s="136">
        <f>населення!AO41+льготи!AO40+субсидии!AO40+'держ.бюджет'!AO40+'місц.-район.бюджет'!AO40+обласной!AO40+'госпрозрахунк.'!AO40</f>
        <v>0</v>
      </c>
      <c r="AP40" s="136">
        <f>населення!AP41+льготи!AP40+субсидии!AP40+'держ.бюджет'!AP40+'місц.-район.бюджет'!AP40+обласной!AP40+'госпрозрахунк.'!AP40</f>
        <v>0</v>
      </c>
      <c r="AQ40" s="136">
        <f>населення!AR41+льготи!AQ40+субсидии!AQ40+'держ.бюджет'!AQ40+'місц.-район.бюджет'!AQ40+обласной!AQ40+'госпрозрахунк.'!AQ40</f>
        <v>0</v>
      </c>
      <c r="AR40" s="136">
        <f>населення!AS41+льготи!AR40+субсидии!AR40+'держ.бюджет'!AR40+'місц.-район.бюджет'!AR40+обласной!AR40+'госпрозрахунк.'!AR40</f>
        <v>0</v>
      </c>
      <c r="AS40" s="136">
        <f>населення!AT41+льготи!AS40+субсидии!AS40+'держ.бюджет'!AS40+'місц.-район.бюджет'!AS40+обласной!AS40+'госпрозрахунк.'!AS40</f>
        <v>36555.8</v>
      </c>
      <c r="AT40" s="136">
        <f>населення!AU41+льготи!AT40+субсидии!AT40+'держ.бюджет'!AT40+'місц.-район.бюджет'!AT40+обласной!AT40+'госпрозрахунк.'!AT40</f>
        <v>24531.6</v>
      </c>
      <c r="AU40" s="136">
        <f t="shared" si="8"/>
        <v>67.10727162310768</v>
      </c>
      <c r="AV40" s="136">
        <f>населення!AW41+льготи!AV40+субсидии!AV40+'держ.бюджет'!AV40+'місц.-район.бюджет'!AV40+обласной!AV40+'госпрозрахунк.'!AV40</f>
        <v>12024.200000000003</v>
      </c>
      <c r="AW40" s="136">
        <f>населення!AX41+льготи!AW40+субсидии!AW40+'держ.бюджет'!AW40+'місц.-район.бюджет'!AW40+обласной!AW40+'госпрозрахунк.'!AW40</f>
        <v>47270.7</v>
      </c>
      <c r="AX40" s="136">
        <f t="shared" si="9"/>
        <v>36555.8</v>
      </c>
      <c r="AY40" s="136">
        <f t="shared" si="10"/>
        <v>24531.6</v>
      </c>
      <c r="AZ40" s="20">
        <f t="shared" si="11"/>
        <v>12024.200000000004</v>
      </c>
      <c r="BA40" s="20">
        <f t="shared" si="12"/>
        <v>47270.700000000004</v>
      </c>
    </row>
    <row r="41" spans="1:53" ht="34.5" customHeight="1">
      <c r="A41" s="19">
        <v>30</v>
      </c>
      <c r="B41" s="105" t="s">
        <v>55</v>
      </c>
      <c r="C41" s="136">
        <f>населення!C42+льготи!C41+субсидии!C41+'держ.бюджет'!C41+'місц.-район.бюджет'!C41+обласной!C41+'госпрозрахунк.'!C41</f>
        <v>107342.6</v>
      </c>
      <c r="D41" s="137">
        <f>населення!D42+льготи!D41+субсидии!D41+'держ.бюджет'!D41+'місц.-район.бюджет'!D41+обласной!D41+'госпрозрахунк.'!D41</f>
        <v>47767.99999999999</v>
      </c>
      <c r="E41" s="137">
        <f>населення!E42+льготи!E41+субсидии!E41+'держ.бюджет'!E41+'місц.-район.бюджет'!E41+обласной!E41+'госпрозрахунк.'!E41</f>
        <v>27169.100000000002</v>
      </c>
      <c r="F41" s="14">
        <f t="shared" si="3"/>
        <v>56.8771981242673</v>
      </c>
      <c r="G41" s="137">
        <f>населення!G42+льготи!G41+субсидии!G41+'держ.бюджет'!G41+'місц.-район.бюджет'!G41+обласной!G41+'госпрозрахунк.'!G41</f>
        <v>38597.299999999996</v>
      </c>
      <c r="H41" s="137">
        <f>населення!H42+льготи!H41+субсидии!H41+'держ.бюджет'!H41+'місц.-район.бюджет'!H41+обласной!H41+'госпрозрахунк.'!H41</f>
        <v>34717.49999999999</v>
      </c>
      <c r="I41" s="14">
        <f t="shared" si="14"/>
        <v>89.94800154414945</v>
      </c>
      <c r="J41" s="137">
        <f>населення!J42+льготи!J41+субсидии!J41+'держ.бюджет'!J41+'місц.-район.бюджет'!J41+обласной!J41+'госпрозрахунк.'!J41</f>
        <v>0</v>
      </c>
      <c r="K41" s="137">
        <f>населення!K42+льготи!K41+субсидии!K41+'держ.бюджет'!K41+'місц.-район.бюджет'!K41+обласной!K41+'госпрозрахунк.'!K41</f>
        <v>0</v>
      </c>
      <c r="L41" s="14" t="e">
        <f t="shared" si="1"/>
        <v>#DIV/0!</v>
      </c>
      <c r="M41" s="136">
        <f>населення!M42+льготи!M41+субсидии!M41+'держ.бюджет'!M41+'місц.-район.бюджет'!M41+обласной!M41+'госпрозрахунк.'!M41</f>
        <v>86365.3</v>
      </c>
      <c r="N41" s="136">
        <f>населення!N42+льготи!N41+субсидии!N41+'держ.бюджет'!N41+'місц.-район.бюджет'!N41+обласной!N41+'госпрозрахунк.'!N41</f>
        <v>61886.6</v>
      </c>
      <c r="O41" s="136">
        <f t="shared" si="4"/>
        <v>71.65678808502952</v>
      </c>
      <c r="P41" s="136">
        <f>населення!P42+льготи!P41+субсидии!P41+'держ.бюджет'!P41+'місц.-район.бюджет'!P41+обласной!P41+'госпрозрахунк.'!P41</f>
        <v>0</v>
      </c>
      <c r="Q41" s="136">
        <f>населення!Q42+льготи!Q41+субсидии!Q41+'держ.бюджет'!Q41+'місц.-район.бюджет'!Q41+обласной!Q41+'госпрозрахунк.'!Q41</f>
        <v>0</v>
      </c>
      <c r="R41" s="136" t="e">
        <f t="shared" si="5"/>
        <v>#DIV/0!</v>
      </c>
      <c r="S41" s="136">
        <f>населення!S42+льготи!S41+субсидии!S41+'держ.бюджет'!S41+'місц.-район.бюджет'!S41+обласной!S41+'госпрозрахунк.'!S41</f>
        <v>0</v>
      </c>
      <c r="T41" s="136">
        <f>населення!T42+льготи!T41+субсидии!T41+'держ.бюджет'!T41+'місц.-район.бюджет'!T41+обласной!T41+'госпрозрахунк.'!T41</f>
        <v>0</v>
      </c>
      <c r="U41" s="136" t="e">
        <f>T41/S41*100</f>
        <v>#DIV/0!</v>
      </c>
      <c r="V41" s="136">
        <f>населення!V42+льготи!V41+субсидии!V41+'держ.бюджет'!V41+'місц.-район.бюджет'!V41+обласной!V41+'госпрозрахунк.'!V41</f>
        <v>0</v>
      </c>
      <c r="W41" s="136">
        <f>населення!W42+льготи!W41+субсидии!W41+'держ.бюджет'!W41+'місц.-район.бюджет'!W41+обласной!W41+'госпрозрахунк.'!W41</f>
        <v>0</v>
      </c>
      <c r="X41" s="136" t="e">
        <f>W41/V41*100</f>
        <v>#DIV/0!</v>
      </c>
      <c r="Y41" s="136">
        <f>населення!Y42+льготи!Y41+субсидии!Y41+'держ.бюджет'!Y41+'місц.-район.бюджет'!Y41+обласной!Y41+'госпрозрахунк.'!Y41</f>
        <v>0</v>
      </c>
      <c r="Z41" s="136">
        <f>населення!Z42+льготи!Z41+субсидии!Z41+'держ.бюджет'!Z41+'місц.-район.бюджет'!Z41+обласной!Z41+'госпрозрахунк.'!Z41</f>
        <v>0</v>
      </c>
      <c r="AA41" s="136" t="e">
        <f t="shared" si="15"/>
        <v>#DIV/0!</v>
      </c>
      <c r="AB41" s="136">
        <f>населення!AB42+льготи!AB41+субсидии!AB41+'держ.бюджет'!AB41+'місц.-район.бюджет'!AB41+обласной!AB41+'госпрозрахунк.'!AB41</f>
        <v>0</v>
      </c>
      <c r="AC41" s="136">
        <f>населення!AC42+льготи!AC41+субсидии!AC41+'держ.бюджет'!AC41+'місц.-район.бюджет'!AC41+обласной!AC41+'госпрозрахунк.'!AC41</f>
        <v>0</v>
      </c>
      <c r="AD41" s="136" t="e">
        <f t="shared" si="6"/>
        <v>#DIV/0!</v>
      </c>
      <c r="AE41" s="136">
        <f>населення!AE42+льготи!AE41+субсидии!AE41+'держ.бюджет'!AE41+'місц.-район.бюджет'!AE41+обласной!AE41+'госпрозрахунк.'!AE41</f>
        <v>0</v>
      </c>
      <c r="AF41" s="136">
        <f>населення!AF42+льготи!AF41+субсидии!AF41+'держ.бюджет'!AF41+'місц.-район.бюджет'!AF41+обласной!AF41+'госпрозрахунк.'!AF41</f>
        <v>0</v>
      </c>
      <c r="AG41" s="136" t="e">
        <f t="shared" si="16"/>
        <v>#DIV/0!</v>
      </c>
      <c r="AH41" s="136">
        <f>населення!AH42+льготи!AH41+субсидии!AH41+'держ.бюджет'!AH41+'місц.-район.бюджет'!AH41+обласной!AH41+'госпрозрахунк.'!AH41</f>
        <v>0</v>
      </c>
      <c r="AI41" s="136">
        <f>населення!AI42+льготи!AI41+субсидии!AI41+'держ.бюджет'!AI41+'місц.-район.бюджет'!AI41+обласной!AI41+'госпрозрахунк.'!AI41</f>
        <v>0</v>
      </c>
      <c r="AJ41" s="136">
        <f>населення!AJ42+льготи!AJ41+субсидии!AJ41+'держ.бюджет'!AJ41+'місц.-район.бюджет'!AJ41+обласной!AJ41+'госпрозрахунк.'!AJ41</f>
        <v>0</v>
      </c>
      <c r="AK41" s="136">
        <f>населення!AK42+льготи!AK41+субсидии!AK41+'держ.бюджет'!AK41+'місц.-район.бюджет'!AK41+обласной!AK41+'госпрозрахунк.'!AK41</f>
        <v>0</v>
      </c>
      <c r="AL41" s="99" t="e">
        <f t="shared" si="7"/>
        <v>#DIV/0!</v>
      </c>
      <c r="AM41" s="136">
        <f>населення!AM42+льготи!AM41+субсидии!AM41+'держ.бюджет'!AM41+'місц.-район.бюджет'!AM41+обласной!AM41+'госпрозрахунк.'!AM41</f>
        <v>0</v>
      </c>
      <c r="AN41" s="136">
        <f>населення!AN42+льготи!AN41+субсидии!AN41+'держ.бюджет'!AN41+'місц.-район.бюджет'!AN41+обласной!AN41+'госпрозрахунк.'!AN41</f>
        <v>0</v>
      </c>
      <c r="AO41" s="136">
        <f>населення!AO42+льготи!AO41+субсидии!AO41+'держ.бюджет'!AO41+'місц.-район.бюджет'!AO41+обласной!AO41+'госпрозрахунк.'!AO41</f>
        <v>0</v>
      </c>
      <c r="AP41" s="136">
        <f>населення!AP42+льготи!AP41+субсидии!AP41+'держ.бюджет'!AP41+'місц.-район.бюджет'!AP41+обласной!AP41+'госпрозрахунк.'!AP41</f>
        <v>0</v>
      </c>
      <c r="AQ41" s="136">
        <f>населення!AR42+льготи!AQ41+субсидии!AQ41+'держ.бюджет'!AQ41+'місц.-район.бюджет'!AQ41+обласной!AQ41+'госпрозрахунк.'!AQ41</f>
        <v>0</v>
      </c>
      <c r="AR41" s="136">
        <f>населення!AS42+льготи!AR41+субсидии!AR41+'держ.бюджет'!AR41+'місц.-район.бюджет'!AR41+обласной!AR41+'госпрозрахунк.'!AR41</f>
        <v>0</v>
      </c>
      <c r="AS41" s="136">
        <f>населення!AT42+льготи!AS41+субсидии!AS41+'держ.бюджет'!AS41+'місц.-район.бюджет'!AS41+обласной!AS41+'госпрозрахунк.'!AS41</f>
        <v>86365.3</v>
      </c>
      <c r="AT41" s="136">
        <f>населення!AU42+льготи!AT41+субсидии!AT41+'держ.бюджет'!AT41+'місц.-район.бюджет'!AT41+обласной!AT41+'госпрозрахунк.'!AT41</f>
        <v>61886.6</v>
      </c>
      <c r="AU41" s="136">
        <f t="shared" si="8"/>
        <v>71.65678808502952</v>
      </c>
      <c r="AV41" s="136">
        <f>населення!AW42+льготи!AV41+субсидии!AV41+'держ.бюджет'!AV41+'місц.-район.бюджет'!AV41+обласной!AV41+'госпрозрахунк.'!AV41</f>
        <v>24478.7</v>
      </c>
      <c r="AW41" s="136">
        <f>населення!AX42+льготи!AW41+субсидии!AW41+'держ.бюджет'!AW41+'місц.-район.бюджет'!AW41+обласной!AW41+'госпрозрахунк.'!AW41</f>
        <v>131821.30000000002</v>
      </c>
      <c r="AX41" s="136">
        <f t="shared" si="9"/>
        <v>86365.3</v>
      </c>
      <c r="AY41" s="136">
        <f t="shared" si="10"/>
        <v>61886.6</v>
      </c>
      <c r="AZ41" s="20">
        <f t="shared" si="11"/>
        <v>24478.700000000004</v>
      </c>
      <c r="BA41" s="20">
        <f t="shared" si="12"/>
        <v>131821.30000000002</v>
      </c>
    </row>
    <row r="42" spans="1:53" ht="37.5" customHeight="1">
      <c r="A42" s="19">
        <v>31</v>
      </c>
      <c r="B42" s="105" t="s">
        <v>56</v>
      </c>
      <c r="C42" s="99">
        <f>населення!C43+льготи!C42+субсидии!C42+'держ.бюджет'!C42+'місц.-район.бюджет'!C42+обласной!C42+'госпрозрахунк.'!C42</f>
        <v>0</v>
      </c>
      <c r="D42" s="114">
        <f>населення!D43+льготи!D42+субсидии!D42+'держ.бюджет'!D42+'місц.-район.бюджет'!D42+обласной!D42+'госпрозрахунк.'!D42</f>
        <v>0</v>
      </c>
      <c r="E42" s="114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14">
        <f>населення!G43+льготи!G42+субсидии!G42+'держ.бюджет'!G42+'місц.-район.бюджет'!G42+обласной!G42+'госпрозрахунк.'!G42</f>
        <v>0</v>
      </c>
      <c r="H42" s="114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14">
        <f>населення!J43+льготи!J42+субсидии!J42+'держ.бюджет'!J42+'місц.-район.бюджет'!J42+обласной!J42+'госпрозрахунк.'!J42</f>
        <v>0</v>
      </c>
      <c r="K42" s="114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99">
        <f>населення!M43+льготи!M42+субсидии!M42+'держ.бюджет'!M42+'місц.-район.бюджет'!M42+обласной!M42+'госпрозрахунк.'!M42</f>
        <v>0</v>
      </c>
      <c r="N42" s="99">
        <f>населення!N43+льготи!N42+субсидии!N42+'держ.бюджет'!N42+'місц.-район.бюджет'!N42+обласной!N42+'госпрозрахунк.'!N42</f>
        <v>0</v>
      </c>
      <c r="O42" s="99" t="e">
        <f t="shared" si="4"/>
        <v>#DIV/0!</v>
      </c>
      <c r="P42" s="99">
        <f>населення!P43+льготи!P42+субсидии!P42+'держ.бюджет'!P42+'місц.-район.бюджет'!P42+обласной!P42+'госпрозрахунк.'!P42</f>
        <v>0</v>
      </c>
      <c r="Q42" s="99">
        <f>населення!Q43+льготи!Q42+субсидии!Q42+'держ.бюджет'!Q42+'місц.-район.бюджет'!Q42+обласной!Q42+'госпрозрахунк.'!Q42</f>
        <v>0</v>
      </c>
      <c r="R42" s="99" t="e">
        <f t="shared" si="5"/>
        <v>#DIV/0!</v>
      </c>
      <c r="S42" s="99">
        <f>населення!S43+льготи!S42+субсидии!S42+'держ.бюджет'!S42+'місц.-район.бюджет'!S42+обласной!S42+'госпрозрахунк.'!S42</f>
        <v>0</v>
      </c>
      <c r="T42" s="99">
        <f>населення!T43+льготи!T42+субсидии!T42+'держ.бюджет'!T42+'місц.-район.бюджет'!T42+обласной!T42+'госпрозрахунк.'!T42</f>
        <v>0</v>
      </c>
      <c r="U42" s="99"/>
      <c r="V42" s="99">
        <f>населення!V43+льготи!V42+субсидии!V42+'держ.бюджет'!V42+'місц.-район.бюджет'!V42+обласной!V42+'госпрозрахунк.'!V42</f>
        <v>0</v>
      </c>
      <c r="W42" s="99">
        <f>населення!W43+льготи!W42+субсидии!W42+'держ.бюджет'!W42+'місц.-район.бюджет'!W42+обласной!W42+'госпрозрахунк.'!W42</f>
        <v>0</v>
      </c>
      <c r="X42" s="99"/>
      <c r="Y42" s="99">
        <f>населення!Y43+льготи!Y42+субсидии!Y42+'держ.бюджет'!Y42+'місц.-район.бюджет'!Y42+обласной!Y42+'госпрозрахунк.'!Y42</f>
        <v>0</v>
      </c>
      <c r="Z42" s="99">
        <f>населення!Z43+льготи!Z42+субсидии!Z42+'держ.бюджет'!Z42+'місц.-район.бюджет'!Z42+обласной!Z42+'госпрозрахунк.'!Z42</f>
        <v>0</v>
      </c>
      <c r="AA42" s="99" t="e">
        <f t="shared" si="15"/>
        <v>#DIV/0!</v>
      </c>
      <c r="AB42" s="99">
        <f>населення!AB43+льготи!AB42+субсидии!AB42+'держ.бюджет'!AB42+'місц.-район.бюджет'!AB42+обласной!AB42+'госпрозрахунк.'!AB42</f>
        <v>0</v>
      </c>
      <c r="AC42" s="99">
        <f>населення!AC43+льготи!AC42+субсидии!AC42+'держ.бюджет'!AC42+'місц.-район.бюджет'!AC42+обласной!AC42+'госпрозрахунк.'!AC42</f>
        <v>0</v>
      </c>
      <c r="AD42" s="136"/>
      <c r="AE42" s="99">
        <f>населення!AE43+льготи!AE42+субсидии!AE42+'держ.бюджет'!AE42+'місц.-район.бюджет'!AE42+обласной!AE42+'госпрозрахунк.'!AE42</f>
        <v>0</v>
      </c>
      <c r="AF42" s="99">
        <f>населення!AF43+льготи!AF42+субсидии!AF42+'держ.бюджет'!AF42+'місц.-район.бюджет'!AF42+обласной!AF42+'госпрозрахунк.'!AF42</f>
        <v>0</v>
      </c>
      <c r="AG42" s="99" t="e">
        <f t="shared" si="16"/>
        <v>#DIV/0!</v>
      </c>
      <c r="AH42" s="99">
        <f>населення!AH43+льготи!AH42+субсидии!AH42+'держ.бюджет'!AH42+'місц.-район.бюджет'!AH42+обласной!AH42+'госпрозрахунк.'!AH42</f>
        <v>0</v>
      </c>
      <c r="AI42" s="99">
        <f>населення!AI43+льготи!AI42+субсидии!AI42+'держ.бюджет'!AI42+'місц.-район.бюджет'!AI42+обласной!AI42+'госпрозрахунк.'!AI42</f>
        <v>0</v>
      </c>
      <c r="AJ42" s="99">
        <f>населення!AJ43+льготи!AJ42+субсидии!AJ42+'держ.бюджет'!AJ42+'місц.-район.бюджет'!AJ42+обласной!AJ42+'госпрозрахунк.'!AJ42</f>
        <v>0</v>
      </c>
      <c r="AK42" s="99">
        <f>населення!AK43+льготи!AK42+субсидии!AK42+'держ.бюджет'!AK42+'місц.-район.бюджет'!AK42+обласной!AK42+'госпрозрахунк.'!AK42</f>
        <v>0</v>
      </c>
      <c r="AL42" s="99" t="e">
        <f t="shared" si="7"/>
        <v>#DIV/0!</v>
      </c>
      <c r="AM42" s="99">
        <f>населення!AM43+льготи!AM42+субсидии!AM42+'держ.бюджет'!AM42+'місц.-район.бюджет'!AM42+обласной!AM42+'госпрозрахунк.'!AM42</f>
        <v>0</v>
      </c>
      <c r="AN42" s="99">
        <f>населення!AN43+льготи!AN42+субсидии!AN42+'держ.бюджет'!AN42+'місц.-район.бюджет'!AN42+обласной!AN42+'госпрозрахунк.'!AN42</f>
        <v>0</v>
      </c>
      <c r="AO42" s="99">
        <f>населення!AO43+льготи!AO42+субсидии!AO42+'держ.бюджет'!AO42+'місц.-район.бюджет'!AO42+обласной!AO42+'госпрозрахунк.'!AO42</f>
        <v>0</v>
      </c>
      <c r="AP42" s="99">
        <f>населення!AP43+льготи!AP42+субсидии!AP42+'держ.бюджет'!AP42+'місц.-район.бюджет'!AP42+обласной!AP42+'госпрозрахунк.'!AP42</f>
        <v>0</v>
      </c>
      <c r="AQ42" s="99">
        <f>населення!AR43+льготи!AQ42+субсидии!AQ42+'держ.бюджет'!AQ42+'місц.-район.бюджет'!AQ42+обласной!AQ42+'госпрозрахунк.'!AQ42</f>
        <v>0</v>
      </c>
      <c r="AR42" s="99">
        <f>населення!AS43+льготи!AR42+субсидии!AR42+'держ.бюджет'!AR42+'місц.-район.бюджет'!AR42+обласной!AR42+'госпрозрахунк.'!AR42</f>
        <v>0</v>
      </c>
      <c r="AS42" s="99">
        <f>населення!AT43+льготи!AS42+субсидии!AS42+'держ.бюджет'!AS42+'місц.-район.бюджет'!AS42+обласной!AS42+'госпрозрахунк.'!AS42</f>
        <v>0</v>
      </c>
      <c r="AT42" s="99">
        <f>населення!AU43+льготи!AT42+субсидии!AT42+'держ.бюджет'!AT42+'місц.-район.бюджет'!AT42+обласной!AT42+'госпрозрахунк.'!AT42</f>
        <v>0</v>
      </c>
      <c r="AU42" s="99" t="e">
        <f t="shared" si="8"/>
        <v>#DIV/0!</v>
      </c>
      <c r="AV42" s="99">
        <f>населення!AW43+льготи!AV42+субсидии!AV42+'держ.бюджет'!AV42+'місц.-район.бюджет'!AV42+обласной!AV42+'госпрозрахунк.'!AV42</f>
        <v>0</v>
      </c>
      <c r="AW42" s="99">
        <f>населення!AX43+льготи!AW42+субсидии!AW42+'держ.бюджет'!AW42+'місц.-район.бюджет'!AW42+обласной!AW42+'госпрозрахунк.'!AW42</f>
        <v>0</v>
      </c>
      <c r="AX42" s="136">
        <f t="shared" si="9"/>
        <v>0</v>
      </c>
      <c r="AY42" s="136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57</v>
      </c>
      <c r="C43" s="136">
        <f>населення!C44+льготи!C43+субсидии!C43+'держ.бюджет'!C43+'місц.-район.бюджет'!C43+обласной!C43+'госпрозрахунк.'!C43</f>
        <v>45544.7</v>
      </c>
      <c r="D43" s="137">
        <f>населення!D44+льготи!D43+субсидии!D43+'держ.бюджет'!D43+'місц.-район.бюджет'!D43+обласной!D43+'госпрозрахунк.'!D43</f>
        <v>19814.2</v>
      </c>
      <c r="E43" s="137">
        <f>населення!E44+льготи!E43+субсидии!E43+'держ.бюджет'!E43+'місц.-район.бюджет'!E43+обласной!E43+'госпрозрахунк.'!E43</f>
        <v>10325.2</v>
      </c>
      <c r="F43" s="14">
        <f t="shared" si="3"/>
        <v>52.11010285552785</v>
      </c>
      <c r="G43" s="137">
        <f>населення!G44+льготи!G43+субсидии!G43+'держ.бюджет'!G43+'місц.-район.бюджет'!G43+обласной!G43+'госпрозрахунк.'!G43</f>
        <v>15949.599999999999</v>
      </c>
      <c r="H43" s="137">
        <f>населення!H44+льготи!H43+субсидии!H43+'держ.бюджет'!H43+'місц.-район.бюджет'!H43+обласной!H43+'госпрозрахунк.'!H43</f>
        <v>13589.1</v>
      </c>
      <c r="I43" s="14">
        <f t="shared" si="14"/>
        <v>85.20025580578825</v>
      </c>
      <c r="J43" s="137">
        <f>населення!J44+льготи!J43+субсидии!J43+'держ.бюджет'!J43+'місц.-район.бюджет'!J43+обласной!J43+'госпрозрахунк.'!J43</f>
        <v>0</v>
      </c>
      <c r="K43" s="137">
        <f>населення!K44+льготи!K43+субсидии!K43+'держ.бюджет'!K43+'місц.-район.бюджет'!K43+обласной!K43+'госпрозрахунк.'!K43</f>
        <v>0</v>
      </c>
      <c r="L43" s="14" t="e">
        <f t="shared" si="1"/>
        <v>#DIV/0!</v>
      </c>
      <c r="M43" s="136">
        <f>населення!M44+льготи!M43+субсидии!M43+'держ.бюджет'!M43+'місц.-район.бюджет'!M43+обласной!M43+'госпрозрахунк.'!M43</f>
        <v>35763.8</v>
      </c>
      <c r="N43" s="136">
        <f>населення!N44+льготи!N43+субсидии!N43+'держ.бюджет'!N43+'місц.-район.бюджет'!N43+обласной!N43+'госпрозрахунк.'!N43</f>
        <v>23914.300000000003</v>
      </c>
      <c r="O43" s="136">
        <f t="shared" si="4"/>
        <v>66.86733512658051</v>
      </c>
      <c r="P43" s="136">
        <f>населення!P44+льготи!P43+субсидии!P43+'держ.бюджет'!P43+'місц.-район.бюджет'!P43+обласной!P43+'госпрозрахунк.'!P43</f>
        <v>0</v>
      </c>
      <c r="Q43" s="136">
        <f>населення!Q44+льготи!Q43+субсидии!Q43+'держ.бюджет'!Q43+'місц.-район.бюджет'!Q43+обласной!Q43+'госпрозрахунк.'!Q43</f>
        <v>0</v>
      </c>
      <c r="R43" s="136" t="e">
        <f t="shared" si="5"/>
        <v>#DIV/0!</v>
      </c>
      <c r="S43" s="136">
        <f>населення!S44+льготи!S43+субсидии!S43+'держ.бюджет'!S43+'місц.-район.бюджет'!S43+обласной!S43+'госпрозрахунк.'!S43</f>
        <v>0</v>
      </c>
      <c r="T43" s="136">
        <f>населення!T44+льготи!T43+субсидии!T43+'держ.бюджет'!T43+'місц.-район.бюджет'!T43+обласной!T43+'госпрозрахунк.'!T43</f>
        <v>0</v>
      </c>
      <c r="U43" s="136" t="e">
        <f>T43/S43*100</f>
        <v>#DIV/0!</v>
      </c>
      <c r="V43" s="136">
        <f>населення!V44+льготи!V43+субсидии!V43+'держ.бюджет'!V43+'місц.-район.бюджет'!V43+обласной!V43+'госпрозрахунк.'!V43</f>
        <v>0</v>
      </c>
      <c r="W43" s="136">
        <f>населення!W44+льготи!W43+субсидии!W43+'держ.бюджет'!W43+'місц.-район.бюджет'!W43+обласной!W43+'госпрозрахунк.'!W43</f>
        <v>0</v>
      </c>
      <c r="X43" s="136" t="e">
        <f>W43/V43*100</f>
        <v>#DIV/0!</v>
      </c>
      <c r="Y43" s="136">
        <f>населення!Y44+льготи!Y43+субсидии!Y43+'держ.бюджет'!Y43+'місц.-район.бюджет'!Y43+обласной!Y43+'госпрозрахунк.'!Y43</f>
        <v>0</v>
      </c>
      <c r="Z43" s="136">
        <f>населення!Z44+льготи!Z43+субсидии!Z43+'держ.бюджет'!Z43+'місц.-район.бюджет'!Z43+обласной!Z43+'госпрозрахунк.'!Z43</f>
        <v>0</v>
      </c>
      <c r="AA43" s="136" t="e">
        <f t="shared" si="15"/>
        <v>#DIV/0!</v>
      </c>
      <c r="AB43" s="136">
        <f>населення!AB44+льготи!AB43+субсидии!AB43+'держ.бюджет'!AB43+'місц.-район.бюджет'!AB43+обласной!AB43+'госпрозрахунк.'!AB43</f>
        <v>0</v>
      </c>
      <c r="AC43" s="136">
        <f>населення!AC44+льготи!AC43+субсидии!AC43+'держ.бюджет'!AC43+'місц.-район.бюджет'!AC43+обласной!AC43+'госпрозрахунк.'!AC43</f>
        <v>0</v>
      </c>
      <c r="AD43" s="136" t="e">
        <f t="shared" si="6"/>
        <v>#DIV/0!</v>
      </c>
      <c r="AE43" s="136">
        <f>населення!AE44+льготи!AE43+субсидии!AE43+'держ.бюджет'!AE43+'місц.-район.бюджет'!AE43+обласной!AE43+'госпрозрахунк.'!AE43</f>
        <v>0</v>
      </c>
      <c r="AF43" s="136">
        <f>населення!AF44+льготи!AF43+субсидии!AF43+'держ.бюджет'!AF43+'місц.-район.бюджет'!AF43+обласной!AF43+'госпрозрахунк.'!AF43</f>
        <v>0</v>
      </c>
      <c r="AG43" s="136" t="e">
        <f t="shared" si="16"/>
        <v>#DIV/0!</v>
      </c>
      <c r="AH43" s="136">
        <f>населення!AH44+льготи!AH43+субсидии!AH43+'держ.бюджет'!AH43+'місц.-район.бюджет'!AH43+обласной!AH43+'госпрозрахунк.'!AH43</f>
        <v>0</v>
      </c>
      <c r="AI43" s="136">
        <f>населення!AI44+льготи!AI43+субсидии!AI43+'держ.бюджет'!AI43+'місц.-район.бюджет'!AI43+обласной!AI43+'госпрозрахунк.'!AI43</f>
        <v>0</v>
      </c>
      <c r="AJ43" s="136">
        <f>населення!AJ44+льготи!AJ43+субсидии!AJ43+'держ.бюджет'!AJ43+'місц.-район.бюджет'!AJ43+обласной!AJ43+'госпрозрахунк.'!AJ43</f>
        <v>0</v>
      </c>
      <c r="AK43" s="136">
        <f>населення!AK44+льготи!AK43+субсидии!AK43+'держ.бюджет'!AK43+'місц.-район.бюджет'!AK43+обласной!AK43+'госпрозрахунк.'!AK43</f>
        <v>0</v>
      </c>
      <c r="AL43" s="99" t="e">
        <f t="shared" si="7"/>
        <v>#DIV/0!</v>
      </c>
      <c r="AM43" s="136">
        <f>населення!AM44+льготи!AM43+субсидии!AM43+'держ.бюджет'!AM43+'місц.-район.бюджет'!AM43+обласной!AM43+'госпрозрахунк.'!AM43</f>
        <v>0</v>
      </c>
      <c r="AN43" s="136">
        <f>населення!AN44+льготи!AN43+субсидии!AN43+'держ.бюджет'!AN43+'місц.-район.бюджет'!AN43+обласной!AN43+'госпрозрахунк.'!AN43</f>
        <v>0</v>
      </c>
      <c r="AO43" s="136">
        <f>населення!AO44+льготи!AO43+субсидии!AO43+'держ.бюджет'!AO43+'місц.-район.бюджет'!AO43+обласной!AO43+'госпрозрахунк.'!AO43</f>
        <v>0</v>
      </c>
      <c r="AP43" s="136">
        <f>населення!AP44+льготи!AP43+субсидии!AP43+'держ.бюджет'!AP43+'місц.-район.бюджет'!AP43+обласной!AP43+'госпрозрахунк.'!AP43</f>
        <v>0</v>
      </c>
      <c r="AQ43" s="136">
        <f>населення!AR44+льготи!AQ43+субсидии!AQ43+'держ.бюджет'!AQ43+'місц.-район.бюджет'!AQ43+обласной!AQ43+'госпрозрахунк.'!AQ43</f>
        <v>0</v>
      </c>
      <c r="AR43" s="136">
        <f>населення!AS44+льготи!AR43+субсидии!AR43+'держ.бюджет'!AR43+'місц.-район.бюджет'!AR43+обласной!AR43+'госпрозрахунк.'!AR43</f>
        <v>0</v>
      </c>
      <c r="AS43" s="136">
        <f>населення!AT44+льготи!AS43+субсидии!AS43+'держ.бюджет'!AS43+'місц.-район.бюджет'!AS43+обласной!AS43+'госпрозрахунк.'!AS43</f>
        <v>35763.8</v>
      </c>
      <c r="AT43" s="136">
        <f>населення!AU44+льготи!AT43+субсидии!AT43+'держ.бюджет'!AT43+'місц.-район.бюджет'!AT43+обласной!AT43+'госпрозрахунк.'!AT43</f>
        <v>23914.300000000003</v>
      </c>
      <c r="AU43" s="136">
        <f t="shared" si="8"/>
        <v>66.86733512658051</v>
      </c>
      <c r="AV43" s="136">
        <f>населення!AW44+льготи!AV43+субсидии!AV43+'держ.бюджет'!AV43+'місц.-район.бюджет'!AV43+обласной!AV43+'госпрозрахунк.'!AV43</f>
        <v>11849.5</v>
      </c>
      <c r="AW43" s="136">
        <f>населення!AX44+льготи!AW43+субсидии!AW43+'держ.бюджет'!AW43+'місц.-район.бюджет'!AW43+обласной!AW43+'госпрозрахунк.'!AW43</f>
        <v>57394.2</v>
      </c>
      <c r="AX43" s="136">
        <f t="shared" si="9"/>
        <v>35763.8</v>
      </c>
      <c r="AY43" s="136">
        <f t="shared" si="10"/>
        <v>23914.300000000003</v>
      </c>
      <c r="AZ43" s="20">
        <f t="shared" si="11"/>
        <v>11849.5</v>
      </c>
      <c r="BA43" s="20">
        <f t="shared" si="12"/>
        <v>57394.2</v>
      </c>
    </row>
    <row r="44" spans="1:53" ht="34.5" customHeight="1">
      <c r="A44" s="19">
        <v>33</v>
      </c>
      <c r="B44" s="105" t="s">
        <v>58</v>
      </c>
      <c r="C44" s="136">
        <f>населення!C45+льготи!C44+субсидии!C44+'держ.бюджет'!C44+'місц.-район.бюджет'!C44+обласной!C44+'госпрозрахунк.'!C44</f>
        <v>23690.8</v>
      </c>
      <c r="D44" s="137">
        <f>населення!D45+льготи!D44+субсидии!D44+'держ.бюджет'!D44+'місц.-район.бюджет'!D44+обласной!D44+'госпрозрахунк.'!D44</f>
        <v>16678.8</v>
      </c>
      <c r="E44" s="137">
        <f>населення!E45+льготи!E44+субсидии!E44+'держ.бюджет'!E44+'місц.-район.бюджет'!E44+обласной!E44+'госпрозрахунк.'!E44</f>
        <v>10646.300000000001</v>
      </c>
      <c r="F44" s="14">
        <f t="shared" si="3"/>
        <v>63.83133079118403</v>
      </c>
      <c r="G44" s="137">
        <f>населення!G45+льготи!G44+субсидии!G44+'держ.бюджет'!G44+'місц.-район.бюджет'!G44+обласной!G44+'госпрозрахунк.'!G44</f>
        <v>14474.500000000002</v>
      </c>
      <c r="H44" s="137">
        <f>населення!H45+льготи!H44+субсидии!H44+'держ.бюджет'!H44+'місц.-район.бюджет'!H44+обласной!H44+'госпрозрахунк.'!H44</f>
        <v>14434.299999999997</v>
      </c>
      <c r="I44" s="14">
        <f t="shared" si="14"/>
        <v>99.72227019931601</v>
      </c>
      <c r="J44" s="137">
        <f>населення!J45+льготи!J44+субсидии!J44+'держ.бюджет'!J44+'місц.-район.бюджет'!J44+обласной!J44+'госпрозрахунк.'!J44</f>
        <v>0</v>
      </c>
      <c r="K44" s="137">
        <f>населення!K45+льготи!K44+субсидии!K44+'держ.бюджет'!K44+'місц.-район.бюджет'!K44+обласной!K44+'госпрозрахунк.'!K44</f>
        <v>0</v>
      </c>
      <c r="L44" s="14" t="e">
        <f t="shared" si="1"/>
        <v>#DIV/0!</v>
      </c>
      <c r="M44" s="136">
        <f>населення!M45+льготи!M44+субсидии!M44+'держ.бюджет'!M44+'місц.-район.бюджет'!M44+обласной!M44+'госпрозрахунк.'!M44</f>
        <v>31153.300000000003</v>
      </c>
      <c r="N44" s="136">
        <f>населення!N45+льготи!N44+субсидии!N44+'держ.бюджет'!N44+'місц.-район.бюджет'!N44+обласной!N44+'госпрозрахунк.'!N44</f>
        <v>25080.600000000002</v>
      </c>
      <c r="O44" s="136">
        <f t="shared" si="4"/>
        <v>80.50704098763212</v>
      </c>
      <c r="P44" s="136">
        <f>населення!P45+льготи!P44+субсидии!P44+'держ.бюджет'!P44+'місц.-район.бюджет'!P44+обласной!P44+'госпрозрахунк.'!P44</f>
        <v>0</v>
      </c>
      <c r="Q44" s="136">
        <f>населення!Q45+льготи!Q44+субсидии!Q44+'держ.бюджет'!Q44+'місц.-район.бюджет'!Q44+обласной!Q44+'госпрозрахунк.'!Q44</f>
        <v>0</v>
      </c>
      <c r="R44" s="136" t="e">
        <f t="shared" si="5"/>
        <v>#DIV/0!</v>
      </c>
      <c r="S44" s="136">
        <f>населення!S45+льготи!S44+субсидии!S44+'держ.бюджет'!S44+'місц.-район.бюджет'!S44+обласной!S44+'госпрозрахунк.'!S44</f>
        <v>0</v>
      </c>
      <c r="T44" s="136">
        <f>населення!T45+льготи!T44+субсидии!T44+'держ.бюджет'!T44+'місц.-район.бюджет'!T44+обласной!T44+'госпрозрахунк.'!T44</f>
        <v>0</v>
      </c>
      <c r="U44" s="136"/>
      <c r="V44" s="136">
        <f>населення!V45+льготи!V44+субсидии!V44+'держ.бюджет'!V44+'місц.-район.бюджет'!V44+обласной!V44+'госпрозрахунк.'!V44</f>
        <v>0</v>
      </c>
      <c r="W44" s="136">
        <f>населення!W45+льготи!W44+субсидии!W44+'держ.бюджет'!W44+'місц.-район.бюджет'!W44+обласной!W44+'госпрозрахунк.'!W44</f>
        <v>0</v>
      </c>
      <c r="X44" s="136"/>
      <c r="Y44" s="136">
        <f>населення!Y45+льготи!Y44+субсидии!Y44+'держ.бюджет'!Y44+'місц.-район.бюджет'!Y44+обласной!Y44+'госпрозрахунк.'!Y44</f>
        <v>0</v>
      </c>
      <c r="Z44" s="136">
        <f>населення!Z45+льготи!Z44+субсидии!Z44+'держ.бюджет'!Z44+'місц.-район.бюджет'!Z44+обласной!Z44+'госпрозрахунк.'!Z44</f>
        <v>0</v>
      </c>
      <c r="AA44" s="136" t="e">
        <f t="shared" si="15"/>
        <v>#DIV/0!</v>
      </c>
      <c r="AB44" s="136">
        <f>населення!AB45+льготи!AB44+субсидии!AB44+'держ.бюджет'!AB44+'місц.-район.бюджет'!AB44+обласной!AB44+'госпрозрахунк.'!AB44</f>
        <v>0</v>
      </c>
      <c r="AC44" s="136">
        <f>населення!AC45+льготи!AC44+субсидии!AC44+'держ.бюджет'!AC44+'місц.-район.бюджет'!AC44+обласной!AC44+'госпрозрахунк.'!AC44</f>
        <v>0</v>
      </c>
      <c r="AD44" s="136" t="e">
        <f t="shared" si="6"/>
        <v>#DIV/0!</v>
      </c>
      <c r="AE44" s="136">
        <f>населення!AE45+льготи!AE44+субсидии!AE44+'держ.бюджет'!AE44+'місц.-район.бюджет'!AE44+обласной!AE44+'госпрозрахунк.'!AE44</f>
        <v>0</v>
      </c>
      <c r="AF44" s="136">
        <f>населення!AF45+льготи!AF44+субсидии!AF44+'держ.бюджет'!AF44+'місц.-район.бюджет'!AF44+обласной!AF44+'госпрозрахунк.'!AF44</f>
        <v>0</v>
      </c>
      <c r="AG44" s="99" t="e">
        <f t="shared" si="16"/>
        <v>#DIV/0!</v>
      </c>
      <c r="AH44" s="136">
        <f>населення!AH45+льготи!AH44+субсидии!AH44+'держ.бюджет'!AH44+'місц.-район.бюджет'!AH44+обласной!AH44+'госпрозрахунк.'!AH44</f>
        <v>0</v>
      </c>
      <c r="AI44" s="136">
        <f>населення!AI45+льготи!AI44+субсидии!AI44+'держ.бюджет'!AI44+'місц.-район.бюджет'!AI44+обласной!AI44+'госпрозрахунк.'!AI44</f>
        <v>0</v>
      </c>
      <c r="AJ44" s="136">
        <f>населення!AJ45+льготи!AJ44+субсидии!AJ44+'держ.бюджет'!AJ44+'місц.-район.бюджет'!AJ44+обласной!AJ44+'госпрозрахунк.'!AJ44</f>
        <v>0</v>
      </c>
      <c r="AK44" s="136">
        <f>населення!AK45+льготи!AK44+субсидии!AK44+'держ.бюджет'!AK44+'місц.-район.бюджет'!AK44+обласной!AK44+'госпрозрахунк.'!AK44</f>
        <v>0</v>
      </c>
      <c r="AL44" s="99" t="e">
        <f t="shared" si="7"/>
        <v>#DIV/0!</v>
      </c>
      <c r="AM44" s="136">
        <f>населення!AM45+льготи!AM44+субсидии!AM44+'держ.бюджет'!AM44+'місц.-район.бюджет'!AM44+обласной!AM44+'госпрозрахунк.'!AM44</f>
        <v>0</v>
      </c>
      <c r="AN44" s="136">
        <f>населення!AN45+льготи!AN44+субсидии!AN44+'держ.бюджет'!AN44+'місц.-район.бюджет'!AN44+обласной!AN44+'госпрозрахунк.'!AN44</f>
        <v>0</v>
      </c>
      <c r="AO44" s="136">
        <f>населення!AO45+льготи!AO44+субсидии!AO44+'держ.бюджет'!AO44+'місц.-район.бюджет'!AO44+обласной!AO44+'госпрозрахунк.'!AO44</f>
        <v>0</v>
      </c>
      <c r="AP44" s="136">
        <f>населення!AP45+льготи!AP44+субсидии!AP44+'держ.бюджет'!AP44+'місц.-район.бюджет'!AP44+обласной!AP44+'госпрозрахунк.'!AP44</f>
        <v>0</v>
      </c>
      <c r="AQ44" s="136">
        <f>населення!AR45+льготи!AQ44+субсидии!AQ44+'держ.бюджет'!AQ44+'місц.-район.бюджет'!AQ44+обласной!AQ44+'госпрозрахунк.'!AQ44</f>
        <v>0</v>
      </c>
      <c r="AR44" s="136">
        <f>населення!AS45+льготи!AR44+субсидии!AR44+'держ.бюджет'!AR44+'місц.-район.бюджет'!AR44+обласной!AR44+'госпрозрахунк.'!AR44</f>
        <v>0</v>
      </c>
      <c r="AS44" s="136">
        <f>населення!AT45+льготи!AS44+субсидии!AS44+'держ.бюджет'!AS44+'місц.-район.бюджет'!AS44+обласной!AS44+'госпрозрахунк.'!AS44</f>
        <v>31153.300000000003</v>
      </c>
      <c r="AT44" s="136">
        <f>населення!AU45+льготи!AT44+субсидии!AT44+'держ.бюджет'!AT44+'місц.-район.бюджет'!AT44+обласной!AT44+'госпрозрахунк.'!AT44</f>
        <v>25080.600000000002</v>
      </c>
      <c r="AU44" s="136">
        <f t="shared" si="8"/>
        <v>80.50704098763212</v>
      </c>
      <c r="AV44" s="136">
        <f>населення!AW45+льготи!AV44+субсидии!AV44+'держ.бюджет'!AV44+'місц.-район.бюджет'!AV44+обласной!AV44+'госпрозрахунк.'!AV44</f>
        <v>6072.699999999998</v>
      </c>
      <c r="AW44" s="136">
        <f>населення!AX45+льготи!AW44+субсидии!AW44+'держ.бюджет'!AW44+'місц.-район.бюджет'!AW44+обласной!AW44+'госпрозрахунк.'!AW44</f>
        <v>29763.499999999993</v>
      </c>
      <c r="AX44" s="136">
        <f t="shared" si="9"/>
        <v>31153.300000000003</v>
      </c>
      <c r="AY44" s="136">
        <f t="shared" si="10"/>
        <v>25080.600000000002</v>
      </c>
      <c r="AZ44" s="20">
        <f t="shared" si="11"/>
        <v>6072.700000000001</v>
      </c>
      <c r="BA44" s="20">
        <f t="shared" si="12"/>
        <v>29763.500000000004</v>
      </c>
    </row>
    <row r="45" spans="1:53" s="8" customFormat="1" ht="34.5" customHeight="1">
      <c r="A45" s="138">
        <v>34</v>
      </c>
      <c r="B45" s="16" t="s">
        <v>59</v>
      </c>
      <c r="C45" s="136">
        <f>населення!C46+льготи!C45+субсидии!C45+'держ.бюджет'!C45+'місц.-район.бюджет'!C45+обласной!C45+'госпрозрахунк.'!C45</f>
        <v>3166437.8</v>
      </c>
      <c r="D45" s="102">
        <f>SUM(D46:D47)</f>
        <v>1049334.3</v>
      </c>
      <c r="E45" s="102">
        <f>SUM(E46:E47)</f>
        <v>588508.9</v>
      </c>
      <c r="F45" s="94">
        <f t="shared" si="3"/>
        <v>56.08402393784326</v>
      </c>
      <c r="G45" s="4">
        <f>SUM(G46:G47)</f>
        <v>946648.2</v>
      </c>
      <c r="H45" s="4">
        <f>SUM(H46:H47)</f>
        <v>751567.8</v>
      </c>
      <c r="I45" s="14">
        <f t="shared" si="14"/>
        <v>79.3925135018479</v>
      </c>
      <c r="J45" s="4">
        <f>SUM(J46:J47)</f>
        <v>0</v>
      </c>
      <c r="K45" s="4">
        <f>SUM(K46:K47)</f>
        <v>0</v>
      </c>
      <c r="L45" s="14" t="e">
        <f t="shared" si="1"/>
        <v>#DIV/0!</v>
      </c>
      <c r="M45" s="136">
        <f>населення!M46+льготи!M45+субсидии!M45+'держ.бюджет'!M45+'місц.-район.бюджет'!M45+обласной!M45+'госпрозрахунк.'!M45</f>
        <v>1995982.5</v>
      </c>
      <c r="N45" s="136">
        <f>населення!N46+льготи!N45+субсидии!N45+'держ.бюджет'!N45+'місц.-район.бюджет'!N45+обласной!N45+'госпрозрахунк.'!N45</f>
        <v>1340076.7000000002</v>
      </c>
      <c r="O45" s="136">
        <f t="shared" si="4"/>
        <v>67.13869986335051</v>
      </c>
      <c r="P45" s="136">
        <f>населення!P46+льготи!P45+субсидии!P45+'держ.бюджет'!P45+'місц.-район.бюджет'!P45+обласной!P45+'госпрозрахунк.'!P45</f>
        <v>0</v>
      </c>
      <c r="Q45" s="136">
        <f>населення!Q46+льготи!Q45+субсидии!Q45+'держ.бюджет'!Q45+'місц.-район.бюджет'!Q45+обласной!Q45+'госпрозрахунк.'!Q45</f>
        <v>0</v>
      </c>
      <c r="R45" s="136" t="e">
        <f t="shared" si="5"/>
        <v>#DIV/0!</v>
      </c>
      <c r="S45" s="136">
        <f>населення!S46+льготи!S45+субсидии!S45+'держ.бюджет'!S45+'місц.-район.бюджет'!S45+обласной!S45+'госпрозрахунк.'!S45</f>
        <v>0</v>
      </c>
      <c r="T45" s="136">
        <f>населення!T46+льготи!T45+субсидии!T45+'держ.бюджет'!T45+'місц.-район.бюджет'!T45+обласной!T45+'госпрозрахунк.'!T45</f>
        <v>0</v>
      </c>
      <c r="U45" s="136" t="e">
        <f>T45/S45*100</f>
        <v>#DIV/0!</v>
      </c>
      <c r="V45" s="136">
        <f>населення!V46+льготи!V45+субсидии!V45+'держ.бюджет'!V45+'місц.-район.бюджет'!V45+обласной!V45+'госпрозрахунк.'!V45</f>
        <v>0</v>
      </c>
      <c r="W45" s="136">
        <f>населення!W46+льготи!W45+субсидии!W45+'держ.бюджет'!W45+'місц.-район.бюджет'!W45+обласной!W45+'госпрозрахунк.'!W45</f>
        <v>0</v>
      </c>
      <c r="X45" s="136" t="e">
        <f>W45/V45*100</f>
        <v>#DIV/0!</v>
      </c>
      <c r="Y45" s="136">
        <f>населення!Y46+льготи!Y45+субсидии!Y45+'держ.бюджет'!Y45+'місц.-район.бюджет'!Y45+обласной!Y45+'госпрозрахунк.'!Y45</f>
        <v>0</v>
      </c>
      <c r="Z45" s="136">
        <f>населення!Z46+льготи!Z45+субсидии!Z45+'держ.бюджет'!Z45+'місц.-район.бюджет'!Z45+обласной!Z45+'госпрозрахунк.'!Z45</f>
        <v>0</v>
      </c>
      <c r="AA45" s="136" t="e">
        <f t="shared" si="15"/>
        <v>#DIV/0!</v>
      </c>
      <c r="AB45" s="136">
        <f>населення!AB46+льготи!AB45+субсидии!AB45+'держ.бюджет'!AB45+'місц.-район.бюджет'!AB45+обласной!AB45+'госпрозрахунк.'!AB45</f>
        <v>0</v>
      </c>
      <c r="AC45" s="136">
        <f>населення!AC46+льготи!AC45+субсидии!AC45+'держ.бюджет'!AC45+'місц.-район.бюджет'!AC45+обласной!AC45+'госпрозрахунк.'!AC45</f>
        <v>0</v>
      </c>
      <c r="AD45" s="136" t="e">
        <f t="shared" si="6"/>
        <v>#DIV/0!</v>
      </c>
      <c r="AE45" s="136">
        <f>населення!AE46+льготи!AE45+субсидии!AE45+'держ.бюджет'!AE45+'місц.-район.бюджет'!AE45+обласной!AE45+'госпрозрахунк.'!AE45</f>
        <v>0</v>
      </c>
      <c r="AF45" s="136">
        <f>населення!AF46+льготи!AF45+субсидии!AF45+'держ.бюджет'!AF45+'місц.-район.бюджет'!AF45+обласной!AF45+'госпрозрахунк.'!AF45</f>
        <v>0</v>
      </c>
      <c r="AG45" s="136" t="e">
        <f t="shared" si="16"/>
        <v>#DIV/0!</v>
      </c>
      <c r="AH45" s="136">
        <f>населення!AH46+льготи!AH45+субсидии!AH45+'держ.бюджет'!AH45+'місц.-район.бюджет'!AH45+обласной!AH45+'госпрозрахунк.'!AH45</f>
        <v>0</v>
      </c>
      <c r="AI45" s="136">
        <f>населення!AI46+льготи!AI45+субсидии!AI45+'держ.бюджет'!AI45+'місц.-район.бюджет'!AI45+обласной!AI45+'госпрозрахунк.'!AI45</f>
        <v>0</v>
      </c>
      <c r="AJ45" s="136">
        <f>населення!AJ46+льготи!AJ45+субсидии!AJ45+'держ.бюджет'!AJ45+'місц.-район.бюджет'!AJ45+обласной!AJ45+'госпрозрахунк.'!AJ45</f>
        <v>0</v>
      </c>
      <c r="AK45" s="136">
        <f>населення!AK46+льготи!AK45+субсидии!AK45+'держ.бюджет'!AK45+'місц.-район.бюджет'!AK45+обласной!AK45+'госпрозрахунк.'!AK45</f>
        <v>0</v>
      </c>
      <c r="AL45" s="136" t="e">
        <f t="shared" si="7"/>
        <v>#DIV/0!</v>
      </c>
      <c r="AM45" s="136">
        <f>населення!AM46+льготи!AM45+субсидии!AM45+'держ.бюджет'!AM45+'місц.-район.бюджет'!AM45+обласной!AM45+'госпрозрахунк.'!AM45</f>
        <v>0</v>
      </c>
      <c r="AN45" s="136">
        <f>населення!AN46+льготи!AN45+субсидии!AN45+'держ.бюджет'!AN45+'місц.-район.бюджет'!AN45+обласной!AN45+'госпрозрахунк.'!AN45</f>
        <v>0</v>
      </c>
      <c r="AO45" s="136">
        <f>населення!AO46+льготи!AO45+субсидии!AO45+'держ.бюджет'!AO45+'місц.-район.бюджет'!AO45+обласной!AO45+'госпрозрахунк.'!AO45</f>
        <v>0</v>
      </c>
      <c r="AP45" s="136">
        <f>населення!AP46+льготи!AP45+субсидии!AP45+'держ.бюджет'!AP45+'місц.-район.бюджет'!AP45+обласной!AP45+'госпрозрахунк.'!AP45</f>
        <v>0</v>
      </c>
      <c r="AQ45" s="136">
        <f>населення!AR46+льготи!AQ45+субсидии!AQ45+'держ.бюджет'!AQ45+'місц.-район.бюджет'!AQ45+обласной!AQ45+'госпрозрахунк.'!AQ45</f>
        <v>0</v>
      </c>
      <c r="AR45" s="136">
        <f>населення!AS46+льготи!AR45+субсидии!AR45+'держ.бюджет'!AR45+'місц.-район.бюджет'!AR45+обласной!AR45+'госпрозрахунк.'!AR45</f>
        <v>0</v>
      </c>
      <c r="AS45" s="136">
        <f>населення!AT46+льготи!AS45+субсидии!AS45+'держ.бюджет'!AS45+'місц.-район.бюджет'!AS45+обласной!AS45+'госпрозрахунк.'!AS45</f>
        <v>2022873.4000000004</v>
      </c>
      <c r="AT45" s="136">
        <f>населення!AU46+льготи!AT45+субсидии!AT45+'держ.бюджет'!AT45+'місц.-район.бюджет'!AT45+обласной!AT45+'госпрозрахунк.'!AT45</f>
        <v>1349250.7999999998</v>
      </c>
      <c r="AU45" s="136">
        <f t="shared" si="8"/>
        <v>66.69971536528186</v>
      </c>
      <c r="AV45" s="136">
        <f>населення!AW46+льготи!AV45+субсидии!AV45+'держ.бюджет'!AV45+'місц.-район.бюджет'!AV45+обласной!AV45+'госпрозрахунк.'!AV45</f>
        <v>673622.6000000001</v>
      </c>
      <c r="AW45" s="136">
        <f>населення!AX46+льготи!AW45+субсидии!AW45+'держ.бюджет'!AW45+'місц.-район.бюджет'!AW45+обласной!AW45+'госпрозрахунк.'!AW45</f>
        <v>3840060.4</v>
      </c>
      <c r="AX45" s="136">
        <f>AX46+AX47+AX48</f>
        <v>2022873.4</v>
      </c>
      <c r="AY45" s="136">
        <f>AY46+AY47+AY48</f>
        <v>1349250.8</v>
      </c>
      <c r="AZ45" s="136">
        <f>AZ46+AZ47+AZ48</f>
        <v>673622.6000000001</v>
      </c>
      <c r="BA45" s="136">
        <f>BA46+BA47+BA48</f>
        <v>3840060.4000000004</v>
      </c>
    </row>
    <row r="46" spans="1:53" s="8" customFormat="1" ht="34.5" customHeight="1">
      <c r="A46" s="138" t="s">
        <v>24</v>
      </c>
      <c r="B46" s="1" t="s">
        <v>64</v>
      </c>
      <c r="C46" s="136">
        <f>населення!C47+льготи!C46+субсидии!C46+'держ.бюджет'!C46+'місц.-район.бюджет'!C46+обласной!C46+'госпрозрахунк.'!C46</f>
        <v>3161378</v>
      </c>
      <c r="D46" s="137">
        <f>населення!D47+льготи!D46+субсидии!D46+'держ.бюджет'!D46+'місц.-район.бюджет'!D46+обласной!D46+'госпрозрахунк.'!D46</f>
        <v>1044519</v>
      </c>
      <c r="E46" s="137">
        <f>населення!E47+льготи!E46+субсидии!E46+'держ.бюджет'!E46+'місц.-район.бюджет'!E46+обласной!E46+'госпрозрахунк.'!E46</f>
        <v>586659</v>
      </c>
      <c r="F46" s="14">
        <f t="shared" si="3"/>
        <v>56.165469464892446</v>
      </c>
      <c r="G46" s="137">
        <f>населення!G47+льготи!G46+субсидии!G46+'держ.бюджет'!G46+'місц.-район.бюджет'!G46+обласной!G46+'госпрозрахунк.'!G46</f>
        <v>940623</v>
      </c>
      <c r="H46" s="137">
        <f>населення!H47+льготи!H46+субсидии!H46+'держ.бюджет'!H46+'місц.-район.бюджет'!H46+обласной!H46+'госпрозрахунк.'!H46</f>
        <v>746326</v>
      </c>
      <c r="I46" s="14">
        <f t="shared" si="14"/>
        <v>79.3437966113948</v>
      </c>
      <c r="J46" s="137">
        <f>населення!J47+льготи!J46+субсидии!J46+'держ.бюджет'!J46+'місц.-район.бюджет'!J46+обласной!J46+'госпрозрахунк.'!J46</f>
        <v>0</v>
      </c>
      <c r="K46" s="137">
        <f>населення!K47+льготи!K46+субсидии!K46+'держ.бюджет'!K46+'місц.-район.бюджет'!K46+обласной!K46+'госпрозрахунк.'!K46</f>
        <v>0</v>
      </c>
      <c r="L46" s="14" t="e">
        <f t="shared" si="1"/>
        <v>#DIV/0!</v>
      </c>
      <c r="M46" s="136">
        <f>населення!M47+льготи!M46+субсидии!M46+'держ.бюджет'!M46+'місц.-район.бюджет'!M46+обласной!M46+'госпрозрахунк.'!M46</f>
        <v>1985142</v>
      </c>
      <c r="N46" s="136">
        <f>населення!N47+льготи!N46+субсидии!N46+'держ.бюджет'!N46+'місц.-район.бюджет'!N46+обласной!N46+'госпрозрахунк.'!N46</f>
        <v>1332985</v>
      </c>
      <c r="O46" s="136">
        <f t="shared" si="4"/>
        <v>67.14809318426592</v>
      </c>
      <c r="P46" s="136">
        <f>населення!P47+льготи!P46+субсидии!P46+'держ.бюджет'!P46+'місц.-район.бюджет'!P46+обласной!P46+'госпрозрахунк.'!P46</f>
        <v>0</v>
      </c>
      <c r="Q46" s="136">
        <f>населення!Q47+льготи!Q46+субсидии!Q46+'держ.бюджет'!Q46+'місц.-район.бюджет'!Q46+обласной!Q46+'госпрозрахунк.'!Q46</f>
        <v>0</v>
      </c>
      <c r="R46" s="136" t="e">
        <f t="shared" si="5"/>
        <v>#DIV/0!</v>
      </c>
      <c r="S46" s="136">
        <f>населення!S47+льготи!S46+субсидии!S46+'держ.бюджет'!S46+'місц.-район.бюджет'!S46+обласной!S46+'госпрозрахунк.'!S46</f>
        <v>0</v>
      </c>
      <c r="T46" s="136">
        <f>населення!T47+льготи!T46+субсидии!T46+'держ.бюджет'!T46+'місц.-район.бюджет'!T46+обласной!T46+'госпрозрахунк.'!T46</f>
        <v>0</v>
      </c>
      <c r="U46" s="136" t="e">
        <f>T46/S46*100</f>
        <v>#DIV/0!</v>
      </c>
      <c r="V46" s="136">
        <f>населення!V47+льготи!V46+субсидии!V46+'держ.бюджет'!V46+'місц.-район.бюджет'!V46+обласной!V46+'госпрозрахунк.'!V46</f>
        <v>0</v>
      </c>
      <c r="W46" s="136">
        <f>населення!W47+льготи!W46+субсидии!W46+'держ.бюджет'!W46+'місц.-район.бюджет'!W46+обласной!W46+'госпрозрахунк.'!W46</f>
        <v>0</v>
      </c>
      <c r="X46" s="136" t="e">
        <f>W46/V46*100</f>
        <v>#DIV/0!</v>
      </c>
      <c r="Y46" s="136">
        <f>населення!Y47+льготи!Y46+субсидии!Y46+'держ.бюджет'!Y46+'місц.-район.бюджет'!Y46+обласной!Y46+'госпрозрахунк.'!Y46</f>
        <v>0</v>
      </c>
      <c r="Z46" s="136">
        <f>населення!Z47+льготи!Z46+субсидии!Z46+'держ.бюджет'!Z46+'місц.-район.бюджет'!Z46+обласной!Z46+'госпрозрахунк.'!Z46</f>
        <v>0</v>
      </c>
      <c r="AA46" s="136" t="e">
        <f t="shared" si="15"/>
        <v>#DIV/0!</v>
      </c>
      <c r="AB46" s="136">
        <f>населення!AB47+льготи!AB46+субсидии!AB46+'держ.бюджет'!AB46+'місц.-район.бюджет'!AB46+обласной!AB46+'госпрозрахунк.'!AB46</f>
        <v>0</v>
      </c>
      <c r="AC46" s="136">
        <f>населення!AC47+льготи!AC46+субсидии!AC46+'держ.бюджет'!AC46+'місц.-район.бюджет'!AC46+обласной!AC46+'госпрозрахунк.'!AC46</f>
        <v>0</v>
      </c>
      <c r="AD46" s="136" t="e">
        <f t="shared" si="6"/>
        <v>#DIV/0!</v>
      </c>
      <c r="AE46" s="136">
        <f>населення!AE47+льготи!AE46+субсидии!AE46+'держ.бюджет'!AE46+'місц.-район.бюджет'!AE46+обласной!AE46+'госпрозрахунк.'!AE46</f>
        <v>0</v>
      </c>
      <c r="AF46" s="136">
        <f>населення!AF47+льготи!AF46+субсидии!AF46+'держ.бюджет'!AF46+'місц.-район.бюджет'!AF46+обласной!AF46+'госпрозрахунк.'!AF46</f>
        <v>0</v>
      </c>
      <c r="AG46" s="136" t="e">
        <f t="shared" si="16"/>
        <v>#DIV/0!</v>
      </c>
      <c r="AH46" s="136">
        <f>населення!AH47+льготи!AH46+субсидии!AH46+'держ.бюджет'!AH46+'місц.-район.бюджет'!AH46+обласной!AH46+'госпрозрахунк.'!AH46</f>
        <v>0</v>
      </c>
      <c r="AI46" s="136">
        <f>населення!AI47+льготи!AI46+субсидии!AI46+'держ.бюджет'!AI46+'місц.-район.бюджет'!AI46+обласной!AI46+'госпрозрахунк.'!AI46</f>
        <v>0</v>
      </c>
      <c r="AJ46" s="136">
        <f>населення!AJ47+льготи!AJ46+субсидии!AJ46+'держ.бюджет'!AJ46+'місц.-район.бюджет'!AJ46+обласной!AJ46+'госпрозрахунк.'!AJ46</f>
        <v>0</v>
      </c>
      <c r="AK46" s="136">
        <f>населення!AK47+льготи!AK46+субсидии!AK46+'держ.бюджет'!AK46+'місц.-район.бюджет'!AK46+обласной!AK46+'госпрозрахунк.'!AK46</f>
        <v>0</v>
      </c>
      <c r="AL46" s="136" t="e">
        <f t="shared" si="7"/>
        <v>#DIV/0!</v>
      </c>
      <c r="AM46" s="136">
        <f>населення!AM47+льготи!AM46+субсидии!AM46+'держ.бюджет'!AM46+'місц.-район.бюджет'!AM46+обласной!AM46+'госпрозрахунк.'!AM46</f>
        <v>0</v>
      </c>
      <c r="AN46" s="136">
        <f>населення!AN47+льготи!AN46+субсидии!AN46+'держ.бюджет'!AN46+'місц.-район.бюджет'!AN46+обласной!AN46+'госпрозрахунк.'!AN46</f>
        <v>0</v>
      </c>
      <c r="AO46" s="136">
        <f>населення!AO47+льготи!AO46+субсидии!AO46+'держ.бюджет'!AO46+'місц.-район.бюджет'!AO46+обласной!AO46+'госпрозрахунк.'!AO46</f>
        <v>0</v>
      </c>
      <c r="AP46" s="136">
        <f>населення!AP47+льготи!AP46+субсидии!AP46+'держ.бюджет'!AP46+'місц.-район.бюджет'!AP46+обласной!AP46+'госпрозрахунк.'!AP46</f>
        <v>0</v>
      </c>
      <c r="AQ46" s="136">
        <f>населення!AR47+льготи!AQ46+субсидии!AQ46+'держ.бюджет'!AQ46+'місц.-район.бюджет'!AQ46+обласной!AQ46+'госпрозрахунк.'!AQ46</f>
        <v>0</v>
      </c>
      <c r="AR46" s="136">
        <f>населення!AS47+льготи!AR46+субсидии!AR46+'держ.бюджет'!AR46+'місц.-район.бюджет'!AR46+обласной!AR46+'госпрозрахунк.'!AR46</f>
        <v>0</v>
      </c>
      <c r="AS46" s="136">
        <f>населення!AT47+льготи!AS46+субсидии!AS46+'держ.бюджет'!AS46+'місц.-район.бюджет'!AS46+обласной!AS46+'госпрозрахунк.'!AS46</f>
        <v>1985142</v>
      </c>
      <c r="AT46" s="136">
        <f>населення!AU47+льготи!AT46+субсидии!AT46+'держ.бюджет'!AT46+'місц.-район.бюджет'!AT46+обласной!AT46+'госпрозрахунк.'!AT46</f>
        <v>1332985</v>
      </c>
      <c r="AU46" s="136">
        <f t="shared" si="8"/>
        <v>67.14809318426592</v>
      </c>
      <c r="AV46" s="136">
        <f>населення!AW47+льготи!AV46+субсидии!AV46+'держ.бюджет'!AV46+'місц.-район.бюджет'!AV46+обласной!AV46+'госпрозрахунк.'!AV46</f>
        <v>652157</v>
      </c>
      <c r="AW46" s="136">
        <f>населення!AX47+льготи!AW46+субсидии!AW46+'держ.бюджет'!AW46+'місц.-район.бюджет'!AW46+обласной!AW46+'госпрозрахунк.'!AW46</f>
        <v>3813535</v>
      </c>
      <c r="AX46" s="136">
        <f t="shared" si="9"/>
        <v>1985142</v>
      </c>
      <c r="AY46" s="136">
        <f t="shared" si="10"/>
        <v>1332985</v>
      </c>
      <c r="AZ46" s="20">
        <f t="shared" si="11"/>
        <v>652157</v>
      </c>
      <c r="BA46" s="20">
        <f t="shared" si="12"/>
        <v>3813535</v>
      </c>
    </row>
    <row r="47" spans="1:53" s="8" customFormat="1" ht="34.5" customHeight="1">
      <c r="A47" s="38"/>
      <c r="B47" s="1" t="s">
        <v>65</v>
      </c>
      <c r="C47" s="136">
        <f>населення!C48+льготи!C47+субсидии!C47+'держ.бюджет'!C47+'місц.-район.бюджет'!C47+обласной!C47+'госпрозрахунк.'!C47</f>
        <v>1391.4</v>
      </c>
      <c r="D47" s="137">
        <f>населення!D48+льготи!D47+субсидии!D47+'держ.бюджет'!D47+'місц.-район.бюджет'!D47+обласной!D47+'госпрозрахунк.'!D47</f>
        <v>4815.3</v>
      </c>
      <c r="E47" s="137">
        <f>населення!E48+льготи!E47+субсидии!E47+'держ.бюджет'!E47+'місц.-район.бюджет'!E47+обласной!E47+'госпрозрахунк.'!E47</f>
        <v>1849.9</v>
      </c>
      <c r="F47" s="14">
        <f t="shared" si="3"/>
        <v>38.417128735488966</v>
      </c>
      <c r="G47" s="137">
        <f>населення!G48+льготи!G47+субсидии!G47+'держ.бюджет'!G47+'місц.-район.бюджет'!G47+обласной!G47+'госпрозрахунк.'!G47</f>
        <v>6025.2</v>
      </c>
      <c r="H47" s="137">
        <f>населення!H48+льготи!H47+субсидии!H47+'держ.бюджет'!H47+'місц.-район.бюджет'!H47+обласной!H47+'госпрозрахунк.'!H47</f>
        <v>5241.8</v>
      </c>
      <c r="I47" s="14">
        <f t="shared" si="14"/>
        <v>86.99794197702981</v>
      </c>
      <c r="J47" s="137">
        <f>населення!J48+льготи!J47+субсидии!J47+'держ.бюджет'!J47+'місц.-район.бюджет'!J47+обласной!J47+'госпрозрахунк.'!J47</f>
        <v>0</v>
      </c>
      <c r="K47" s="137">
        <f>населення!K48+льготи!K47+субсидии!K47+'держ.бюджет'!K47+'місц.-район.бюджет'!K47+обласной!K47+'госпрозрахунк.'!K47</f>
        <v>0</v>
      </c>
      <c r="L47" s="14" t="e">
        <f t="shared" si="1"/>
        <v>#DIV/0!</v>
      </c>
      <c r="M47" s="136">
        <f>населення!M48+льготи!M47+субсидии!M47+'держ.бюджет'!M47+'місц.-район.бюджет'!M47+обласной!M47+'госпрозрахунк.'!M47</f>
        <v>10840.5</v>
      </c>
      <c r="N47" s="136">
        <f>населення!N48+льготи!N47+субсидии!N47+'держ.бюджет'!N47+'місц.-район.бюджет'!N47+обласной!N47+'госпрозрахунк.'!N47</f>
        <v>7091.700000000001</v>
      </c>
      <c r="O47" s="136">
        <f t="shared" si="4"/>
        <v>65.4185692541857</v>
      </c>
      <c r="P47" s="136">
        <f>населення!P48+льготи!P47+субсидии!P47+'держ.бюджет'!P47+'місц.-район.бюджет'!P47+обласной!P47+'госпрозрахунк.'!P47</f>
        <v>0</v>
      </c>
      <c r="Q47" s="136">
        <f>населення!Q48+льготи!Q47+субсидии!Q47+'держ.бюджет'!Q47+'місц.-район.бюджет'!Q47+обласной!Q47+'госпрозрахунк.'!Q47</f>
        <v>0</v>
      </c>
      <c r="R47" s="136" t="e">
        <f t="shared" si="5"/>
        <v>#DIV/0!</v>
      </c>
      <c r="S47" s="136">
        <f>населення!S48+льготи!S47+субсидии!S47+'держ.бюджет'!S47+'місц.-район.бюджет'!S47+обласной!S47+'госпрозрахунк.'!S47</f>
        <v>0</v>
      </c>
      <c r="T47" s="136">
        <f>населення!T48+льготи!T47+субсидии!T47+'держ.бюджет'!T47+'місц.-район.бюджет'!T47+обласной!T47+'госпрозрахунк.'!T47</f>
        <v>0</v>
      </c>
      <c r="U47" s="136" t="e">
        <f>T47/S47*100</f>
        <v>#DIV/0!</v>
      </c>
      <c r="V47" s="136">
        <f>населення!V48+льготи!V47+субсидии!V47+'держ.бюджет'!V47+'місц.-район.бюджет'!V47+обласной!V47+'госпрозрахунк.'!V47</f>
        <v>0</v>
      </c>
      <c r="W47" s="136">
        <f>населення!W48+льготи!W47+субсидии!W47+'держ.бюджет'!W47+'місц.-район.бюджет'!W47+обласной!W47+'госпрозрахунк.'!W47</f>
        <v>0</v>
      </c>
      <c r="X47" s="136" t="e">
        <f>W47/V47*100</f>
        <v>#DIV/0!</v>
      </c>
      <c r="Y47" s="136">
        <f>населення!Y48+льготи!Y47+субсидии!Y47+'держ.бюджет'!Y47+'місц.-район.бюджет'!Y47+обласной!Y47+'госпрозрахунк.'!Y47</f>
        <v>0</v>
      </c>
      <c r="Z47" s="136">
        <f>населення!Z48+льготи!Z47+субсидии!Z47+'держ.бюджет'!Z47+'місц.-район.бюджет'!Z47+обласной!Z47+'госпрозрахунк.'!Z47</f>
        <v>0</v>
      </c>
      <c r="AA47" s="136" t="e">
        <f t="shared" si="15"/>
        <v>#DIV/0!</v>
      </c>
      <c r="AB47" s="136">
        <f>населення!AB48+льготи!AB47+субсидии!AB47+'держ.бюджет'!AB47+'місц.-район.бюджет'!AB47+обласной!AB47+'госпрозрахунк.'!AB47</f>
        <v>0</v>
      </c>
      <c r="AC47" s="136">
        <f>населення!AC48+льготи!AC47+субсидии!AC47+'держ.бюджет'!AC47+'місц.-район.бюджет'!AC47+обласной!AC47+'госпрозрахунк.'!AC47</f>
        <v>0</v>
      </c>
      <c r="AD47" s="136" t="e">
        <f t="shared" si="6"/>
        <v>#DIV/0!</v>
      </c>
      <c r="AE47" s="136">
        <f>населення!AE48+льготи!AE47+субсидии!AE47+'держ.бюджет'!AE47+'місц.-район.бюджет'!AE47+обласной!AE47+'госпрозрахунк.'!AE47</f>
        <v>0</v>
      </c>
      <c r="AF47" s="136">
        <f>населення!AF48+льготи!AF47+субсидии!AF47+'держ.бюджет'!AF47+'місц.-район.бюджет'!AF47+обласной!AF47+'госпрозрахунк.'!AF47</f>
        <v>0</v>
      </c>
      <c r="AG47" s="136" t="e">
        <f t="shared" si="16"/>
        <v>#DIV/0!</v>
      </c>
      <c r="AH47" s="136">
        <f>населення!AH48+льготи!AH47+субсидии!AH47+'держ.бюджет'!AH47+'місц.-район.бюджет'!AH47+обласной!AH47+'госпрозрахунк.'!AH47</f>
        <v>0</v>
      </c>
      <c r="AI47" s="136">
        <f>населення!AI48+льготи!AI47+субсидии!AI47+'держ.бюджет'!AI47+'місц.-район.бюджет'!AI47+обласной!AI47+'госпрозрахунк.'!AI47</f>
        <v>0</v>
      </c>
      <c r="AJ47" s="136">
        <f>населення!AJ48+льготи!AJ47+субсидии!AJ47+'держ.бюджет'!AJ47+'місц.-район.бюджет'!AJ47+обласной!AJ47+'госпрозрахунк.'!AJ47</f>
        <v>0</v>
      </c>
      <c r="AK47" s="136">
        <f>населення!AK48+льготи!AK47+субсидии!AK47+'держ.бюджет'!AK47+'місц.-район.бюджет'!AK47+обласной!AK47+'госпрозрахунк.'!AK47</f>
        <v>0</v>
      </c>
      <c r="AL47" s="136" t="e">
        <f t="shared" si="7"/>
        <v>#DIV/0!</v>
      </c>
      <c r="AM47" s="136">
        <f>населення!AM48+льготи!AM47+субсидии!AM47+'держ.бюджет'!AM47+'місц.-район.бюджет'!AM47+обласной!AM47+'госпрозрахунк.'!AM47</f>
        <v>0</v>
      </c>
      <c r="AN47" s="136">
        <f>населення!AN48+льготи!AN47+субсидии!AN47+'держ.бюджет'!AN47+'місц.-район.бюджет'!AN47+обласной!AN47+'госпрозрахунк.'!AN47</f>
        <v>0</v>
      </c>
      <c r="AO47" s="136">
        <f>населення!AO48+льготи!AO47+субсидии!AO47+'держ.бюджет'!AO47+'місц.-район.бюджет'!AO47+обласной!AO47+'госпрозрахунк.'!AO47</f>
        <v>0</v>
      </c>
      <c r="AP47" s="136">
        <f>населення!AP48+льготи!AP47+субсидии!AP47+'держ.бюджет'!AP47+'місц.-район.бюджет'!AP47+обласной!AP47+'госпрозрахунк.'!AP47</f>
        <v>0</v>
      </c>
      <c r="AQ47" s="136">
        <f>населення!AR48+льготи!AQ47+субсидии!AQ47+'держ.бюджет'!AQ47+'місц.-район.бюджет'!AQ47+обласной!AQ47+'госпрозрахунк.'!AQ47</f>
        <v>0</v>
      </c>
      <c r="AR47" s="136">
        <f>населення!AS48+льготи!AR47+субсидии!AR47+'держ.бюджет'!AR47+'місц.-район.бюджет'!AR47+обласной!AR47+'госпрозрахунк.'!AR47</f>
        <v>0</v>
      </c>
      <c r="AS47" s="136">
        <f>населення!AT48+льготи!AS47+субсидии!AS47+'держ.бюджет'!AS47+'місц.-район.бюджет'!AS47+обласной!AS47+'госпрозрахунк.'!AS47</f>
        <v>10840.5</v>
      </c>
      <c r="AT47" s="136">
        <f>населення!AU48+льготи!AT47+субсидии!AT47+'держ.бюджет'!AT47+'місц.-район.бюджет'!AT47+обласной!AT47+'госпрозрахунк.'!AT47</f>
        <v>7091.700000000001</v>
      </c>
      <c r="AU47" s="136">
        <f t="shared" si="8"/>
        <v>65.4185692541857</v>
      </c>
      <c r="AV47" s="136">
        <f>населення!AW48+льготи!AV47+субсидии!AV47+'держ.бюджет'!AV47+'місц.-район.бюджет'!AV47+обласной!AV47+'госпрозрахунк.'!AV47</f>
        <v>3748.7999999999997</v>
      </c>
      <c r="AW47" s="136">
        <f>населення!AX48+льготи!AW47+субсидии!AW47+'держ.бюджет'!AW47+'місц.-район.бюджет'!AW47+обласной!AW47+'госпрозрахунк.'!AW47</f>
        <v>5140.2</v>
      </c>
      <c r="AX47" s="136">
        <f t="shared" si="9"/>
        <v>10840.5</v>
      </c>
      <c r="AY47" s="136">
        <f t="shared" si="10"/>
        <v>7091.700000000001</v>
      </c>
      <c r="AZ47" s="20">
        <f t="shared" si="11"/>
        <v>3748.7999999999993</v>
      </c>
      <c r="BA47" s="20">
        <f t="shared" si="12"/>
        <v>5140.199999999999</v>
      </c>
    </row>
    <row r="48" spans="1:53" s="8" customFormat="1" ht="34.5" customHeight="1">
      <c r="A48" s="38"/>
      <c r="B48" s="1" t="s">
        <v>101</v>
      </c>
      <c r="C48" s="136">
        <f>населення!C49+льготи!C48+субсидии!C48+'держ.бюджет'!C48+'місц.-район.бюджет'!C48+обласной!C48+'госпрозрахунк.'!C48</f>
        <v>3668.4</v>
      </c>
      <c r="D48" s="137">
        <f>населення!D49+льготи!D48+субсидии!D48+'держ.бюджет'!D48+'місц.-район.бюджет'!D48+обласной!D48+'госпрозрахунк.'!D48</f>
        <v>12254.7</v>
      </c>
      <c r="E48" s="137">
        <f>населення!E49+льготи!E48+субсидии!E48+'держ.бюджет'!E48+'місц.-район.бюджет'!E48+обласной!E48+'госпрозрахунк.'!E48</f>
        <v>660.2</v>
      </c>
      <c r="F48" s="14">
        <f t="shared" si="3"/>
        <v>5.387320783046504</v>
      </c>
      <c r="G48" s="137">
        <f>населення!G49+льготи!G48+субсидии!G48+'держ.бюджет'!G48+'місц.-район.бюджет'!G48+обласной!G48+'госпрозрахунк.'!G48</f>
        <v>14636.2</v>
      </c>
      <c r="H48" s="137">
        <f>населення!H49+льготи!H48+субсидии!H48+'держ.бюджет'!H48+'місц.-район.бюджет'!H48+обласной!H48+'госпрозрахунк.'!H48</f>
        <v>8513.9</v>
      </c>
      <c r="I48" s="14">
        <f t="shared" si="14"/>
        <v>58.17015345513179</v>
      </c>
      <c r="J48" s="137"/>
      <c r="K48" s="137"/>
      <c r="L48" s="14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>
        <f>населення!AT49+льготи!AS48+субсидии!AS48+'держ.бюджет'!AS48+'місц.-район.бюджет'!AS48+обласной!AS48+'госпрозрахунк.'!AS48</f>
        <v>26890.899999999998</v>
      </c>
      <c r="AT48" s="136">
        <f>населення!AU49+льготи!AT48+субсидии!AT48+'держ.бюджет'!AT48+'місц.-район.бюджет'!AT48+обласной!AT48+'госпрозрахунк.'!AT48</f>
        <v>9174.1</v>
      </c>
      <c r="AU48" s="136">
        <f t="shared" si="8"/>
        <v>34.116002067613955</v>
      </c>
      <c r="AV48" s="136">
        <f>населення!AW49+льготи!AV48+субсидии!AV48+'держ.бюджет'!AV48+'місц.-район.бюджет'!AV48+обласной!AV48+'госпрозрахунк.'!AV48</f>
        <v>17716.8</v>
      </c>
      <c r="AW48" s="136">
        <f>населення!AX49+льготи!AW48+субсидии!AW48+'держ.бюджет'!AW48+'місц.-район.бюджет'!AW48+обласной!AW48+'госпрозрахунк.'!AW48</f>
        <v>21385.2</v>
      </c>
      <c r="AX48" s="136">
        <f>D48+G48</f>
        <v>26890.9</v>
      </c>
      <c r="AY48" s="136">
        <f>E48+H48</f>
        <v>9174.1</v>
      </c>
      <c r="AZ48" s="20">
        <f t="shared" si="11"/>
        <v>17716.800000000003</v>
      </c>
      <c r="BA48" s="20">
        <f t="shared" si="12"/>
        <v>21385.200000000004</v>
      </c>
    </row>
    <row r="49" spans="1:54" s="8" customFormat="1" ht="34.5" customHeight="1">
      <c r="A49" s="138"/>
      <c r="B49" s="16" t="s">
        <v>60</v>
      </c>
      <c r="C49" s="136">
        <f>населення!C50+льготи!C49+субсидии!C49+'держ.бюджет'!C49+'місц.-район.бюджет'!C49+обласной!C49+'госпрозрахунк.'!C49</f>
        <v>3511786.9000000004</v>
      </c>
      <c r="D49" s="137">
        <f>населення!D50+льготи!D49+субсидии!D49+'держ.бюджет'!D49+'місц.-район.бюджет'!D49+обласной!D49+'госпрозрахунк.'!D49</f>
        <v>1272196.3</v>
      </c>
      <c r="E49" s="137">
        <f>населення!E50+льготи!E49+субсидии!E49+'держ.бюджет'!E49+'місц.-район.бюджет'!E49+обласной!E49+'госпрозрахунк.'!E49</f>
        <v>702472.1000000001</v>
      </c>
      <c r="F49" s="14">
        <f t="shared" si="3"/>
        <v>55.21727268032457</v>
      </c>
      <c r="G49" s="136">
        <f>населення!G50+льготи!G49+субсидии!G49+'держ.бюджет'!G49+'місц.-район.бюджет'!G49+обласной!G49+'госпрозрахунк.'!G49</f>
        <v>1144984.7</v>
      </c>
      <c r="H49" s="136">
        <f>населення!H50+льготи!H49+субсидии!H49+'держ.бюджет'!H49+'місц.-район.бюджет'!H49+обласной!H49+'госпрозрахунк.'!H49</f>
        <v>924736.6</v>
      </c>
      <c r="I49" s="14">
        <f t="shared" si="14"/>
        <v>80.76410103995276</v>
      </c>
      <c r="J49" s="136">
        <f>населення!J50+льготи!J49+субсидии!J49+'держ.бюджет'!J49+'місц.-район.бюджет'!J49+обласной!J49+'госпрозрахунк.'!J49</f>
        <v>0</v>
      </c>
      <c r="K49" s="136">
        <f>населення!K50+льготи!K49+субсидии!K49+'держ.бюджет'!K49+'місц.-район.бюджет'!K49+обласной!K49+'госпрозрахунк.'!K49</f>
        <v>0</v>
      </c>
      <c r="L49" s="14" t="e">
        <f t="shared" si="1"/>
        <v>#DIV/0!</v>
      </c>
      <c r="M49" s="136">
        <f>населення!M50+льготи!M49+субсидии!M49+'держ.бюджет'!M49+'місц.-район.бюджет'!M49+обласной!M49+'госпрозрахунк.'!M49</f>
        <v>2390400.5</v>
      </c>
      <c r="N49" s="136">
        <f>населення!N50+льготи!N49+субсидии!N49+'держ.бюджет'!N49+'місц.-район.бюджет'!N49+обласной!N49+'госпрозрахунк.'!N49</f>
        <v>1618034.5999999999</v>
      </c>
      <c r="O49" s="136">
        <f t="shared" si="4"/>
        <v>67.6888496300097</v>
      </c>
      <c r="P49" s="136">
        <f>населення!P50+льготи!P49+субсидии!P49+'держ.бюджет'!P49+'місц.-район.бюджет'!P49+обласной!P49+'госпрозрахунк.'!P49</f>
        <v>0</v>
      </c>
      <c r="Q49" s="136">
        <f>населення!Q50+льготи!Q49+субсидии!Q49+'держ.бюджет'!Q49+'місц.-район.бюджет'!Q49+обласной!Q49+'госпрозрахунк.'!Q49</f>
        <v>0</v>
      </c>
      <c r="R49" s="136" t="e">
        <f t="shared" si="5"/>
        <v>#DIV/0!</v>
      </c>
      <c r="S49" s="136">
        <f>населення!S50+льготи!S49+субсидии!S49+'держ.бюджет'!S49+'місц.-район.бюджет'!S49+обласной!S49+'госпрозрахунк.'!S49</f>
        <v>0</v>
      </c>
      <c r="T49" s="136">
        <f>населення!T50+льготи!T49+субсидии!T49+'держ.бюджет'!T49+'місц.-район.бюджет'!T49+обласной!T49+'госпрозрахунк.'!T49</f>
        <v>0</v>
      </c>
      <c r="U49" s="136" t="e">
        <f>T49/S49*100</f>
        <v>#DIV/0!</v>
      </c>
      <c r="V49" s="136">
        <f>населення!V50+льготи!V49+субсидии!V49+'держ.бюджет'!V49+'місц.-район.бюджет'!V49+обласной!V49+'госпрозрахунк.'!V49</f>
        <v>0</v>
      </c>
      <c r="W49" s="136">
        <f>населення!W50+льготи!W49+субсидии!W49+'держ.бюджет'!W49+'місц.-район.бюджет'!W49+обласной!W49+'госпрозрахунк.'!W49</f>
        <v>0</v>
      </c>
      <c r="X49" s="136" t="e">
        <f>W49/V49*100</f>
        <v>#DIV/0!</v>
      </c>
      <c r="Y49" s="136">
        <f>населення!Y50+льготи!Y49+субсидии!Y49+'держ.бюджет'!Y49+'місц.-район.бюджет'!Y49+обласной!Y49+'госпрозрахунк.'!Y49</f>
        <v>0</v>
      </c>
      <c r="Z49" s="136">
        <f>населення!Z50+льготи!Z49+субсидии!Z49+'держ.бюджет'!Z49+'місц.-район.бюджет'!Z49+обласной!Z49+'госпрозрахунк.'!Z49</f>
        <v>0</v>
      </c>
      <c r="AA49" s="136" t="e">
        <f t="shared" si="15"/>
        <v>#DIV/0!</v>
      </c>
      <c r="AB49" s="136">
        <f>населення!AB50+льготи!AB49+субсидии!AB49+'держ.бюджет'!AB49+'місц.-район.бюджет'!AB49+обласной!AB49+'госпрозрахунк.'!AB49</f>
        <v>0</v>
      </c>
      <c r="AC49" s="136">
        <f>населення!AC50+льготи!AC49+субсидии!AC49+'держ.бюджет'!AC49+'місц.-район.бюджет'!AC49+обласной!AC49+'госпрозрахунк.'!AC49</f>
        <v>0</v>
      </c>
      <c r="AD49" s="136" t="e">
        <f t="shared" si="6"/>
        <v>#DIV/0!</v>
      </c>
      <c r="AE49" s="136">
        <f>населення!AE50+льготи!AE49+субсидии!AE49+'держ.бюджет'!AE49+'місц.-район.бюджет'!AE49+обласной!AE49+'госпрозрахунк.'!AE49</f>
        <v>0</v>
      </c>
      <c r="AF49" s="136">
        <f>населення!AF50+льготи!AF49+субсидии!AF49+'держ.бюджет'!AF49+'місц.-район.бюджет'!AF49+обласной!AF49+'госпрозрахунк.'!AF49</f>
        <v>0</v>
      </c>
      <c r="AG49" s="136" t="e">
        <f t="shared" si="16"/>
        <v>#DIV/0!</v>
      </c>
      <c r="AH49" s="136">
        <f>населення!AH50+льготи!AH49+субсидии!AH49+'держ.бюджет'!AH49+'місц.-район.бюджет'!AH49+обласной!AH49+'госпрозрахунк.'!AH49</f>
        <v>0</v>
      </c>
      <c r="AI49" s="136">
        <f>населення!AI50+льготи!AI49+субсидии!AI49+'держ.бюджет'!AI49+'місц.-район.бюджет'!AI49+обласной!AI49+'госпрозрахунк.'!AI49</f>
        <v>0</v>
      </c>
      <c r="AJ49" s="136">
        <f>населення!AJ50+льготи!AJ49+субсидии!AJ49+'держ.бюджет'!AJ49+'місц.-район.бюджет'!AJ49+обласной!AJ49+'госпрозрахунк.'!AJ49</f>
        <v>0</v>
      </c>
      <c r="AK49" s="136">
        <f>населення!AK50+льготи!AK49+субсидии!AK49+'держ.бюджет'!AK49+'місц.-район.бюджет'!AK49+обласной!AK49+'госпрозрахунк.'!AK49</f>
        <v>0</v>
      </c>
      <c r="AL49" s="136" t="e">
        <f t="shared" si="7"/>
        <v>#DIV/0!</v>
      </c>
      <c r="AM49" s="136">
        <f>населення!AM50+льготи!AM49+субсидии!AM49+'держ.бюджет'!AM49+'місц.-район.бюджет'!AM49+обласной!AM49+'госпрозрахунк.'!AM49</f>
        <v>0</v>
      </c>
      <c r="AN49" s="136">
        <f>населення!AN50+льготи!AN49+субсидии!AN49+'держ.бюджет'!AN49+'місц.-район.бюджет'!AN49+обласной!AN49+'госпрозрахунк.'!AN49</f>
        <v>0</v>
      </c>
      <c r="AO49" s="136">
        <f>населення!AO50+льготи!AO49+субсидии!AO49+'держ.бюджет'!AO49+'місц.-район.бюджет'!AO49+обласной!AO49+'госпрозрахунк.'!AO49</f>
        <v>0</v>
      </c>
      <c r="AP49" s="136">
        <f>населення!AP50+льготи!AP49+субсидии!AP49+'держ.бюджет'!AP49+'місц.-район.бюджет'!AP49+обласной!AP49+'госпрозрахунк.'!AP49</f>
        <v>0</v>
      </c>
      <c r="AQ49" s="136">
        <f>населення!AR50+льготи!AQ49+субсидии!AQ49+'держ.бюджет'!AQ49+'місц.-район.бюджет'!AQ49+обласной!AQ49+'госпрозрахунк.'!AQ49</f>
        <v>0</v>
      </c>
      <c r="AR49" s="136">
        <f>населення!AS50+льготи!AR49+субсидии!AR49+'держ.бюджет'!AR49+'місц.-район.бюджет'!AR49+обласной!AR49+'госпрозрахунк.'!AR49</f>
        <v>0</v>
      </c>
      <c r="AS49" s="136">
        <f>населення!AT50+льготи!AS49+субсидии!AS49+'держ.бюджет'!AS49+'місц.-район.бюджет'!AS49+обласной!AS49+'госпрозрахунк.'!AS49</f>
        <v>2417291.4000000004</v>
      </c>
      <c r="AT49" s="136">
        <f>населення!AU50+льготи!AT49+субсидии!AT49+'держ.бюджет'!AT49+'місц.-район.бюджет'!AT49+обласной!AT49+'госпрозрахунк.'!AT49</f>
        <v>1627208.7</v>
      </c>
      <c r="AU49" s="136">
        <f t="shared" si="8"/>
        <v>67.31537207305664</v>
      </c>
      <c r="AV49" s="136">
        <f>населення!AW50+льготи!AV49+субсидии!AV49+'держ.бюджет'!AV49+'місц.-район.бюджет'!AV49+обласной!AV49+'госпрозрахунк.'!AV49</f>
        <v>790082.7000000001</v>
      </c>
      <c r="AW49" s="136">
        <f>населення!AX50+льготи!AW49+субсидии!AW49+'держ.бюджет'!AW49+'місц.-район.бюджет'!AW49+обласной!AW49+'госпрозрахунк.'!AW49</f>
        <v>4301869.6</v>
      </c>
      <c r="AX49" s="136">
        <f>AX7+AX45</f>
        <v>2417291.4</v>
      </c>
      <c r="AY49" s="136">
        <f>AY7+AY45</f>
        <v>1627208.7</v>
      </c>
      <c r="AZ49" s="136">
        <f>AZ7+AZ45</f>
        <v>790082.7000000002</v>
      </c>
      <c r="BA49" s="136">
        <f>BA7+BA45</f>
        <v>4301869.600000001</v>
      </c>
      <c r="BB49" s="136">
        <f>BB7+BB45</f>
        <v>0</v>
      </c>
    </row>
    <row r="50" spans="1:53" s="116" customFormat="1" ht="63.75" customHeight="1">
      <c r="A50" s="239" t="s">
        <v>66</v>
      </c>
      <c r="B50" s="239"/>
      <c r="C50" s="239"/>
      <c r="D50" s="139"/>
      <c r="E50" s="139"/>
      <c r="F50" s="117"/>
      <c r="G50" s="131"/>
      <c r="H50" s="131"/>
      <c r="I50" s="117"/>
      <c r="J50" s="131"/>
      <c r="K50" s="131"/>
      <c r="L50" s="117"/>
      <c r="M50" s="117"/>
      <c r="N50" s="117"/>
      <c r="O50" s="117"/>
      <c r="P50" s="131"/>
      <c r="Q50" s="131"/>
      <c r="R50" s="117"/>
      <c r="S50" s="131"/>
      <c r="T50" s="131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8"/>
      <c r="AW50" s="118" t="s">
        <v>67</v>
      </c>
      <c r="AX50" s="140"/>
      <c r="AY50" s="140"/>
      <c r="AZ50" s="140"/>
      <c r="BA50" s="140"/>
    </row>
    <row r="51" spans="48:52" ht="18.75">
      <c r="AV51" s="27"/>
      <c r="AX51" s="135"/>
      <c r="AZ51" s="135">
        <f>AZ50-AV49</f>
        <v>-790082.7000000001</v>
      </c>
    </row>
    <row r="52" spans="48:49" ht="18.75">
      <c r="AV52" s="27"/>
      <c r="AW52" s="135"/>
    </row>
    <row r="53" spans="48:49" ht="18.75">
      <c r="AV53" s="27"/>
      <c r="AW53" s="135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  <row r="96" ht="18.75">
      <c r="AV96" s="27"/>
    </row>
  </sheetData>
  <sheetProtection/>
  <autoFilter ref="F1:F96"/>
  <mergeCells count="21">
    <mergeCell ref="A2:AW3"/>
    <mergeCell ref="AW5:AW6"/>
    <mergeCell ref="AE5:AG5"/>
    <mergeCell ref="S5:U5"/>
    <mergeCell ref="AB5:AD5"/>
    <mergeCell ref="A50:C50"/>
    <mergeCell ref="AH5:AI5"/>
    <mergeCell ref="J5:L5"/>
    <mergeCell ref="Y5:AA5"/>
    <mergeCell ref="AJ5:AL5"/>
    <mergeCell ref="AV5:AV6"/>
    <mergeCell ref="M5:O5"/>
    <mergeCell ref="P5:R5"/>
    <mergeCell ref="AO5:AP5"/>
    <mergeCell ref="AM5:AN5"/>
    <mergeCell ref="G5:I5"/>
    <mergeCell ref="D5:F5"/>
    <mergeCell ref="AQ5:AR5"/>
    <mergeCell ref="B4:C4"/>
    <mergeCell ref="AS5:AU5"/>
    <mergeCell ref="V5:X5"/>
  </mergeCells>
  <printOptions horizontalCentered="1"/>
  <pageMargins left="0" right="0" top="0" bottom="0" header="0" footer="0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6"/>
  <sheetViews>
    <sheetView view="pageBreakPreview" zoomScale="70" zoomScaleNormal="75" zoomScaleSheetLayoutView="70" zoomScalePageLayoutView="0" workbookViewId="0" topLeftCell="A4">
      <pane xSplit="7" ySplit="5" topLeftCell="AV49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Z51" sqref="AZ51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customWidth="1"/>
    <col min="6" max="6" width="15.125" style="8" customWidth="1"/>
    <col min="7" max="8" width="15.125" style="5" customWidth="1"/>
    <col min="9" max="9" width="15.125" style="8" customWidth="1"/>
    <col min="10" max="11" width="15.125" style="5" hidden="1" customWidth="1"/>
    <col min="12" max="14" width="15.1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30" width="14.2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42" t="s">
        <v>94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</row>
    <row r="4" spans="1:50" s="30" customFormat="1" ht="60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</row>
    <row r="5" spans="2:50" ht="34.5" customHeight="1">
      <c r="B5" s="238"/>
      <c r="C5" s="238"/>
      <c r="AX5" s="11" t="s">
        <v>26</v>
      </c>
    </row>
    <row r="6" spans="1:54" s="9" customFormat="1" ht="51.75" customHeight="1">
      <c r="A6" s="74" t="s">
        <v>4</v>
      </c>
      <c r="B6" s="74"/>
      <c r="C6" s="24" t="s">
        <v>1</v>
      </c>
      <c r="D6" s="235" t="s">
        <v>68</v>
      </c>
      <c r="E6" s="236"/>
      <c r="F6" s="237"/>
      <c r="G6" s="232" t="s">
        <v>70</v>
      </c>
      <c r="H6" s="233"/>
      <c r="I6" s="234"/>
      <c r="J6" s="245" t="s">
        <v>71</v>
      </c>
      <c r="K6" s="246"/>
      <c r="L6" s="247"/>
      <c r="M6" s="232" t="s">
        <v>85</v>
      </c>
      <c r="N6" s="233"/>
      <c r="O6" s="234"/>
      <c r="P6" s="232" t="s">
        <v>72</v>
      </c>
      <c r="Q6" s="233"/>
      <c r="R6" s="234"/>
      <c r="S6" s="245" t="s">
        <v>75</v>
      </c>
      <c r="T6" s="246"/>
      <c r="U6" s="247"/>
      <c r="V6" s="245" t="s">
        <v>76</v>
      </c>
      <c r="W6" s="246"/>
      <c r="X6" s="247"/>
      <c r="Y6" s="232" t="s">
        <v>77</v>
      </c>
      <c r="Z6" s="233"/>
      <c r="AA6" s="234"/>
      <c r="AB6" s="232" t="s">
        <v>78</v>
      </c>
      <c r="AC6" s="233"/>
      <c r="AD6" s="234"/>
      <c r="AE6" s="232" t="s">
        <v>79</v>
      </c>
      <c r="AF6" s="233"/>
      <c r="AG6" s="234"/>
      <c r="AH6" s="232" t="s">
        <v>80</v>
      </c>
      <c r="AI6" s="234"/>
      <c r="AJ6" s="232" t="s">
        <v>81</v>
      </c>
      <c r="AK6" s="233"/>
      <c r="AL6" s="234"/>
      <c r="AM6" s="232" t="s">
        <v>82</v>
      </c>
      <c r="AN6" s="234"/>
      <c r="AO6" s="232" t="s">
        <v>83</v>
      </c>
      <c r="AP6" s="234"/>
      <c r="AQ6" s="95"/>
      <c r="AR6" s="232" t="s">
        <v>84</v>
      </c>
      <c r="AS6" s="234"/>
      <c r="AT6" s="235" t="s">
        <v>87</v>
      </c>
      <c r="AU6" s="236"/>
      <c r="AV6" s="237"/>
      <c r="AW6" s="240" t="s">
        <v>91</v>
      </c>
      <c r="AX6" s="240" t="s">
        <v>92</v>
      </c>
      <c r="AY6" s="98"/>
      <c r="AZ6" s="98"/>
      <c r="BA6" s="98"/>
      <c r="BB6" s="98"/>
    </row>
    <row r="7" spans="1:52" s="9" customFormat="1" ht="51.75" customHeight="1">
      <c r="A7" s="75" t="s">
        <v>2</v>
      </c>
      <c r="B7" s="26" t="s">
        <v>61</v>
      </c>
      <c r="C7" s="97" t="s">
        <v>86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41"/>
      <c r="AX7" s="241"/>
      <c r="AY7" s="98">
        <f>AY8-AZ8</f>
        <v>42440.69999999998</v>
      </c>
      <c r="AZ7" s="98">
        <f>C8+AT8-AU8</f>
        <v>401196.80000000005</v>
      </c>
    </row>
    <row r="8" spans="1:53" s="110" customFormat="1" ht="34.5" customHeight="1">
      <c r="A8" s="107"/>
      <c r="B8" s="108" t="s">
        <v>62</v>
      </c>
      <c r="C8" s="94">
        <f aca="true" t="shared" si="0" ref="C8:AS8">SUM(C9:C45)-C34-C35-C36-C37</f>
        <v>358756.1</v>
      </c>
      <c r="D8" s="94">
        <f t="shared" si="0"/>
        <v>126583</v>
      </c>
      <c r="E8" s="94">
        <f t="shared" si="0"/>
        <v>90786.30000000002</v>
      </c>
      <c r="F8" s="94">
        <f aca="true" t="shared" si="1" ref="F8:F27">E8/D8*100</f>
        <v>71.72076819162132</v>
      </c>
      <c r="G8" s="94">
        <f t="shared" si="0"/>
        <v>103878.7</v>
      </c>
      <c r="H8" s="94">
        <f t="shared" si="0"/>
        <v>97234.7</v>
      </c>
      <c r="I8" s="14">
        <f>H8/G8*100</f>
        <v>93.60407860321702</v>
      </c>
      <c r="J8" s="94">
        <f>SUM(J9:J45)-J34-J35-J36-J37</f>
        <v>0</v>
      </c>
      <c r="K8" s="94">
        <f t="shared" si="0"/>
        <v>0</v>
      </c>
      <c r="L8" s="14" t="e">
        <f>K8/J8*100</f>
        <v>#DIV/0!</v>
      </c>
      <c r="M8" s="94">
        <f t="shared" si="0"/>
        <v>230461.7</v>
      </c>
      <c r="N8" s="94">
        <f t="shared" si="0"/>
        <v>188021.00000000003</v>
      </c>
      <c r="O8" s="14">
        <f aca="true" t="shared" si="2" ref="O8:O50">N8/M8*100</f>
        <v>81.58448887602583</v>
      </c>
      <c r="P8" s="94">
        <f t="shared" si="0"/>
        <v>0</v>
      </c>
      <c r="Q8" s="94">
        <f t="shared" si="0"/>
        <v>0</v>
      </c>
      <c r="R8" s="14" t="e">
        <f>Q8/P8*100</f>
        <v>#DIV/0!</v>
      </c>
      <c r="S8" s="94">
        <f t="shared" si="0"/>
        <v>0</v>
      </c>
      <c r="T8" s="94">
        <f t="shared" si="0"/>
        <v>0</v>
      </c>
      <c r="U8" s="94" t="e">
        <f t="shared" si="0"/>
        <v>#DIV/0!</v>
      </c>
      <c r="V8" s="94">
        <f t="shared" si="0"/>
        <v>0</v>
      </c>
      <c r="W8" s="94">
        <f t="shared" si="0"/>
        <v>0</v>
      </c>
      <c r="X8" s="94" t="e">
        <f t="shared" si="0"/>
        <v>#DIV/0!</v>
      </c>
      <c r="Y8" s="94">
        <f t="shared" si="0"/>
        <v>0</v>
      </c>
      <c r="Z8" s="94">
        <f t="shared" si="0"/>
        <v>0</v>
      </c>
      <c r="AA8" s="14" t="e">
        <f>Z8/Y8*100</f>
        <v>#DIV/0!</v>
      </c>
      <c r="AB8" s="94">
        <f t="shared" si="0"/>
        <v>0</v>
      </c>
      <c r="AC8" s="94">
        <f t="shared" si="0"/>
        <v>0</v>
      </c>
      <c r="AD8" s="14" t="e">
        <f>AC8/AB8*100</f>
        <v>#DIV/0!</v>
      </c>
      <c r="AE8" s="94">
        <f t="shared" si="0"/>
        <v>0</v>
      </c>
      <c r="AF8" s="94">
        <f t="shared" si="0"/>
        <v>0</v>
      </c>
      <c r="AG8" s="94" t="e">
        <f t="shared" si="0"/>
        <v>#DIV/0!</v>
      </c>
      <c r="AH8" s="94">
        <f t="shared" si="0"/>
        <v>0</v>
      </c>
      <c r="AI8" s="94">
        <f t="shared" si="0"/>
        <v>0</v>
      </c>
      <c r="AJ8" s="94">
        <f t="shared" si="0"/>
        <v>0</v>
      </c>
      <c r="AK8" s="94">
        <f t="shared" si="0"/>
        <v>0</v>
      </c>
      <c r="AL8" s="94" t="e">
        <f t="shared" si="0"/>
        <v>#DIV/0!</v>
      </c>
      <c r="AM8" s="94">
        <f t="shared" si="0"/>
        <v>0</v>
      </c>
      <c r="AN8" s="94">
        <f t="shared" si="0"/>
        <v>0</v>
      </c>
      <c r="AO8" s="94">
        <f t="shared" si="0"/>
        <v>0</v>
      </c>
      <c r="AP8" s="94">
        <f t="shared" si="0"/>
        <v>0</v>
      </c>
      <c r="AQ8" s="226" t="e">
        <f>AP8/AO8*100</f>
        <v>#DIV/0!</v>
      </c>
      <c r="AR8" s="94">
        <f t="shared" si="0"/>
        <v>0</v>
      </c>
      <c r="AS8" s="94">
        <f t="shared" si="0"/>
        <v>0</v>
      </c>
      <c r="AT8" s="94">
        <f>SUM(AT9:AT45)-AT34-AT35-AT36-AT37</f>
        <v>230461.7</v>
      </c>
      <c r="AU8" s="94">
        <f>SUM(AU9:AU45)-AU34-AU35-AU36-AU37</f>
        <v>188021.00000000003</v>
      </c>
      <c r="AV8" s="94">
        <f>AU8/AT8*100</f>
        <v>81.58448887602583</v>
      </c>
      <c r="AW8" s="94">
        <f>SUM(AW9:AW45)-AW34-AW35-AW36-AW37</f>
        <v>42440.700000000004</v>
      </c>
      <c r="AX8" s="94">
        <f>SUM(AX9:AX45)-AX34-AX35-AX36-AX37</f>
        <v>401196.80000000005</v>
      </c>
      <c r="AY8" s="109">
        <f>M8+Y8+AJ8+AM8+AO8+AR8</f>
        <v>230461.7</v>
      </c>
      <c r="AZ8" s="109">
        <f>N8+Z8+AK8+AN8+AP8+AS8</f>
        <v>188021.00000000003</v>
      </c>
      <c r="BA8" s="109">
        <f>C8+AY8-AZ8</f>
        <v>401196.80000000005</v>
      </c>
    </row>
    <row r="9" spans="1:53" ht="34.5" customHeight="1">
      <c r="A9" s="6">
        <v>1</v>
      </c>
      <c r="B9" s="1" t="s">
        <v>27</v>
      </c>
      <c r="C9" s="2">
        <v>40483.7</v>
      </c>
      <c r="D9" s="3">
        <v>9152.2</v>
      </c>
      <c r="E9" s="3">
        <v>6797.6</v>
      </c>
      <c r="F9" s="14">
        <f t="shared" si="1"/>
        <v>74.2728524289242</v>
      </c>
      <c r="G9" s="3">
        <v>7644.7</v>
      </c>
      <c r="H9" s="3">
        <v>7248.8</v>
      </c>
      <c r="I9" s="14">
        <f>H9/G9*100</f>
        <v>94.8212487082554</v>
      </c>
      <c r="J9" s="3"/>
      <c r="K9" s="3"/>
      <c r="L9" s="14" t="e">
        <f>K9/J9*100</f>
        <v>#DIV/0!</v>
      </c>
      <c r="M9" s="3">
        <f>D9+G9+J9</f>
        <v>16796.9</v>
      </c>
      <c r="N9" s="3">
        <f>E9+H9+K9</f>
        <v>14046.400000000001</v>
      </c>
      <c r="O9" s="14">
        <f t="shared" si="2"/>
        <v>83.62495460471872</v>
      </c>
      <c r="P9" s="3"/>
      <c r="Q9" s="3"/>
      <c r="R9" s="14" t="e">
        <f>Q9/P9*100</f>
        <v>#DIV/0!</v>
      </c>
      <c r="S9" s="3"/>
      <c r="T9" s="3"/>
      <c r="U9" s="14" t="e">
        <f>T9/S9*100</f>
        <v>#DIV/0!</v>
      </c>
      <c r="V9" s="3"/>
      <c r="W9" s="3"/>
      <c r="X9" s="14" t="e">
        <f>W9/V9*100</f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14" t="e">
        <f aca="true" t="shared" si="3" ref="AD9:AD50"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14"/>
      <c r="AR9" s="3"/>
      <c r="AS9" s="3"/>
      <c r="AT9" s="3">
        <f>M9+Y9+AJ9+AM9+AO9+AR9</f>
        <v>16796.9</v>
      </c>
      <c r="AU9" s="3">
        <f>N9+Z9+AK9+AN9+AP9+AS9</f>
        <v>14046.400000000001</v>
      </c>
      <c r="AV9" s="14">
        <f>AU9/AT9*100</f>
        <v>83.62495460471872</v>
      </c>
      <c r="AW9" s="14">
        <f>AT9-AU9</f>
        <v>2750.5</v>
      </c>
      <c r="AX9" s="4">
        <f>C9+AT9-AU9</f>
        <v>43234.2</v>
      </c>
      <c r="AY9" s="109">
        <f aca="true" t="shared" si="4" ref="AY9:AY47">M9+Y9+AJ9+AM9+AO9+AR9</f>
        <v>16796.9</v>
      </c>
      <c r="AZ9" s="109">
        <f aca="true" t="shared" si="5" ref="AZ9:AZ49">N9+Z9+AK9+AN9+AP9+AS9</f>
        <v>14046.400000000001</v>
      </c>
      <c r="BA9" s="109">
        <f aca="true" t="shared" si="6" ref="BA9:BA49">C9+AY9-AZ9</f>
        <v>43234.2</v>
      </c>
    </row>
    <row r="10" spans="1:53" ht="34.5" customHeight="1">
      <c r="A10" s="6">
        <v>2</v>
      </c>
      <c r="B10" s="32" t="s">
        <v>28</v>
      </c>
      <c r="C10" s="2">
        <v>240.1</v>
      </c>
      <c r="D10" s="3">
        <v>167.7</v>
      </c>
      <c r="E10" s="3">
        <v>119.2</v>
      </c>
      <c r="F10" s="14">
        <f t="shared" si="1"/>
        <v>71.07930828861062</v>
      </c>
      <c r="G10" s="3">
        <v>151.4</v>
      </c>
      <c r="H10" s="3">
        <v>132.7</v>
      </c>
      <c r="I10" s="14">
        <f aca="true" t="shared" si="7" ref="I10:I22">H10/G10*100</f>
        <v>87.64861294583882</v>
      </c>
      <c r="J10" s="3"/>
      <c r="K10" s="3"/>
      <c r="L10" s="14" t="e">
        <f aca="true" t="shared" si="8" ref="L10:L22">K10/J10*100</f>
        <v>#DIV/0!</v>
      </c>
      <c r="M10" s="3">
        <f aca="true" t="shared" si="9" ref="M10:M45">D10+G10+J10</f>
        <v>319.1</v>
      </c>
      <c r="N10" s="3">
        <f aca="true" t="shared" si="10" ref="N10:N45">E10+H10+K10</f>
        <v>251.89999999999998</v>
      </c>
      <c r="O10" s="14">
        <f t="shared" si="2"/>
        <v>78.94077091820745</v>
      </c>
      <c r="P10" s="3"/>
      <c r="Q10" s="3"/>
      <c r="R10" s="14" t="e">
        <f aca="true" t="shared" si="11" ref="R10:R20">Q10/P10*100</f>
        <v>#DIV/0!</v>
      </c>
      <c r="S10" s="3"/>
      <c r="T10" s="3"/>
      <c r="U10" s="14" t="e">
        <f aca="true" t="shared" si="12" ref="U10:U16">T10/S10*100</f>
        <v>#DIV/0!</v>
      </c>
      <c r="V10" s="3"/>
      <c r="W10" s="3"/>
      <c r="X10" s="14" t="e">
        <f aca="true" t="shared" si="13" ref="X10:X16">W10/V10*100</f>
        <v>#DIV/0!</v>
      </c>
      <c r="Y10" s="3">
        <f>P10+S10+V10</f>
        <v>0</v>
      </c>
      <c r="Z10" s="3">
        <f>Q10+T10+W10</f>
        <v>0</v>
      </c>
      <c r="AA10" s="14" t="e">
        <f>Z10/Y10*100</f>
        <v>#DIV/0!</v>
      </c>
      <c r="AB10" s="3"/>
      <c r="AC10" s="3"/>
      <c r="AD10" s="28" t="e">
        <f t="shared" si="3"/>
        <v>#DIV/0!</v>
      </c>
      <c r="AE10" s="3"/>
      <c r="AF10" s="3"/>
      <c r="AG10" s="28" t="e">
        <f aca="true" t="shared" si="14" ref="AG10:AG16">AF10/AE10*100</f>
        <v>#DIV/0!</v>
      </c>
      <c r="AH10" s="3"/>
      <c r="AI10" s="3"/>
      <c r="AJ10" s="3">
        <f>AB10+AE10+AH10</f>
        <v>0</v>
      </c>
      <c r="AK10" s="3">
        <f>AC10+AF10+AI10</f>
        <v>0</v>
      </c>
      <c r="AL10" s="14" t="e">
        <f>AK10/AJ10*100</f>
        <v>#DIV/0!</v>
      </c>
      <c r="AM10" s="3"/>
      <c r="AN10" s="3"/>
      <c r="AO10" s="3"/>
      <c r="AP10" s="3"/>
      <c r="AQ10" s="14"/>
      <c r="AR10" s="3"/>
      <c r="AS10" s="3"/>
      <c r="AT10" s="3">
        <f>M10+Y10+AJ10+AM10+AO10+AR10</f>
        <v>319.1</v>
      </c>
      <c r="AU10" s="3">
        <f>N10+Z10+AK10+AN10+AP10+AS10</f>
        <v>251.89999999999998</v>
      </c>
      <c r="AV10" s="14">
        <f>AU10/AT10*100</f>
        <v>78.94077091820745</v>
      </c>
      <c r="AW10" s="14">
        <f>AT10-AU10</f>
        <v>67.20000000000005</v>
      </c>
      <c r="AX10" s="4">
        <f>C10+AT10-AU10</f>
        <v>307.30000000000007</v>
      </c>
      <c r="AY10" s="109">
        <f t="shared" si="4"/>
        <v>319.1</v>
      </c>
      <c r="AZ10" s="109">
        <f t="shared" si="5"/>
        <v>251.89999999999998</v>
      </c>
      <c r="BA10" s="109">
        <f t="shared" si="6"/>
        <v>307.30000000000007</v>
      </c>
    </row>
    <row r="11" spans="1:53" ht="34.5" customHeight="1">
      <c r="A11" s="6">
        <v>3</v>
      </c>
      <c r="B11" s="15" t="s">
        <v>29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14"/>
      <c r="AB11" s="21"/>
      <c r="AC11" s="21"/>
      <c r="AD11" s="28" t="e">
        <f t="shared" si="3"/>
        <v>#DIV/0!</v>
      </c>
      <c r="AE11" s="21"/>
      <c r="AF11" s="21"/>
      <c r="AG11" s="28" t="e">
        <f t="shared" si="14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09">
        <f t="shared" si="4"/>
        <v>0</v>
      </c>
      <c r="AZ11" s="109">
        <f t="shared" si="5"/>
        <v>0</v>
      </c>
      <c r="BA11" s="109">
        <f t="shared" si="6"/>
        <v>0</v>
      </c>
    </row>
    <row r="12" spans="1:53" ht="34.5" customHeight="1">
      <c r="A12" s="6">
        <v>4</v>
      </c>
      <c r="B12" s="1" t="s">
        <v>30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14"/>
      <c r="AB12" s="3"/>
      <c r="AC12" s="3"/>
      <c r="AD12" s="28" t="e">
        <f t="shared" si="3"/>
        <v>#DIV/0!</v>
      </c>
      <c r="AE12" s="3"/>
      <c r="AF12" s="3"/>
      <c r="AG12" s="28" t="e">
        <f t="shared" si="14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09">
        <f t="shared" si="4"/>
        <v>0</v>
      </c>
      <c r="AZ12" s="109">
        <f t="shared" si="5"/>
        <v>0</v>
      </c>
      <c r="BA12" s="109">
        <f t="shared" si="6"/>
        <v>0</v>
      </c>
    </row>
    <row r="13" spans="1:53" ht="34.5" customHeight="1">
      <c r="A13" s="6">
        <v>5</v>
      </c>
      <c r="B13" s="1" t="s">
        <v>31</v>
      </c>
      <c r="C13" s="2">
        <v>4110.5</v>
      </c>
      <c r="D13" s="3">
        <v>2416.5</v>
      </c>
      <c r="E13" s="3">
        <v>1929.9</v>
      </c>
      <c r="F13" s="14">
        <f t="shared" si="1"/>
        <v>79.86343885785226</v>
      </c>
      <c r="G13" s="3">
        <v>2150.6</v>
      </c>
      <c r="H13" s="3">
        <v>2190.8</v>
      </c>
      <c r="I13" s="14">
        <f t="shared" si="7"/>
        <v>101.86924579187205</v>
      </c>
      <c r="J13" s="3"/>
      <c r="K13" s="3"/>
      <c r="L13" s="14" t="e">
        <f t="shared" si="8"/>
        <v>#DIV/0!</v>
      </c>
      <c r="M13" s="3">
        <f t="shared" si="9"/>
        <v>4567.1</v>
      </c>
      <c r="N13" s="3">
        <f t="shared" si="10"/>
        <v>4120.700000000001</v>
      </c>
      <c r="O13" s="14">
        <f t="shared" si="2"/>
        <v>90.22574500229906</v>
      </c>
      <c r="P13" s="3"/>
      <c r="Q13" s="3"/>
      <c r="R13" s="14" t="e">
        <f t="shared" si="11"/>
        <v>#DIV/0!</v>
      </c>
      <c r="S13" s="3"/>
      <c r="T13" s="3"/>
      <c r="U13" s="14" t="e">
        <f t="shared" si="12"/>
        <v>#DIV/0!</v>
      </c>
      <c r="V13" s="3"/>
      <c r="W13" s="3"/>
      <c r="X13" s="14" t="e">
        <f t="shared" si="13"/>
        <v>#DIV/0!</v>
      </c>
      <c r="Y13" s="3">
        <f>P13+S13+V13</f>
        <v>0</v>
      </c>
      <c r="Z13" s="3">
        <f>Q13+T13+W13</f>
        <v>0</v>
      </c>
      <c r="AA13" s="14" t="e">
        <f>Z13/Y13*100</f>
        <v>#DIV/0!</v>
      </c>
      <c r="AB13" s="3"/>
      <c r="AC13" s="3"/>
      <c r="AD13" s="14" t="e">
        <f t="shared" si="3"/>
        <v>#DIV/0!</v>
      </c>
      <c r="AE13" s="3"/>
      <c r="AF13" s="3"/>
      <c r="AG13" s="28" t="e">
        <f t="shared" si="14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/>
      <c r="AN13" s="3"/>
      <c r="AO13" s="3"/>
      <c r="AP13" s="3"/>
      <c r="AQ13" s="14"/>
      <c r="AR13" s="3"/>
      <c r="AS13" s="3"/>
      <c r="AT13" s="3">
        <f aca="true" t="shared" si="15" ref="AT13:AU16">M13+Y13+AJ13+AM13+AO13+AR13</f>
        <v>4567.1</v>
      </c>
      <c r="AU13" s="3">
        <f t="shared" si="15"/>
        <v>4120.700000000001</v>
      </c>
      <c r="AV13" s="14">
        <f aca="true" t="shared" si="16" ref="AV13:AV23">AU13/AT13*100</f>
        <v>90.22574500229906</v>
      </c>
      <c r="AW13" s="14">
        <f aca="true" t="shared" si="17" ref="AW13:AW45">AT13-AU13</f>
        <v>446.39999999999964</v>
      </c>
      <c r="AX13" s="4">
        <f>C13+AT13-AU13</f>
        <v>4556.9</v>
      </c>
      <c r="AY13" s="109">
        <f t="shared" si="4"/>
        <v>4567.1</v>
      </c>
      <c r="AZ13" s="109">
        <f t="shared" si="5"/>
        <v>4120.700000000001</v>
      </c>
      <c r="BA13" s="109">
        <f t="shared" si="6"/>
        <v>4556.9</v>
      </c>
    </row>
    <row r="14" spans="1:53" ht="34.5" customHeight="1">
      <c r="A14" s="6">
        <v>6</v>
      </c>
      <c r="B14" s="1" t="s">
        <v>32</v>
      </c>
      <c r="C14" s="2">
        <v>17.5</v>
      </c>
      <c r="D14" s="3">
        <v>0</v>
      </c>
      <c r="E14" s="3">
        <v>0</v>
      </c>
      <c r="F14" s="28" t="e">
        <f t="shared" si="1"/>
        <v>#DIV/0!</v>
      </c>
      <c r="G14" s="3"/>
      <c r="H14" s="3"/>
      <c r="I14" s="28" t="e">
        <f t="shared" si="7"/>
        <v>#DIV/0!</v>
      </c>
      <c r="J14" s="3"/>
      <c r="K14" s="3"/>
      <c r="L14" s="28" t="e">
        <f t="shared" si="8"/>
        <v>#DIV/0!</v>
      </c>
      <c r="M14" s="3">
        <f t="shared" si="9"/>
        <v>0</v>
      </c>
      <c r="N14" s="3">
        <f t="shared" si="10"/>
        <v>0</v>
      </c>
      <c r="O14" s="28" t="e">
        <f t="shared" si="2"/>
        <v>#DIV/0!</v>
      </c>
      <c r="P14" s="3"/>
      <c r="Q14" s="3"/>
      <c r="R14" s="28" t="e">
        <f t="shared" si="11"/>
        <v>#DIV/0!</v>
      </c>
      <c r="S14" s="3"/>
      <c r="T14" s="3"/>
      <c r="U14" s="14" t="e">
        <f t="shared" si="12"/>
        <v>#DIV/0!</v>
      </c>
      <c r="V14" s="3"/>
      <c r="W14" s="3"/>
      <c r="X14" s="28" t="e">
        <f t="shared" si="13"/>
        <v>#DIV/0!</v>
      </c>
      <c r="Y14" s="3">
        <f>P14+S14+V14</f>
        <v>0</v>
      </c>
      <c r="Z14" s="3">
        <f>Q14+T14+W14</f>
        <v>0</v>
      </c>
      <c r="AA14" s="28" t="e">
        <f>Z14/Y14*100</f>
        <v>#DIV/0!</v>
      </c>
      <c r="AB14" s="3"/>
      <c r="AC14" s="3"/>
      <c r="AD14" s="28" t="e">
        <f t="shared" si="3"/>
        <v>#DIV/0!</v>
      </c>
      <c r="AE14" s="3"/>
      <c r="AF14" s="3"/>
      <c r="AG14" s="28" t="e">
        <f t="shared" si="14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/>
      <c r="AR14" s="3"/>
      <c r="AS14" s="3"/>
      <c r="AT14" s="3">
        <f t="shared" si="15"/>
        <v>0</v>
      </c>
      <c r="AU14" s="3">
        <f t="shared" si="15"/>
        <v>0</v>
      </c>
      <c r="AV14" s="28" t="e">
        <f>AU14/AT14*100</f>
        <v>#DIV/0!</v>
      </c>
      <c r="AW14" s="14">
        <f>AT14-AU14</f>
        <v>0</v>
      </c>
      <c r="AX14" s="4">
        <f>C14+AT14-AU14</f>
        <v>17.5</v>
      </c>
      <c r="AY14" s="109">
        <f t="shared" si="4"/>
        <v>0</v>
      </c>
      <c r="AZ14" s="109">
        <f t="shared" si="5"/>
        <v>0</v>
      </c>
      <c r="BA14" s="109">
        <f t="shared" si="6"/>
        <v>17.5</v>
      </c>
    </row>
    <row r="15" spans="1:53" ht="34.5" customHeight="1">
      <c r="A15" s="6">
        <v>7</v>
      </c>
      <c r="B15" s="1" t="s">
        <v>63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14"/>
      <c r="AB15" s="21"/>
      <c r="AC15" s="21"/>
      <c r="AD15" s="28" t="e">
        <f t="shared" si="3"/>
        <v>#DIV/0!</v>
      </c>
      <c r="AE15" s="21"/>
      <c r="AF15" s="21"/>
      <c r="AG15" s="28" t="e">
        <f t="shared" si="14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99">
        <f>C15+AT15-AU15</f>
        <v>0</v>
      </c>
      <c r="AY15" s="109">
        <f t="shared" si="4"/>
        <v>0</v>
      </c>
      <c r="AZ15" s="109">
        <f t="shared" si="5"/>
        <v>0</v>
      </c>
      <c r="BA15" s="109">
        <f t="shared" si="6"/>
        <v>0</v>
      </c>
    </row>
    <row r="16" spans="1:53" ht="34.5" customHeight="1">
      <c r="A16" s="6">
        <v>8</v>
      </c>
      <c r="B16" s="1" t="s">
        <v>33</v>
      </c>
      <c r="C16" s="2">
        <v>4699</v>
      </c>
      <c r="D16" s="3">
        <v>3171.5</v>
      </c>
      <c r="E16" s="3">
        <v>2354.5</v>
      </c>
      <c r="F16" s="14">
        <f t="shared" si="1"/>
        <v>74.23931893425824</v>
      </c>
      <c r="G16" s="3">
        <v>2825.6</v>
      </c>
      <c r="H16" s="3">
        <v>2640.4</v>
      </c>
      <c r="I16" s="14">
        <f t="shared" si="7"/>
        <v>93.44563986409966</v>
      </c>
      <c r="J16" s="3"/>
      <c r="K16" s="3"/>
      <c r="L16" s="14" t="e">
        <f t="shared" si="8"/>
        <v>#DIV/0!</v>
      </c>
      <c r="M16" s="3">
        <f t="shared" si="9"/>
        <v>5997.1</v>
      </c>
      <c r="N16" s="3">
        <f t="shared" si="10"/>
        <v>4994.9</v>
      </c>
      <c r="O16" s="14">
        <f t="shared" si="2"/>
        <v>83.2885894849177</v>
      </c>
      <c r="P16" s="3"/>
      <c r="Q16" s="3"/>
      <c r="R16" s="14" t="e">
        <f t="shared" si="11"/>
        <v>#DIV/0!</v>
      </c>
      <c r="S16" s="3"/>
      <c r="T16" s="3"/>
      <c r="U16" s="14" t="e">
        <f t="shared" si="12"/>
        <v>#DIV/0!</v>
      </c>
      <c r="V16" s="3"/>
      <c r="W16" s="3"/>
      <c r="X16" s="14" t="e">
        <f t="shared" si="13"/>
        <v>#DIV/0!</v>
      </c>
      <c r="Y16" s="3">
        <f>P16+S16+V16</f>
        <v>0</v>
      </c>
      <c r="Z16" s="3">
        <f>Q16+T16+W16</f>
        <v>0</v>
      </c>
      <c r="AA16" s="14" t="e">
        <f>Z16/Y16*100</f>
        <v>#DIV/0!</v>
      </c>
      <c r="AB16" s="3"/>
      <c r="AC16" s="3"/>
      <c r="AD16" s="28" t="e">
        <f t="shared" si="3"/>
        <v>#DIV/0!</v>
      </c>
      <c r="AE16" s="3"/>
      <c r="AF16" s="3"/>
      <c r="AG16" s="28" t="e">
        <f t="shared" si="14"/>
        <v>#DIV/0!</v>
      </c>
      <c r="AH16" s="3"/>
      <c r="AI16" s="3"/>
      <c r="AJ16" s="3">
        <f>AB16+AE16+AH16</f>
        <v>0</v>
      </c>
      <c r="AK16" s="3">
        <f>AC16+AF16+AI16</f>
        <v>0</v>
      </c>
      <c r="AL16" s="14" t="e">
        <f>AK16/AJ16*100</f>
        <v>#DIV/0!</v>
      </c>
      <c r="AM16" s="3"/>
      <c r="AN16" s="3"/>
      <c r="AO16" s="3"/>
      <c r="AP16" s="3"/>
      <c r="AQ16" s="14"/>
      <c r="AR16" s="3"/>
      <c r="AS16" s="3"/>
      <c r="AT16" s="3">
        <f t="shared" si="15"/>
        <v>5997.1</v>
      </c>
      <c r="AU16" s="3">
        <f t="shared" si="15"/>
        <v>4994.9</v>
      </c>
      <c r="AV16" s="14">
        <f t="shared" si="16"/>
        <v>83.2885894849177</v>
      </c>
      <c r="AW16" s="14">
        <f t="shared" si="17"/>
        <v>1002.2000000000007</v>
      </c>
      <c r="AX16" s="4">
        <f>C16+AT16-AU16</f>
        <v>5701.200000000001</v>
      </c>
      <c r="AY16" s="109">
        <f t="shared" si="4"/>
        <v>5997.1</v>
      </c>
      <c r="AZ16" s="109">
        <f t="shared" si="5"/>
        <v>4994.9</v>
      </c>
      <c r="BA16" s="109">
        <f t="shared" si="6"/>
        <v>5701.200000000001</v>
      </c>
    </row>
    <row r="17" spans="1:53" ht="34.5" customHeight="1">
      <c r="A17" s="6">
        <v>9</v>
      </c>
      <c r="B17" s="1" t="s">
        <v>34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6"/>
        <v>#DIV/0!</v>
      </c>
      <c r="AW17" s="14"/>
      <c r="AX17" s="4"/>
      <c r="AY17" s="109">
        <f t="shared" si="4"/>
        <v>0</v>
      </c>
      <c r="AZ17" s="109">
        <f t="shared" si="5"/>
        <v>0</v>
      </c>
      <c r="BA17" s="109">
        <f t="shared" si="6"/>
        <v>0</v>
      </c>
    </row>
    <row r="18" spans="1:53" ht="34.5" customHeight="1">
      <c r="A18" s="6">
        <v>10</v>
      </c>
      <c r="B18" s="15" t="s">
        <v>35</v>
      </c>
      <c r="C18" s="2">
        <v>1548.1</v>
      </c>
      <c r="D18" s="3">
        <v>0</v>
      </c>
      <c r="E18" s="3">
        <v>4.5</v>
      </c>
      <c r="F18" s="28" t="e">
        <f t="shared" si="1"/>
        <v>#DIV/0!</v>
      </c>
      <c r="G18" s="3">
        <v>0</v>
      </c>
      <c r="H18" s="3">
        <v>8.5</v>
      </c>
      <c r="I18" s="28" t="e">
        <f t="shared" si="7"/>
        <v>#DIV/0!</v>
      </c>
      <c r="J18" s="3"/>
      <c r="K18" s="3"/>
      <c r="L18" s="28" t="e">
        <f t="shared" si="8"/>
        <v>#DIV/0!</v>
      </c>
      <c r="M18" s="3">
        <f t="shared" si="9"/>
        <v>0</v>
      </c>
      <c r="N18" s="3">
        <f t="shared" si="10"/>
        <v>13</v>
      </c>
      <c r="O18" s="28" t="e">
        <f t="shared" si="2"/>
        <v>#DIV/0!</v>
      </c>
      <c r="P18" s="3"/>
      <c r="Q18" s="3"/>
      <c r="R18" s="28" t="e">
        <f t="shared" si="11"/>
        <v>#DIV/0!</v>
      </c>
      <c r="S18" s="3"/>
      <c r="T18" s="3"/>
      <c r="U18" s="14" t="e">
        <f>T18/S18*100</f>
        <v>#DIV/0!</v>
      </c>
      <c r="V18" s="3"/>
      <c r="W18" s="3"/>
      <c r="X18" s="14" t="e">
        <f>W18/V18*100</f>
        <v>#DIV/0!</v>
      </c>
      <c r="Y18" s="3">
        <f aca="true" t="shared" si="18" ref="Y18:Z20">P18+S18+V18</f>
        <v>0</v>
      </c>
      <c r="Z18" s="3">
        <f t="shared" si="18"/>
        <v>0</v>
      </c>
      <c r="AA18" s="28" t="e">
        <f>Z18/Y18*100</f>
        <v>#DIV/0!</v>
      </c>
      <c r="AB18" s="3"/>
      <c r="AC18" s="3"/>
      <c r="AD18" s="28" t="e">
        <f t="shared" si="3"/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19" ref="AJ18:AK20">AB18+AE18+AH18</f>
        <v>0</v>
      </c>
      <c r="AK18" s="3">
        <f t="shared" si="19"/>
        <v>0</v>
      </c>
      <c r="AL18" s="14" t="e">
        <f>AK18/AJ18*100</f>
        <v>#DIV/0!</v>
      </c>
      <c r="AM18" s="3"/>
      <c r="AN18" s="3"/>
      <c r="AO18" s="3"/>
      <c r="AP18" s="3"/>
      <c r="AQ18" s="28"/>
      <c r="AR18" s="3"/>
      <c r="AS18" s="3"/>
      <c r="AT18" s="3">
        <f aca="true" t="shared" si="20" ref="AT18:AU20">M18+Y18+AJ18+AM18+AO18+AR18</f>
        <v>0</v>
      </c>
      <c r="AU18" s="3">
        <f t="shared" si="20"/>
        <v>13</v>
      </c>
      <c r="AV18" s="28" t="e">
        <f t="shared" si="16"/>
        <v>#DIV/0!</v>
      </c>
      <c r="AW18" s="14">
        <f t="shared" si="17"/>
        <v>-13</v>
      </c>
      <c r="AX18" s="4">
        <f>C18+AT18-AU18</f>
        <v>1535.1</v>
      </c>
      <c r="AY18" s="109">
        <f t="shared" si="4"/>
        <v>0</v>
      </c>
      <c r="AZ18" s="109">
        <f t="shared" si="5"/>
        <v>13</v>
      </c>
      <c r="BA18" s="109">
        <f t="shared" si="6"/>
        <v>1535.1</v>
      </c>
    </row>
    <row r="19" spans="1:53" ht="34.5" customHeight="1">
      <c r="A19" s="6">
        <v>11</v>
      </c>
      <c r="B19" s="15" t="s">
        <v>36</v>
      </c>
      <c r="C19" s="2">
        <v>14.3</v>
      </c>
      <c r="D19" s="3"/>
      <c r="E19" s="3"/>
      <c r="F19" s="28" t="e">
        <f t="shared" si="1"/>
        <v>#DIV/0!</v>
      </c>
      <c r="G19" s="93"/>
      <c r="H19" s="93"/>
      <c r="I19" s="28" t="e">
        <f t="shared" si="7"/>
        <v>#DIV/0!</v>
      </c>
      <c r="J19" s="3"/>
      <c r="K19" s="3"/>
      <c r="L19" s="14" t="e">
        <f t="shared" si="8"/>
        <v>#DIV/0!</v>
      </c>
      <c r="M19" s="3">
        <f t="shared" si="9"/>
        <v>0</v>
      </c>
      <c r="N19" s="3">
        <f t="shared" si="10"/>
        <v>0</v>
      </c>
      <c r="O19" s="14" t="e">
        <f t="shared" si="2"/>
        <v>#DIV/0!</v>
      </c>
      <c r="P19" s="3"/>
      <c r="Q19" s="3"/>
      <c r="R19" s="14" t="e">
        <f t="shared" si="11"/>
        <v>#DIV/0!</v>
      </c>
      <c r="S19" s="3"/>
      <c r="T19" s="3"/>
      <c r="U19" s="14" t="e">
        <f>T19/S19*100</f>
        <v>#DIV/0!</v>
      </c>
      <c r="V19" s="3"/>
      <c r="W19" s="3"/>
      <c r="X19" s="28" t="e">
        <f>W19/V19*100</f>
        <v>#DIV/0!</v>
      </c>
      <c r="Y19" s="3">
        <f t="shared" si="18"/>
        <v>0</v>
      </c>
      <c r="Z19" s="3">
        <f t="shared" si="18"/>
        <v>0</v>
      </c>
      <c r="AA19" s="14" t="e">
        <f>Z19/Y19*100</f>
        <v>#DIV/0!</v>
      </c>
      <c r="AB19" s="3"/>
      <c r="AC19" s="3"/>
      <c r="AD19" s="14" t="e">
        <f t="shared" si="3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9"/>
        <v>0</v>
      </c>
      <c r="AK19" s="3">
        <f t="shared" si="19"/>
        <v>0</v>
      </c>
      <c r="AL19" s="14" t="e">
        <f>AK19/AJ19*100</f>
        <v>#DIV/0!</v>
      </c>
      <c r="AM19" s="3"/>
      <c r="AN19" s="3"/>
      <c r="AO19" s="3"/>
      <c r="AP19" s="3"/>
      <c r="AQ19" s="14"/>
      <c r="AR19" s="3"/>
      <c r="AS19" s="3"/>
      <c r="AT19" s="3">
        <f t="shared" si="20"/>
        <v>0</v>
      </c>
      <c r="AU19" s="3">
        <f t="shared" si="20"/>
        <v>0</v>
      </c>
      <c r="AV19" s="14" t="e">
        <f t="shared" si="16"/>
        <v>#DIV/0!</v>
      </c>
      <c r="AW19" s="14">
        <f t="shared" si="17"/>
        <v>0</v>
      </c>
      <c r="AX19" s="4">
        <f>C19+AT19-AU19</f>
        <v>14.3</v>
      </c>
      <c r="AY19" s="109">
        <f t="shared" si="4"/>
        <v>0</v>
      </c>
      <c r="AZ19" s="109">
        <f t="shared" si="5"/>
        <v>0</v>
      </c>
      <c r="BA19" s="109">
        <f t="shared" si="6"/>
        <v>14.3</v>
      </c>
    </row>
    <row r="20" spans="1:53" ht="34.5" customHeight="1">
      <c r="A20" s="6">
        <v>12</v>
      </c>
      <c r="B20" s="1" t="s">
        <v>37</v>
      </c>
      <c r="C20" s="2">
        <v>4265.3</v>
      </c>
      <c r="D20" s="3">
        <v>1124.6</v>
      </c>
      <c r="E20" s="3">
        <v>936.6</v>
      </c>
      <c r="F20" s="14">
        <f t="shared" si="1"/>
        <v>83.28294504712788</v>
      </c>
      <c r="G20" s="3">
        <v>1054.8</v>
      </c>
      <c r="H20" s="3">
        <v>922</v>
      </c>
      <c r="I20" s="14">
        <f t="shared" si="7"/>
        <v>87.40993553280244</v>
      </c>
      <c r="J20" s="3"/>
      <c r="K20" s="3"/>
      <c r="L20" s="14" t="e">
        <f t="shared" si="8"/>
        <v>#DIV/0!</v>
      </c>
      <c r="M20" s="3">
        <f t="shared" si="9"/>
        <v>2179.3999999999996</v>
      </c>
      <c r="N20" s="3">
        <f t="shared" si="10"/>
        <v>1858.6</v>
      </c>
      <c r="O20" s="14">
        <f t="shared" si="2"/>
        <v>85.28035239056622</v>
      </c>
      <c r="P20" s="3"/>
      <c r="Q20" s="3"/>
      <c r="R20" s="14" t="e">
        <f t="shared" si="11"/>
        <v>#DIV/0!</v>
      </c>
      <c r="S20" s="3"/>
      <c r="T20" s="3"/>
      <c r="U20" s="14" t="e">
        <f>T20/S20*100</f>
        <v>#DIV/0!</v>
      </c>
      <c r="V20" s="3"/>
      <c r="W20" s="3"/>
      <c r="X20" s="14" t="e">
        <f>W20/V20*100</f>
        <v>#DIV/0!</v>
      </c>
      <c r="Y20" s="3">
        <f t="shared" si="18"/>
        <v>0</v>
      </c>
      <c r="Z20" s="3">
        <f t="shared" si="18"/>
        <v>0</v>
      </c>
      <c r="AA20" s="14" t="e">
        <f>Z20/Y20*100</f>
        <v>#DIV/0!</v>
      </c>
      <c r="AB20" s="3"/>
      <c r="AC20" s="3"/>
      <c r="AD20" s="14" t="e">
        <f t="shared" si="3"/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19"/>
        <v>0</v>
      </c>
      <c r="AK20" s="3">
        <f t="shared" si="19"/>
        <v>0</v>
      </c>
      <c r="AL20" s="14" t="e">
        <f>AK20/AJ20*100</f>
        <v>#DIV/0!</v>
      </c>
      <c r="AM20" s="3"/>
      <c r="AN20" s="3"/>
      <c r="AO20" s="3"/>
      <c r="AP20" s="3"/>
      <c r="AQ20" s="14"/>
      <c r="AR20" s="3"/>
      <c r="AS20" s="3"/>
      <c r="AT20" s="3">
        <f t="shared" si="20"/>
        <v>2179.3999999999996</v>
      </c>
      <c r="AU20" s="3">
        <f t="shared" si="20"/>
        <v>1858.6</v>
      </c>
      <c r="AV20" s="14">
        <f t="shared" si="16"/>
        <v>85.28035239056622</v>
      </c>
      <c r="AW20" s="14">
        <f t="shared" si="17"/>
        <v>320.7999999999997</v>
      </c>
      <c r="AX20" s="4">
        <f>C20+AT20-AU20</f>
        <v>4586.1</v>
      </c>
      <c r="AY20" s="109">
        <f t="shared" si="4"/>
        <v>2179.3999999999996</v>
      </c>
      <c r="AZ20" s="109">
        <f t="shared" si="5"/>
        <v>1858.6</v>
      </c>
      <c r="BA20" s="109">
        <f t="shared" si="6"/>
        <v>4586.1</v>
      </c>
    </row>
    <row r="21" spans="1:53" ht="34.5" customHeight="1">
      <c r="A21" s="6">
        <v>13</v>
      </c>
      <c r="B21" s="15" t="s">
        <v>38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6"/>
        <v>#DIV/0!</v>
      </c>
      <c r="AW21" s="14"/>
      <c r="AX21" s="4"/>
      <c r="AY21" s="109">
        <f t="shared" si="4"/>
        <v>0</v>
      </c>
      <c r="AZ21" s="109">
        <f t="shared" si="5"/>
        <v>0</v>
      </c>
      <c r="BA21" s="109">
        <f t="shared" si="6"/>
        <v>0</v>
      </c>
    </row>
    <row r="22" spans="1:53" ht="34.5" customHeight="1">
      <c r="A22" s="6">
        <v>14</v>
      </c>
      <c r="B22" s="15" t="s">
        <v>39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6"/>
        <v>#DIV/0!</v>
      </c>
      <c r="AW22" s="14"/>
      <c r="AX22" s="4">
        <f>C22+AT22-AU22</f>
        <v>3.1</v>
      </c>
      <c r="AY22" s="109">
        <f t="shared" si="4"/>
        <v>0</v>
      </c>
      <c r="AZ22" s="109">
        <f t="shared" si="5"/>
        <v>0</v>
      </c>
      <c r="BA22" s="109">
        <f t="shared" si="6"/>
        <v>3.1</v>
      </c>
    </row>
    <row r="23" spans="1:53" ht="34.5" customHeight="1">
      <c r="A23" s="6">
        <v>15</v>
      </c>
      <c r="B23" s="15" t="s">
        <v>40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6"/>
        <v>#DIV/0!</v>
      </c>
      <c r="AW23" s="14"/>
      <c r="AX23" s="4"/>
      <c r="AY23" s="109">
        <f t="shared" si="4"/>
        <v>0</v>
      </c>
      <c r="AZ23" s="109">
        <f t="shared" si="5"/>
        <v>0</v>
      </c>
      <c r="BA23" s="109">
        <f t="shared" si="6"/>
        <v>0</v>
      </c>
    </row>
    <row r="24" spans="1:53" ht="34.5" customHeight="1">
      <c r="A24" s="6">
        <v>16</v>
      </c>
      <c r="B24" s="15" t="s">
        <v>41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3"/>
      <c r="N24" s="3"/>
      <c r="O24" s="14"/>
      <c r="P24" s="77"/>
      <c r="Q24" s="77"/>
      <c r="R24" s="77"/>
      <c r="S24" s="77"/>
      <c r="T24" s="77"/>
      <c r="U24" s="77"/>
      <c r="V24" s="77"/>
      <c r="W24" s="77"/>
      <c r="X24" s="77"/>
      <c r="Y24" s="3"/>
      <c r="Z24" s="3"/>
      <c r="AA24" s="14"/>
      <c r="AB24" s="77"/>
      <c r="AC24" s="77"/>
      <c r="AD24" s="28" t="e">
        <f t="shared" si="3"/>
        <v>#DIV/0!</v>
      </c>
      <c r="AE24" s="77"/>
      <c r="AF24" s="77"/>
      <c r="AG24" s="91"/>
      <c r="AH24" s="77"/>
      <c r="AI24" s="77"/>
      <c r="AJ24" s="3"/>
      <c r="AK24" s="3"/>
      <c r="AL24" s="14"/>
      <c r="AM24" s="77"/>
      <c r="AN24" s="77"/>
      <c r="AO24" s="77"/>
      <c r="AP24" s="77"/>
      <c r="AQ24" s="14"/>
      <c r="AR24" s="77"/>
      <c r="AS24" s="77"/>
      <c r="AT24" s="3"/>
      <c r="AU24" s="3"/>
      <c r="AV24" s="77"/>
      <c r="AW24" s="14"/>
      <c r="AX24" s="4"/>
      <c r="AY24" s="109">
        <f t="shared" si="4"/>
        <v>0</v>
      </c>
      <c r="AZ24" s="109">
        <f t="shared" si="5"/>
        <v>0</v>
      </c>
      <c r="BA24" s="109">
        <f t="shared" si="6"/>
        <v>0</v>
      </c>
    </row>
    <row r="25" spans="1:53" ht="34.5" customHeight="1">
      <c r="A25" s="6">
        <v>17</v>
      </c>
      <c r="B25" s="15" t="s">
        <v>42</v>
      </c>
      <c r="C25" s="2">
        <v>16269.8</v>
      </c>
      <c r="D25" s="3">
        <v>6044.9</v>
      </c>
      <c r="E25" s="3">
        <v>5601.6</v>
      </c>
      <c r="F25" s="14">
        <f t="shared" si="1"/>
        <v>92.66654535228045</v>
      </c>
      <c r="G25" s="3">
        <v>5459.1</v>
      </c>
      <c r="H25" s="3">
        <v>4739.5</v>
      </c>
      <c r="I25" s="14">
        <f aca="true" t="shared" si="21" ref="I25:I35">H25/G25*100</f>
        <v>86.81834001941712</v>
      </c>
      <c r="J25" s="3"/>
      <c r="K25" s="3"/>
      <c r="L25" s="14" t="e">
        <f>K25/J25*100</f>
        <v>#DIV/0!</v>
      </c>
      <c r="M25" s="3">
        <f t="shared" si="9"/>
        <v>11504</v>
      </c>
      <c r="N25" s="3">
        <f t="shared" si="10"/>
        <v>10341.1</v>
      </c>
      <c r="O25" s="14">
        <f t="shared" si="2"/>
        <v>89.8913421418637</v>
      </c>
      <c r="P25" s="3"/>
      <c r="Q25" s="3"/>
      <c r="R25" s="14" t="e">
        <f>Q25/P25*100</f>
        <v>#DIV/0!</v>
      </c>
      <c r="S25" s="3"/>
      <c r="T25" s="3"/>
      <c r="U25" s="14" t="e">
        <f>T25/S25*100</f>
        <v>#DIV/0!</v>
      </c>
      <c r="V25" s="3"/>
      <c r="W25" s="3"/>
      <c r="X25" s="14" t="e">
        <f>W25/V25*100</f>
        <v>#DIV/0!</v>
      </c>
      <c r="Y25" s="3">
        <f>P25+S25+V25</f>
        <v>0</v>
      </c>
      <c r="Z25" s="3">
        <f>Q25+T25+W25</f>
        <v>0</v>
      </c>
      <c r="AA25" s="14" t="e">
        <f>Z25/Y25*100</f>
        <v>#DIV/0!</v>
      </c>
      <c r="AB25" s="3"/>
      <c r="AC25" s="3"/>
      <c r="AD25" s="14" t="e">
        <f t="shared" si="3"/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3"/>
      <c r="AN25" s="3"/>
      <c r="AO25" s="3"/>
      <c r="AP25" s="3"/>
      <c r="AQ25" s="14"/>
      <c r="AR25" s="3"/>
      <c r="AS25" s="3"/>
      <c r="AT25" s="3">
        <f>M25+Y25+AJ25+AM25+AO25+AR25</f>
        <v>11504</v>
      </c>
      <c r="AU25" s="3">
        <f>N25+Z25+AK25+AN25+AP25+AS25</f>
        <v>10341.1</v>
      </c>
      <c r="AV25" s="14">
        <f>AU25/AT25*100</f>
        <v>89.8913421418637</v>
      </c>
      <c r="AW25" s="14">
        <f t="shared" si="17"/>
        <v>1162.8999999999996</v>
      </c>
      <c r="AX25" s="4">
        <f>C25+AT25-AU25</f>
        <v>17432.699999999997</v>
      </c>
      <c r="AY25" s="109">
        <f t="shared" si="4"/>
        <v>11504</v>
      </c>
      <c r="AZ25" s="109">
        <f t="shared" si="5"/>
        <v>10341.1</v>
      </c>
      <c r="BA25" s="109">
        <f t="shared" si="6"/>
        <v>17432.699999999997</v>
      </c>
    </row>
    <row r="26" spans="1:53" ht="34.5" customHeight="1">
      <c r="A26" s="6">
        <v>18</v>
      </c>
      <c r="B26" s="1" t="s">
        <v>43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1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09">
        <f t="shared" si="4"/>
        <v>0</v>
      </c>
      <c r="AZ26" s="109">
        <f t="shared" si="5"/>
        <v>0</v>
      </c>
      <c r="BA26" s="109">
        <f t="shared" si="6"/>
        <v>0</v>
      </c>
    </row>
    <row r="27" spans="1:53" ht="34.5" customHeight="1">
      <c r="A27" s="6">
        <v>19</v>
      </c>
      <c r="B27" s="15" t="s">
        <v>44</v>
      </c>
      <c r="C27" s="2">
        <v>2145.4</v>
      </c>
      <c r="D27" s="3">
        <v>671.1</v>
      </c>
      <c r="E27" s="3">
        <v>400.9</v>
      </c>
      <c r="F27" s="14">
        <f t="shared" si="1"/>
        <v>59.73774400238414</v>
      </c>
      <c r="G27" s="3">
        <v>607.5</v>
      </c>
      <c r="H27" s="3">
        <v>436.6</v>
      </c>
      <c r="I27" s="14">
        <f t="shared" si="21"/>
        <v>71.86831275720165</v>
      </c>
      <c r="J27" s="3"/>
      <c r="K27" s="3"/>
      <c r="L27" s="14" t="e">
        <f>K27/J27*100</f>
        <v>#DIV/0!</v>
      </c>
      <c r="M27" s="3">
        <f t="shared" si="9"/>
        <v>1278.6</v>
      </c>
      <c r="N27" s="3">
        <f t="shared" si="10"/>
        <v>837.5</v>
      </c>
      <c r="O27" s="14">
        <f t="shared" si="2"/>
        <v>65.50132957922729</v>
      </c>
      <c r="P27" s="3"/>
      <c r="Q27" s="3"/>
      <c r="R27" s="14" t="e">
        <f>Q27/P27*100</f>
        <v>#DIV/0!</v>
      </c>
      <c r="S27" s="3"/>
      <c r="T27" s="3"/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3"/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 aca="true" t="shared" si="22" ref="AL27:AL37">AK27/AJ27*100</f>
        <v>#DIV/0!</v>
      </c>
      <c r="AM27" s="3"/>
      <c r="AN27" s="3"/>
      <c r="AO27" s="3"/>
      <c r="AP27" s="3"/>
      <c r="AQ27" s="14"/>
      <c r="AR27" s="3"/>
      <c r="AS27" s="3"/>
      <c r="AT27" s="3">
        <f>M27+Y27+AJ27+AM27+AO27+AR27</f>
        <v>1278.6</v>
      </c>
      <c r="AU27" s="3">
        <f>N27+Z27+AK27+AN27+AP27+AS27</f>
        <v>837.5</v>
      </c>
      <c r="AV27" s="14">
        <f>AU27/AT27*100</f>
        <v>65.50132957922729</v>
      </c>
      <c r="AW27" s="14">
        <f t="shared" si="17"/>
        <v>441.0999999999999</v>
      </c>
      <c r="AX27" s="4">
        <f>C27+AT27-AU27</f>
        <v>2586.5</v>
      </c>
      <c r="AY27" s="109">
        <f t="shared" si="4"/>
        <v>1278.6</v>
      </c>
      <c r="AZ27" s="109">
        <f t="shared" si="5"/>
        <v>837.5</v>
      </c>
      <c r="BA27" s="109">
        <f t="shared" si="6"/>
        <v>2586.5</v>
      </c>
    </row>
    <row r="28" spans="1:53" ht="34.5" customHeight="1">
      <c r="A28" s="6">
        <v>20</v>
      </c>
      <c r="B28" s="15" t="s">
        <v>45</v>
      </c>
      <c r="C28" s="2">
        <v>10245</v>
      </c>
      <c r="D28" s="3">
        <v>3839.2</v>
      </c>
      <c r="E28" s="3">
        <v>3369.5</v>
      </c>
      <c r="F28" s="14">
        <f>E28/D28*100</f>
        <v>87.76568035007294</v>
      </c>
      <c r="G28" s="3">
        <v>3237.7</v>
      </c>
      <c r="H28" s="3">
        <v>3644.8</v>
      </c>
      <c r="I28" s="14">
        <f t="shared" si="21"/>
        <v>112.5737406183402</v>
      </c>
      <c r="J28" s="3"/>
      <c r="K28" s="3"/>
      <c r="L28" s="14" t="e">
        <f>K28/J28*100</f>
        <v>#DIV/0!</v>
      </c>
      <c r="M28" s="3">
        <f>D28+G28+J28</f>
        <v>7076.9</v>
      </c>
      <c r="N28" s="3">
        <f>E28+H28+K28</f>
        <v>7014.3</v>
      </c>
      <c r="O28" s="14">
        <f t="shared" si="2"/>
        <v>99.1154318981475</v>
      </c>
      <c r="P28" s="3"/>
      <c r="Q28" s="3"/>
      <c r="R28" s="14" t="e">
        <f>Q28/P28*100</f>
        <v>#DIV/0!</v>
      </c>
      <c r="S28" s="3"/>
      <c r="T28" s="3"/>
      <c r="U28" s="28" t="e">
        <f>T28/S28*100</f>
        <v>#DIV/0!</v>
      </c>
      <c r="V28" s="3"/>
      <c r="W28" s="3"/>
      <c r="X28" s="28" t="e">
        <f>W28/V28*100</f>
        <v>#DIV/0!</v>
      </c>
      <c r="Y28" s="3">
        <f>P28+S28+V28</f>
        <v>0</v>
      </c>
      <c r="Z28" s="3">
        <f>Q28+T28+W28</f>
        <v>0</v>
      </c>
      <c r="AA28" s="14" t="e">
        <f>Z28/Y28*100</f>
        <v>#DIV/0!</v>
      </c>
      <c r="AB28" s="3"/>
      <c r="AC28" s="3"/>
      <c r="AD28" s="28" t="e">
        <f t="shared" si="3"/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0</v>
      </c>
      <c r="AL28" s="14" t="e">
        <f t="shared" si="22"/>
        <v>#DIV/0!</v>
      </c>
      <c r="AM28" s="3"/>
      <c r="AN28" s="3"/>
      <c r="AO28" s="3"/>
      <c r="AP28" s="3"/>
      <c r="AQ28" s="14"/>
      <c r="AR28" s="3"/>
      <c r="AS28" s="3"/>
      <c r="AT28" s="3">
        <f>M28+Y28+AJ28+AM28+AO28+AR28</f>
        <v>7076.9</v>
      </c>
      <c r="AU28" s="3">
        <f>N28+Z28+AK28+AN28+AP28+AS28</f>
        <v>7014.3</v>
      </c>
      <c r="AV28" s="14">
        <f>AU28/AT28*100</f>
        <v>99.1154318981475</v>
      </c>
      <c r="AW28" s="14">
        <f t="shared" si="17"/>
        <v>62.599999999999454</v>
      </c>
      <c r="AX28" s="4">
        <f>C28+AT28-AU28</f>
        <v>10307.600000000002</v>
      </c>
      <c r="AY28" s="109">
        <f t="shared" si="4"/>
        <v>7076.9</v>
      </c>
      <c r="AZ28" s="109">
        <f t="shared" si="5"/>
        <v>7014.3</v>
      </c>
      <c r="BA28" s="109">
        <f t="shared" si="6"/>
        <v>10307.600000000002</v>
      </c>
    </row>
    <row r="29" spans="1:53" ht="34.5" customHeight="1">
      <c r="A29" s="6">
        <v>21</v>
      </c>
      <c r="B29" s="101" t="s">
        <v>46</v>
      </c>
      <c r="C29" s="37"/>
      <c r="D29" s="115"/>
      <c r="E29" s="41"/>
      <c r="F29" s="14"/>
      <c r="G29" s="21"/>
      <c r="H29" s="21"/>
      <c r="I29" s="36" t="e">
        <f t="shared" si="21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2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09">
        <f t="shared" si="4"/>
        <v>0</v>
      </c>
      <c r="AZ29" s="109">
        <f t="shared" si="5"/>
        <v>0</v>
      </c>
      <c r="BA29" s="109">
        <f t="shared" si="6"/>
        <v>0</v>
      </c>
    </row>
    <row r="30" spans="1:53" ht="34.5" customHeight="1">
      <c r="A30" s="6">
        <v>22</v>
      </c>
      <c r="B30" s="1" t="s">
        <v>47</v>
      </c>
      <c r="C30" s="43"/>
      <c r="D30" s="43"/>
      <c r="E30" s="43"/>
      <c r="F30" s="43"/>
      <c r="G30" s="43"/>
      <c r="H30" s="43"/>
      <c r="I30" s="28" t="e">
        <f t="shared" si="21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3"/>
        <v>#DIV/0!</v>
      </c>
      <c r="AE30" s="43"/>
      <c r="AF30" s="43"/>
      <c r="AG30" s="92"/>
      <c r="AH30" s="43"/>
      <c r="AI30" s="43"/>
      <c r="AJ30" s="3"/>
      <c r="AK30" s="3"/>
      <c r="AL30" s="14" t="e">
        <f t="shared" si="22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09">
        <f t="shared" si="4"/>
        <v>0</v>
      </c>
      <c r="AZ30" s="109">
        <f t="shared" si="5"/>
        <v>0</v>
      </c>
      <c r="BA30" s="109">
        <f t="shared" si="6"/>
        <v>0</v>
      </c>
    </row>
    <row r="31" spans="1:53" ht="34.5" customHeight="1">
      <c r="A31" s="6">
        <v>23</v>
      </c>
      <c r="B31" s="15" t="s">
        <v>48</v>
      </c>
      <c r="C31" s="43"/>
      <c r="D31" s="43"/>
      <c r="E31" s="43"/>
      <c r="F31" s="43"/>
      <c r="G31" s="43"/>
      <c r="H31" s="43"/>
      <c r="I31" s="28" t="e">
        <f t="shared" si="21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3"/>
        <v>#DIV/0!</v>
      </c>
      <c r="AE31" s="43"/>
      <c r="AF31" s="43"/>
      <c r="AG31" s="92"/>
      <c r="AH31" s="43"/>
      <c r="AI31" s="43"/>
      <c r="AJ31" s="3"/>
      <c r="AK31" s="3"/>
      <c r="AL31" s="14" t="e">
        <f t="shared" si="22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09">
        <f t="shared" si="4"/>
        <v>0</v>
      </c>
      <c r="AZ31" s="109">
        <f t="shared" si="5"/>
        <v>0</v>
      </c>
      <c r="BA31" s="109">
        <f t="shared" si="6"/>
        <v>0</v>
      </c>
    </row>
    <row r="32" spans="1:53" ht="34.5" customHeight="1">
      <c r="A32" s="6">
        <v>24</v>
      </c>
      <c r="B32" s="15" t="s">
        <v>49</v>
      </c>
      <c r="C32" s="43"/>
      <c r="D32" s="43"/>
      <c r="E32" s="43"/>
      <c r="F32" s="43"/>
      <c r="G32" s="43"/>
      <c r="H32" s="43"/>
      <c r="I32" s="28" t="e">
        <f t="shared" si="21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3"/>
        <v>#DIV/0!</v>
      </c>
      <c r="AE32" s="43"/>
      <c r="AF32" s="43"/>
      <c r="AG32" s="92"/>
      <c r="AH32" s="43"/>
      <c r="AI32" s="43"/>
      <c r="AJ32" s="3"/>
      <c r="AK32" s="3"/>
      <c r="AL32" s="14" t="e">
        <f t="shared" si="22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09">
        <f t="shared" si="4"/>
        <v>0</v>
      </c>
      <c r="AZ32" s="109">
        <f t="shared" si="5"/>
        <v>0</v>
      </c>
      <c r="BA32" s="109">
        <f t="shared" si="6"/>
        <v>0</v>
      </c>
    </row>
    <row r="33" spans="1:53" ht="34.5" customHeight="1">
      <c r="A33" s="6">
        <v>25</v>
      </c>
      <c r="B33" s="15" t="s">
        <v>50</v>
      </c>
      <c r="C33" s="45">
        <f>C34+C35+C36+C37</f>
        <v>8793.6</v>
      </c>
      <c r="D33" s="45">
        <f aca="true" t="shared" si="23" ref="D33:AX33">D34+D35+D36+D37</f>
        <v>3777.6</v>
      </c>
      <c r="E33" s="45">
        <f t="shared" si="23"/>
        <v>2449.7</v>
      </c>
      <c r="F33" s="94">
        <f>E33/D33*100</f>
        <v>64.8480516730199</v>
      </c>
      <c r="G33" s="45">
        <f t="shared" si="23"/>
        <v>2923.3</v>
      </c>
      <c r="H33" s="45">
        <f t="shared" si="23"/>
        <v>2680.7</v>
      </c>
      <c r="I33" s="14">
        <f t="shared" si="21"/>
        <v>91.70115964834261</v>
      </c>
      <c r="J33" s="45">
        <f t="shared" si="23"/>
        <v>0</v>
      </c>
      <c r="K33" s="45">
        <f t="shared" si="23"/>
        <v>0</v>
      </c>
      <c r="L33" s="14" t="e">
        <f>K33/J33*100</f>
        <v>#DIV/0!</v>
      </c>
      <c r="M33" s="45">
        <f t="shared" si="23"/>
        <v>6700.9</v>
      </c>
      <c r="N33" s="45">
        <f t="shared" si="23"/>
        <v>5130.4</v>
      </c>
      <c r="O33" s="14">
        <f t="shared" si="2"/>
        <v>76.56284976644928</v>
      </c>
      <c r="P33" s="45">
        <f t="shared" si="23"/>
        <v>0</v>
      </c>
      <c r="Q33" s="45">
        <f t="shared" si="23"/>
        <v>0</v>
      </c>
      <c r="R33" s="14" t="e">
        <f aca="true" t="shared" si="24" ref="R33:R45">Q33/P33*100</f>
        <v>#DIV/0!</v>
      </c>
      <c r="S33" s="45">
        <f t="shared" si="23"/>
        <v>0</v>
      </c>
      <c r="T33" s="45">
        <f t="shared" si="23"/>
        <v>0</v>
      </c>
      <c r="U33" s="45" t="e">
        <f t="shared" si="23"/>
        <v>#DIV/0!</v>
      </c>
      <c r="V33" s="45">
        <f t="shared" si="23"/>
        <v>0</v>
      </c>
      <c r="W33" s="45">
        <f t="shared" si="23"/>
        <v>0</v>
      </c>
      <c r="X33" s="45" t="e">
        <f t="shared" si="23"/>
        <v>#DIV/0!</v>
      </c>
      <c r="Y33" s="45">
        <f t="shared" si="23"/>
        <v>0</v>
      </c>
      <c r="Z33" s="45">
        <f t="shared" si="23"/>
        <v>0</v>
      </c>
      <c r="AA33" s="14" t="e">
        <f>Z33/Y33*100</f>
        <v>#DIV/0!</v>
      </c>
      <c r="AB33" s="45">
        <f t="shared" si="23"/>
        <v>0</v>
      </c>
      <c r="AC33" s="45">
        <f t="shared" si="23"/>
        <v>0</v>
      </c>
      <c r="AD33" s="14" t="e">
        <f t="shared" si="3"/>
        <v>#DIV/0!</v>
      </c>
      <c r="AE33" s="45">
        <f t="shared" si="23"/>
        <v>0</v>
      </c>
      <c r="AF33" s="45">
        <f t="shared" si="23"/>
        <v>0</v>
      </c>
      <c r="AG33" s="45" t="e">
        <f t="shared" si="23"/>
        <v>#DIV/0!</v>
      </c>
      <c r="AH33" s="45">
        <f t="shared" si="23"/>
        <v>0</v>
      </c>
      <c r="AI33" s="45">
        <f t="shared" si="23"/>
        <v>0</v>
      </c>
      <c r="AJ33" s="45">
        <f t="shared" si="23"/>
        <v>0</v>
      </c>
      <c r="AK33" s="45">
        <f t="shared" si="23"/>
        <v>0</v>
      </c>
      <c r="AL33" s="45" t="e">
        <f t="shared" si="23"/>
        <v>#DIV/0!</v>
      </c>
      <c r="AM33" s="45">
        <f t="shared" si="23"/>
        <v>0</v>
      </c>
      <c r="AN33" s="45">
        <f t="shared" si="23"/>
        <v>0</v>
      </c>
      <c r="AO33" s="45">
        <f t="shared" si="23"/>
        <v>0</v>
      </c>
      <c r="AP33" s="45">
        <f t="shared" si="23"/>
        <v>0</v>
      </c>
      <c r="AQ33" s="45" t="e">
        <f t="shared" si="23"/>
        <v>#DIV/0!</v>
      </c>
      <c r="AR33" s="45">
        <f t="shared" si="23"/>
        <v>0</v>
      </c>
      <c r="AS33" s="45">
        <f t="shared" si="23"/>
        <v>0</v>
      </c>
      <c r="AT33" s="45">
        <f t="shared" si="23"/>
        <v>6700.9</v>
      </c>
      <c r="AU33" s="45">
        <f t="shared" si="23"/>
        <v>5130.4</v>
      </c>
      <c r="AV33" s="14">
        <f>AU33/AT33*100</f>
        <v>76.56284976644928</v>
      </c>
      <c r="AW33" s="45">
        <f t="shared" si="23"/>
        <v>1570.5</v>
      </c>
      <c r="AX33" s="45">
        <f t="shared" si="23"/>
        <v>10364.1</v>
      </c>
      <c r="AY33" s="109">
        <f t="shared" si="4"/>
        <v>6700.9</v>
      </c>
      <c r="AZ33" s="109">
        <f t="shared" si="5"/>
        <v>5130.4</v>
      </c>
      <c r="BA33" s="109">
        <f t="shared" si="6"/>
        <v>10364.1</v>
      </c>
    </row>
    <row r="34" spans="1:53" ht="34.5" customHeight="1">
      <c r="A34" s="6"/>
      <c r="B34" s="15" t="s">
        <v>74</v>
      </c>
      <c r="C34" s="2"/>
      <c r="D34" s="3"/>
      <c r="E34" s="3"/>
      <c r="F34" s="14"/>
      <c r="G34" s="93"/>
      <c r="H34" s="93"/>
      <c r="I34" s="28" t="e">
        <f t="shared" si="21"/>
        <v>#DIV/0!</v>
      </c>
      <c r="J34" s="93"/>
      <c r="K34" s="93"/>
      <c r="L34" s="28" t="e">
        <f>K34/J34*100</f>
        <v>#DIV/0!</v>
      </c>
      <c r="M34" s="93">
        <f t="shared" si="9"/>
        <v>0</v>
      </c>
      <c r="N34" s="93">
        <f t="shared" si="10"/>
        <v>0</v>
      </c>
      <c r="O34" s="28" t="e">
        <f t="shared" si="2"/>
        <v>#DIV/0!</v>
      </c>
      <c r="P34" s="93"/>
      <c r="Q34" s="93"/>
      <c r="R34" s="28" t="e">
        <f t="shared" si="24"/>
        <v>#DIV/0!</v>
      </c>
      <c r="S34" s="93"/>
      <c r="T34" s="93"/>
      <c r="U34" s="28" t="e">
        <f>T34/S34*100</f>
        <v>#DIV/0!</v>
      </c>
      <c r="V34" s="93"/>
      <c r="W34" s="93"/>
      <c r="X34" s="28" t="e">
        <f>W34/V34*100</f>
        <v>#DIV/0!</v>
      </c>
      <c r="Y34" s="93">
        <f aca="true" t="shared" si="25" ref="Y34:Z36">P34+S34+V34</f>
        <v>0</v>
      </c>
      <c r="Z34" s="93">
        <f t="shared" si="25"/>
        <v>0</v>
      </c>
      <c r="AA34" s="14"/>
      <c r="AB34" s="93"/>
      <c r="AC34" s="93"/>
      <c r="AD34" s="28" t="e">
        <f t="shared" si="3"/>
        <v>#DIV/0!</v>
      </c>
      <c r="AE34" s="93"/>
      <c r="AF34" s="93"/>
      <c r="AG34" s="28" t="e">
        <f>AF34/AE34*100</f>
        <v>#DIV/0!</v>
      </c>
      <c r="AH34" s="93"/>
      <c r="AI34" s="93"/>
      <c r="AJ34" s="93">
        <f>AB34+AE34+AH34</f>
        <v>0</v>
      </c>
      <c r="AK34" s="93">
        <f>AC34+AF34+AI34</f>
        <v>0</v>
      </c>
      <c r="AL34" s="28" t="e">
        <f t="shared" si="22"/>
        <v>#DIV/0!</v>
      </c>
      <c r="AM34" s="93"/>
      <c r="AN34" s="93"/>
      <c r="AO34" s="93"/>
      <c r="AP34" s="93"/>
      <c r="AQ34" s="28" t="e">
        <f>AP34/AO34*100</f>
        <v>#DIV/0!</v>
      </c>
      <c r="AR34" s="93"/>
      <c r="AS34" s="93"/>
      <c r="AT34" s="93">
        <f aca="true" t="shared" si="26" ref="AT34:AU37">M34+Y34+AJ34+AM34+AO34+AR34</f>
        <v>0</v>
      </c>
      <c r="AU34" s="93">
        <f t="shared" si="26"/>
        <v>0</v>
      </c>
      <c r="AV34" s="28" t="e">
        <f>AU34/AT34*100</f>
        <v>#DIV/0!</v>
      </c>
      <c r="AW34" s="28">
        <f t="shared" si="17"/>
        <v>0</v>
      </c>
      <c r="AX34" s="99">
        <f aca="true" t="shared" si="27" ref="AX34:AX45">C34+AT34-AU34</f>
        <v>0</v>
      </c>
      <c r="AY34" s="109">
        <f t="shared" si="4"/>
        <v>0</v>
      </c>
      <c r="AZ34" s="109">
        <f t="shared" si="5"/>
        <v>0</v>
      </c>
      <c r="BA34" s="109">
        <f t="shared" si="6"/>
        <v>0</v>
      </c>
    </row>
    <row r="35" spans="1:53" ht="34.5" customHeight="1">
      <c r="A35" s="6"/>
      <c r="B35" s="15" t="s">
        <v>21</v>
      </c>
      <c r="C35" s="2">
        <v>8793.6</v>
      </c>
      <c r="D35" s="3">
        <v>3777.6</v>
      </c>
      <c r="E35" s="3">
        <v>2449.7</v>
      </c>
      <c r="F35" s="14">
        <f>E35/D35*100</f>
        <v>64.8480516730199</v>
      </c>
      <c r="G35" s="3">
        <v>2923.3</v>
      </c>
      <c r="H35" s="3">
        <v>2680.7</v>
      </c>
      <c r="I35" s="14">
        <f t="shared" si="21"/>
        <v>91.70115964834261</v>
      </c>
      <c r="J35" s="3"/>
      <c r="K35" s="3"/>
      <c r="L35" s="14" t="e">
        <f>K35/J35*100</f>
        <v>#DIV/0!</v>
      </c>
      <c r="M35" s="3">
        <f t="shared" si="9"/>
        <v>6700.9</v>
      </c>
      <c r="N35" s="3">
        <f t="shared" si="10"/>
        <v>5130.4</v>
      </c>
      <c r="O35" s="14">
        <f t="shared" si="2"/>
        <v>76.56284976644928</v>
      </c>
      <c r="P35" s="3"/>
      <c r="Q35" s="3"/>
      <c r="R35" s="14" t="e">
        <f t="shared" si="24"/>
        <v>#DIV/0!</v>
      </c>
      <c r="S35" s="3"/>
      <c r="T35" s="3"/>
      <c r="U35" s="14" t="e">
        <f>T35/S35*100</f>
        <v>#DIV/0!</v>
      </c>
      <c r="V35" s="3"/>
      <c r="W35" s="3"/>
      <c r="X35" s="14"/>
      <c r="Y35" s="3">
        <f t="shared" si="25"/>
        <v>0</v>
      </c>
      <c r="Z35" s="3">
        <f t="shared" si="25"/>
        <v>0</v>
      </c>
      <c r="AA35" s="14" t="e">
        <f>Z35/Y35*100</f>
        <v>#DIV/0!</v>
      </c>
      <c r="AB35" s="3"/>
      <c r="AC35" s="3"/>
      <c r="AD35" s="14" t="e">
        <f t="shared" si="3"/>
        <v>#DIV/0!</v>
      </c>
      <c r="AE35" s="3"/>
      <c r="AF35" s="3"/>
      <c r="AG35" s="28"/>
      <c r="AH35" s="3"/>
      <c r="AI35" s="3"/>
      <c r="AJ35" s="3">
        <f aca="true" t="shared" si="28" ref="AJ35:AK37">AB35+AE35+AH35</f>
        <v>0</v>
      </c>
      <c r="AK35" s="3">
        <f t="shared" si="28"/>
        <v>0</v>
      </c>
      <c r="AL35" s="14" t="e">
        <f t="shared" si="22"/>
        <v>#DIV/0!</v>
      </c>
      <c r="AM35" s="3"/>
      <c r="AN35" s="3"/>
      <c r="AO35" s="3"/>
      <c r="AP35" s="3"/>
      <c r="AQ35" s="14"/>
      <c r="AR35" s="3"/>
      <c r="AS35" s="3"/>
      <c r="AT35" s="3">
        <f>M35+Y35+AJ35+AM35+AO35+AR35</f>
        <v>6700.9</v>
      </c>
      <c r="AU35" s="3">
        <f>N35+Z35+AK35+AN35+AP35+AS35</f>
        <v>5130.4</v>
      </c>
      <c r="AV35" s="14">
        <f>AU35/AT35*100</f>
        <v>76.56284976644928</v>
      </c>
      <c r="AW35" s="14">
        <f>AT35-AU35</f>
        <v>1570.5</v>
      </c>
      <c r="AX35" s="4">
        <f t="shared" si="27"/>
        <v>10364.1</v>
      </c>
      <c r="AY35" s="109">
        <f t="shared" si="4"/>
        <v>6700.9</v>
      </c>
      <c r="AZ35" s="109">
        <f t="shared" si="5"/>
        <v>5130.4</v>
      </c>
      <c r="BA35" s="109">
        <f t="shared" si="6"/>
        <v>10364.1</v>
      </c>
    </row>
    <row r="36" spans="1:53" ht="34.5" customHeight="1" hidden="1">
      <c r="A36" s="6"/>
      <c r="B36" s="15" t="s">
        <v>23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29" ref="I36:I49">H36/G36*100</f>
        <v>#DIV/0!</v>
      </c>
      <c r="J36" s="3"/>
      <c r="K36" s="3"/>
      <c r="L36" s="14" t="e">
        <f aca="true" t="shared" si="30" ref="L36:L46">K36/J36*100</f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4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5"/>
        <v>0</v>
      </c>
      <c r="Z36" s="3">
        <f t="shared" si="25"/>
        <v>0</v>
      </c>
      <c r="AA36" s="14" t="e">
        <f>Z36/Y36*100</f>
        <v>#DIV/0!</v>
      </c>
      <c r="AB36" s="3"/>
      <c r="AC36" s="3"/>
      <c r="AD36" s="14" t="e">
        <f t="shared" si="3"/>
        <v>#DIV/0!</v>
      </c>
      <c r="AE36" s="3"/>
      <c r="AF36" s="3"/>
      <c r="AG36" s="28"/>
      <c r="AH36" s="3"/>
      <c r="AI36" s="3"/>
      <c r="AJ36" s="3">
        <f t="shared" si="28"/>
        <v>0</v>
      </c>
      <c r="AK36" s="3">
        <f t="shared" si="28"/>
        <v>0</v>
      </c>
      <c r="AL36" s="14" t="e">
        <f t="shared" si="22"/>
        <v>#DIV/0!</v>
      </c>
      <c r="AM36" s="3"/>
      <c r="AN36" s="3"/>
      <c r="AO36" s="3"/>
      <c r="AP36" s="3"/>
      <c r="AQ36" s="14"/>
      <c r="AR36" s="3"/>
      <c r="AS36" s="3"/>
      <c r="AT36" s="3">
        <f t="shared" si="26"/>
        <v>0</v>
      </c>
      <c r="AU36" s="3">
        <f t="shared" si="26"/>
        <v>0</v>
      </c>
      <c r="AV36" s="14" t="e">
        <f>AU36/AT36*100</f>
        <v>#DIV/0!</v>
      </c>
      <c r="AW36" s="14">
        <f t="shared" si="17"/>
        <v>0</v>
      </c>
      <c r="AX36" s="4">
        <f t="shared" si="27"/>
        <v>0</v>
      </c>
      <c r="AY36" s="109">
        <f t="shared" si="4"/>
        <v>0</v>
      </c>
      <c r="AZ36" s="109">
        <f t="shared" si="5"/>
        <v>0</v>
      </c>
      <c r="BA36" s="109">
        <f t="shared" si="6"/>
        <v>0</v>
      </c>
    </row>
    <row r="37" spans="1:53" ht="34.5" customHeight="1">
      <c r="A37" s="19"/>
      <c r="B37" s="1" t="s">
        <v>65</v>
      </c>
      <c r="C37" s="2"/>
      <c r="D37" s="3"/>
      <c r="E37" s="3"/>
      <c r="F37" s="14"/>
      <c r="G37" s="3"/>
      <c r="H37" s="3"/>
      <c r="I37" s="36" t="e">
        <f t="shared" si="29"/>
        <v>#DIV/0!</v>
      </c>
      <c r="J37" s="3"/>
      <c r="K37" s="3"/>
      <c r="L37" s="36" t="e">
        <f t="shared" si="30"/>
        <v>#DIV/0!</v>
      </c>
      <c r="M37" s="93">
        <f t="shared" si="9"/>
        <v>0</v>
      </c>
      <c r="N37" s="93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93">
        <f t="shared" si="28"/>
        <v>0</v>
      </c>
      <c r="AK37" s="93">
        <f t="shared" si="28"/>
        <v>0</v>
      </c>
      <c r="AL37" s="14" t="e">
        <f t="shared" si="22"/>
        <v>#DIV/0!</v>
      </c>
      <c r="AM37" s="3"/>
      <c r="AN37" s="3"/>
      <c r="AO37" s="3"/>
      <c r="AP37" s="3"/>
      <c r="AQ37" s="14"/>
      <c r="AR37" s="3"/>
      <c r="AS37" s="3"/>
      <c r="AT37" s="93">
        <f t="shared" si="26"/>
        <v>0</v>
      </c>
      <c r="AU37" s="93">
        <f t="shared" si="26"/>
        <v>0</v>
      </c>
      <c r="AV37" s="28" t="e">
        <f>AU37/AT37*100</f>
        <v>#DIV/0!</v>
      </c>
      <c r="AW37" s="28">
        <f t="shared" si="17"/>
        <v>0</v>
      </c>
      <c r="AX37" s="99">
        <f t="shared" si="27"/>
        <v>0</v>
      </c>
      <c r="AY37" s="109">
        <f t="shared" si="4"/>
        <v>0</v>
      </c>
      <c r="AZ37" s="109">
        <f t="shared" si="5"/>
        <v>0</v>
      </c>
      <c r="BA37" s="109">
        <f t="shared" si="6"/>
        <v>0</v>
      </c>
    </row>
    <row r="38" spans="1:53" ht="34.5" customHeight="1">
      <c r="A38" s="6">
        <v>26</v>
      </c>
      <c r="B38" s="15" t="s">
        <v>51</v>
      </c>
      <c r="C38" s="2">
        <v>13128.9</v>
      </c>
      <c r="D38" s="3">
        <v>4852.1</v>
      </c>
      <c r="E38" s="3">
        <v>3331.3</v>
      </c>
      <c r="F38" s="14">
        <f aca="true" t="shared" si="31" ref="F38:F50">E38/D38*100</f>
        <v>68.65687022114136</v>
      </c>
      <c r="G38" s="3">
        <v>4447.3</v>
      </c>
      <c r="H38" s="3">
        <v>3504.3</v>
      </c>
      <c r="I38" s="14">
        <f t="shared" si="29"/>
        <v>78.79612349065725</v>
      </c>
      <c r="J38" s="3"/>
      <c r="K38" s="3"/>
      <c r="L38" s="14" t="e">
        <f t="shared" si="30"/>
        <v>#DIV/0!</v>
      </c>
      <c r="M38" s="3">
        <f t="shared" si="9"/>
        <v>9299.400000000001</v>
      </c>
      <c r="N38" s="3">
        <f t="shared" si="10"/>
        <v>6835.6</v>
      </c>
      <c r="O38" s="14">
        <f t="shared" si="2"/>
        <v>73.50581757962878</v>
      </c>
      <c r="P38" s="3"/>
      <c r="Q38" s="3"/>
      <c r="R38" s="14" t="e">
        <f t="shared" si="24"/>
        <v>#DIV/0!</v>
      </c>
      <c r="S38" s="3"/>
      <c r="T38" s="3"/>
      <c r="U38" s="14" t="e">
        <f aca="true" t="shared" si="32" ref="U38:U45">T38/S38*100</f>
        <v>#DIV/0!</v>
      </c>
      <c r="V38" s="3"/>
      <c r="W38" s="3"/>
      <c r="X38" s="14" t="e">
        <f aca="true" t="shared" si="33" ref="X38:X45">W38/V38*100</f>
        <v>#DIV/0!</v>
      </c>
      <c r="Y38" s="3">
        <f aca="true" t="shared" si="34" ref="Y38:Z45">P38+S38+V38</f>
        <v>0</v>
      </c>
      <c r="Z38" s="3">
        <f t="shared" si="34"/>
        <v>0</v>
      </c>
      <c r="AA38" s="14" t="e">
        <f aca="true" t="shared" si="35" ref="AA38:AA47">Z38/Y38*100</f>
        <v>#DIV/0!</v>
      </c>
      <c r="AB38" s="3"/>
      <c r="AC38" s="3"/>
      <c r="AD38" s="28" t="e">
        <f t="shared" si="3"/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6" ref="AL38:AL47">AK38/AJ38*100</f>
        <v>#DIV/0!</v>
      </c>
      <c r="AM38" s="3"/>
      <c r="AN38" s="3"/>
      <c r="AO38" s="3"/>
      <c r="AP38" s="3"/>
      <c r="AQ38" s="14"/>
      <c r="AR38" s="3"/>
      <c r="AS38" s="3"/>
      <c r="AT38" s="3">
        <f>M38+Y38+AJ38+AM38+AO38+AR38</f>
        <v>9299.400000000001</v>
      </c>
      <c r="AU38" s="3">
        <f>N38+Z38+AK38+AN38+AP38+AS38</f>
        <v>6835.6</v>
      </c>
      <c r="AV38" s="14">
        <f aca="true" t="shared" si="37" ref="AV38:AV49">AU38/AT38*100</f>
        <v>73.50581757962878</v>
      </c>
      <c r="AW38" s="14">
        <f t="shared" si="17"/>
        <v>2463.800000000001</v>
      </c>
      <c r="AX38" s="4">
        <f t="shared" si="27"/>
        <v>15592.700000000003</v>
      </c>
      <c r="AY38" s="109">
        <f t="shared" si="4"/>
        <v>9299.400000000001</v>
      </c>
      <c r="AZ38" s="109">
        <f t="shared" si="5"/>
        <v>6835.6</v>
      </c>
      <c r="BA38" s="109">
        <f t="shared" si="6"/>
        <v>15592.700000000003</v>
      </c>
    </row>
    <row r="39" spans="1:53" ht="34.5" customHeight="1">
      <c r="A39" s="6">
        <v>27</v>
      </c>
      <c r="B39" s="104" t="s">
        <v>52</v>
      </c>
      <c r="C39" s="2"/>
      <c r="D39" s="3"/>
      <c r="E39" s="3"/>
      <c r="F39" s="28" t="e">
        <f t="shared" si="31"/>
        <v>#DIV/0!</v>
      </c>
      <c r="G39" s="3"/>
      <c r="H39" s="3"/>
      <c r="I39" s="28" t="e">
        <f t="shared" si="29"/>
        <v>#DIV/0!</v>
      </c>
      <c r="J39" s="3"/>
      <c r="K39" s="3"/>
      <c r="L39" s="14"/>
      <c r="M39" s="93">
        <f t="shared" si="9"/>
        <v>0</v>
      </c>
      <c r="N39" s="93">
        <f t="shared" si="10"/>
        <v>0</v>
      </c>
      <c r="O39" s="28"/>
      <c r="P39" s="3"/>
      <c r="Q39" s="3"/>
      <c r="R39" s="28" t="e">
        <f t="shared" si="24"/>
        <v>#DIV/0!</v>
      </c>
      <c r="S39" s="3"/>
      <c r="T39" s="3"/>
      <c r="U39" s="28" t="e">
        <f t="shared" si="32"/>
        <v>#DIV/0!</v>
      </c>
      <c r="V39" s="3"/>
      <c r="W39" s="3"/>
      <c r="X39" s="28" t="e">
        <f t="shared" si="33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7"/>
        <v>0</v>
      </c>
      <c r="AX39" s="99">
        <f t="shared" si="27"/>
        <v>0</v>
      </c>
      <c r="AY39" s="109">
        <f t="shared" si="4"/>
        <v>0</v>
      </c>
      <c r="AZ39" s="109">
        <f t="shared" si="5"/>
        <v>0</v>
      </c>
      <c r="BA39" s="109">
        <f t="shared" si="6"/>
        <v>0</v>
      </c>
    </row>
    <row r="40" spans="1:53" ht="34.5" customHeight="1">
      <c r="A40" s="6">
        <v>28</v>
      </c>
      <c r="B40" s="105" t="s">
        <v>53</v>
      </c>
      <c r="C40" s="2">
        <f>36776.5-3.1</f>
        <v>36773.4</v>
      </c>
      <c r="D40" s="3">
        <v>12333.6</v>
      </c>
      <c r="E40" s="3">
        <v>10362.9</v>
      </c>
      <c r="F40" s="14">
        <f t="shared" si="31"/>
        <v>84.02169682817669</v>
      </c>
      <c r="G40" s="3">
        <v>10986.8</v>
      </c>
      <c r="H40" s="3">
        <v>10235.6</v>
      </c>
      <c r="I40" s="14">
        <f t="shared" si="29"/>
        <v>93.16270433611244</v>
      </c>
      <c r="J40" s="3"/>
      <c r="K40" s="3"/>
      <c r="L40" s="14" t="e">
        <f t="shared" si="30"/>
        <v>#DIV/0!</v>
      </c>
      <c r="M40" s="3">
        <f t="shared" si="9"/>
        <v>23320.4</v>
      </c>
      <c r="N40" s="3">
        <f t="shared" si="10"/>
        <v>20598.5</v>
      </c>
      <c r="O40" s="14">
        <f t="shared" si="2"/>
        <v>88.32824479854547</v>
      </c>
      <c r="P40" s="3"/>
      <c r="Q40" s="3"/>
      <c r="R40" s="14" t="e">
        <f t="shared" si="24"/>
        <v>#DIV/0!</v>
      </c>
      <c r="S40" s="3"/>
      <c r="T40" s="3"/>
      <c r="U40" s="14" t="e">
        <f t="shared" si="32"/>
        <v>#DIV/0!</v>
      </c>
      <c r="V40" s="3"/>
      <c r="W40" s="3"/>
      <c r="X40" s="28" t="e">
        <f t="shared" si="33"/>
        <v>#DIV/0!</v>
      </c>
      <c r="Y40" s="3">
        <f t="shared" si="34"/>
        <v>0</v>
      </c>
      <c r="Z40" s="3">
        <f t="shared" si="34"/>
        <v>0</v>
      </c>
      <c r="AA40" s="14" t="e">
        <f t="shared" si="35"/>
        <v>#DIV/0!</v>
      </c>
      <c r="AB40" s="3"/>
      <c r="AC40" s="3"/>
      <c r="AD40" s="14" t="e">
        <f t="shared" si="3"/>
        <v>#DIV/0!</v>
      </c>
      <c r="AE40" s="3"/>
      <c r="AF40" s="3"/>
      <c r="AG40" s="28" t="e">
        <f aca="true" t="shared" si="38" ref="AG40:AG45">AF40/AE40*100</f>
        <v>#DIV/0!</v>
      </c>
      <c r="AH40" s="3"/>
      <c r="AI40" s="3"/>
      <c r="AJ40" s="3">
        <f aca="true" t="shared" si="39" ref="AJ40:AK42">AB40+AE40+AH40</f>
        <v>0</v>
      </c>
      <c r="AK40" s="3">
        <f t="shared" si="39"/>
        <v>0</v>
      </c>
      <c r="AL40" s="14" t="e">
        <f t="shared" si="36"/>
        <v>#DIV/0!</v>
      </c>
      <c r="AM40" s="3"/>
      <c r="AN40" s="3"/>
      <c r="AO40" s="3"/>
      <c r="AP40" s="3"/>
      <c r="AQ40" s="14"/>
      <c r="AR40" s="3"/>
      <c r="AS40" s="3"/>
      <c r="AT40" s="3">
        <f aca="true" t="shared" si="40" ref="AT40:AU42">M40+Y40+AJ40+AM40+AO40+AR40</f>
        <v>23320.4</v>
      </c>
      <c r="AU40" s="3">
        <f t="shared" si="40"/>
        <v>20598.5</v>
      </c>
      <c r="AV40" s="14">
        <f t="shared" si="37"/>
        <v>88.32824479854547</v>
      </c>
      <c r="AW40" s="14">
        <f t="shared" si="17"/>
        <v>2721.9000000000015</v>
      </c>
      <c r="AX40" s="4">
        <f t="shared" si="27"/>
        <v>39495.3</v>
      </c>
      <c r="AY40" s="109">
        <f t="shared" si="4"/>
        <v>23320.4</v>
      </c>
      <c r="AZ40" s="109">
        <f t="shared" si="5"/>
        <v>20598.5</v>
      </c>
      <c r="BA40" s="109">
        <f t="shared" si="6"/>
        <v>39495.3</v>
      </c>
    </row>
    <row r="41" spans="1:53" ht="34.5" customHeight="1">
      <c r="A41" s="6">
        <v>29</v>
      </c>
      <c r="B41" s="105" t="s">
        <v>54</v>
      </c>
      <c r="C41" s="2">
        <v>37635.6</v>
      </c>
      <c r="D41" s="3">
        <v>12668.4</v>
      </c>
      <c r="E41" s="3">
        <v>7711.9</v>
      </c>
      <c r="F41" s="14">
        <f t="shared" si="31"/>
        <v>60.875090777051554</v>
      </c>
      <c r="G41" s="3">
        <v>10317</v>
      </c>
      <c r="H41" s="3">
        <v>8597.4</v>
      </c>
      <c r="I41" s="14">
        <f t="shared" si="29"/>
        <v>83.33236405931956</v>
      </c>
      <c r="J41" s="3"/>
      <c r="K41" s="3"/>
      <c r="L41" s="14" t="e">
        <f t="shared" si="30"/>
        <v>#DIV/0!</v>
      </c>
      <c r="M41" s="3">
        <f t="shared" si="9"/>
        <v>22985.4</v>
      </c>
      <c r="N41" s="3">
        <f t="shared" si="10"/>
        <v>16309.3</v>
      </c>
      <c r="O41" s="14">
        <f t="shared" si="2"/>
        <v>70.95504102604261</v>
      </c>
      <c r="P41" s="3"/>
      <c r="Q41" s="3"/>
      <c r="R41" s="14" t="e">
        <f t="shared" si="24"/>
        <v>#DIV/0!</v>
      </c>
      <c r="S41" s="3"/>
      <c r="T41" s="3"/>
      <c r="U41" s="14" t="e">
        <f t="shared" si="32"/>
        <v>#DIV/0!</v>
      </c>
      <c r="V41" s="3"/>
      <c r="W41" s="3"/>
      <c r="X41" s="14" t="e">
        <f t="shared" si="33"/>
        <v>#DIV/0!</v>
      </c>
      <c r="Y41" s="3">
        <f t="shared" si="34"/>
        <v>0</v>
      </c>
      <c r="Z41" s="3">
        <f t="shared" si="34"/>
        <v>0</v>
      </c>
      <c r="AA41" s="14" t="e">
        <f t="shared" si="35"/>
        <v>#DIV/0!</v>
      </c>
      <c r="AB41" s="3"/>
      <c r="AC41" s="3"/>
      <c r="AD41" s="14" t="e">
        <f t="shared" si="3"/>
        <v>#DIV/0!</v>
      </c>
      <c r="AE41" s="3"/>
      <c r="AF41" s="3"/>
      <c r="AG41" s="28" t="e">
        <f t="shared" si="38"/>
        <v>#DIV/0!</v>
      </c>
      <c r="AH41" s="3"/>
      <c r="AI41" s="3"/>
      <c r="AJ41" s="3">
        <f t="shared" si="39"/>
        <v>0</v>
      </c>
      <c r="AK41" s="3">
        <f t="shared" si="39"/>
        <v>0</v>
      </c>
      <c r="AL41" s="14" t="e">
        <f t="shared" si="36"/>
        <v>#DIV/0!</v>
      </c>
      <c r="AM41" s="3"/>
      <c r="AN41" s="3"/>
      <c r="AO41" s="3"/>
      <c r="AP41" s="3"/>
      <c r="AQ41" s="14"/>
      <c r="AR41" s="3"/>
      <c r="AS41" s="3"/>
      <c r="AT41" s="3">
        <f t="shared" si="40"/>
        <v>22985.4</v>
      </c>
      <c r="AU41" s="3">
        <f t="shared" si="40"/>
        <v>16309.3</v>
      </c>
      <c r="AV41" s="14">
        <f t="shared" si="37"/>
        <v>70.95504102604261</v>
      </c>
      <c r="AW41" s="14">
        <f t="shared" si="17"/>
        <v>6676.100000000002</v>
      </c>
      <c r="AX41" s="4">
        <f t="shared" si="27"/>
        <v>44311.7</v>
      </c>
      <c r="AY41" s="109">
        <f t="shared" si="4"/>
        <v>22985.4</v>
      </c>
      <c r="AZ41" s="109">
        <f t="shared" si="5"/>
        <v>16309.3</v>
      </c>
      <c r="BA41" s="109">
        <f t="shared" si="6"/>
        <v>44311.7</v>
      </c>
    </row>
    <row r="42" spans="1:53" ht="34.5" customHeight="1">
      <c r="A42" s="6">
        <v>30</v>
      </c>
      <c r="B42" s="105" t="s">
        <v>55</v>
      </c>
      <c r="C42" s="2">
        <v>109236.4</v>
      </c>
      <c r="D42" s="3">
        <v>36842.1</v>
      </c>
      <c r="E42" s="3">
        <v>26023.9</v>
      </c>
      <c r="F42" s="14">
        <f>E42/D42*100</f>
        <v>70.63631009090145</v>
      </c>
      <c r="G42" s="3">
        <v>27998.4</v>
      </c>
      <c r="H42" s="3">
        <v>27580.6</v>
      </c>
      <c r="I42" s="14">
        <f t="shared" si="29"/>
        <v>98.50777187267843</v>
      </c>
      <c r="J42" s="3"/>
      <c r="K42" s="3"/>
      <c r="L42" s="14" t="e">
        <f t="shared" si="30"/>
        <v>#DIV/0!</v>
      </c>
      <c r="M42" s="3">
        <f>D42+G42+J42</f>
        <v>64840.5</v>
      </c>
      <c r="N42" s="3">
        <f>E42+H42+K42</f>
        <v>53604.5</v>
      </c>
      <c r="O42" s="14">
        <f t="shared" si="2"/>
        <v>82.67132424950455</v>
      </c>
      <c r="P42" s="3"/>
      <c r="Q42" s="3"/>
      <c r="R42" s="14" t="e">
        <f t="shared" si="24"/>
        <v>#DIV/0!</v>
      </c>
      <c r="S42" s="3"/>
      <c r="T42" s="3"/>
      <c r="U42" s="14" t="e">
        <f t="shared" si="32"/>
        <v>#DIV/0!</v>
      </c>
      <c r="V42" s="3"/>
      <c r="W42" s="3"/>
      <c r="X42" s="14" t="e">
        <f t="shared" si="33"/>
        <v>#DIV/0!</v>
      </c>
      <c r="Y42" s="3">
        <f t="shared" si="34"/>
        <v>0</v>
      </c>
      <c r="Z42" s="3">
        <f t="shared" si="34"/>
        <v>0</v>
      </c>
      <c r="AA42" s="14" t="e">
        <f t="shared" si="35"/>
        <v>#DIV/0!</v>
      </c>
      <c r="AB42" s="3"/>
      <c r="AC42" s="3"/>
      <c r="AD42" s="14" t="e">
        <f t="shared" si="3"/>
        <v>#DIV/0!</v>
      </c>
      <c r="AE42" s="3"/>
      <c r="AF42" s="3"/>
      <c r="AG42" s="28" t="e">
        <f t="shared" si="38"/>
        <v>#DIV/0!</v>
      </c>
      <c r="AH42" s="3"/>
      <c r="AI42" s="3"/>
      <c r="AJ42" s="3">
        <f t="shared" si="39"/>
        <v>0</v>
      </c>
      <c r="AK42" s="3">
        <f t="shared" si="39"/>
        <v>0</v>
      </c>
      <c r="AL42" s="14" t="e">
        <f t="shared" si="36"/>
        <v>#DIV/0!</v>
      </c>
      <c r="AM42" s="3"/>
      <c r="AN42" s="3"/>
      <c r="AO42" s="3"/>
      <c r="AP42" s="3"/>
      <c r="AQ42" s="14"/>
      <c r="AR42" s="3"/>
      <c r="AS42" s="3"/>
      <c r="AT42" s="3">
        <f t="shared" si="40"/>
        <v>64840.5</v>
      </c>
      <c r="AU42" s="3">
        <f t="shared" si="40"/>
        <v>53604.5</v>
      </c>
      <c r="AV42" s="14">
        <f t="shared" si="37"/>
        <v>82.67132424950455</v>
      </c>
      <c r="AW42" s="14">
        <f t="shared" si="17"/>
        <v>11236</v>
      </c>
      <c r="AX42" s="4">
        <f>C42+AT42-AU42</f>
        <v>120472.4</v>
      </c>
      <c r="AY42" s="109">
        <f t="shared" si="4"/>
        <v>64840.5</v>
      </c>
      <c r="AZ42" s="109">
        <f t="shared" si="5"/>
        <v>53604.5</v>
      </c>
      <c r="BA42" s="109">
        <f t="shared" si="6"/>
        <v>120472.4</v>
      </c>
    </row>
    <row r="43" spans="1:53" ht="34.5" customHeight="1">
      <c r="A43" s="6">
        <v>31</v>
      </c>
      <c r="B43" s="105" t="s">
        <v>56</v>
      </c>
      <c r="C43" s="2"/>
      <c r="D43" s="3"/>
      <c r="E43" s="3"/>
      <c r="F43" s="28" t="e">
        <f t="shared" si="31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7"/>
        <v>0</v>
      </c>
      <c r="AX43" s="99">
        <f t="shared" si="27"/>
        <v>0</v>
      </c>
      <c r="AY43" s="109">
        <f t="shared" si="4"/>
        <v>0</v>
      </c>
      <c r="AZ43" s="109">
        <f t="shared" si="5"/>
        <v>0</v>
      </c>
      <c r="BA43" s="109">
        <f t="shared" si="6"/>
        <v>0</v>
      </c>
    </row>
    <row r="44" spans="1:53" ht="34.5" customHeight="1">
      <c r="A44" s="6">
        <v>32</v>
      </c>
      <c r="B44" s="32" t="s">
        <v>57</v>
      </c>
      <c r="C44" s="2">
        <v>46085.6</v>
      </c>
      <c r="D44" s="3">
        <v>17036.4</v>
      </c>
      <c r="E44" s="3">
        <v>10133.7</v>
      </c>
      <c r="F44" s="14">
        <f t="shared" si="31"/>
        <v>59.482637176868344</v>
      </c>
      <c r="G44" s="3">
        <v>13460</v>
      </c>
      <c r="H44" s="3">
        <v>12121.1</v>
      </c>
      <c r="I44" s="14">
        <f t="shared" si="29"/>
        <v>90.05274888558694</v>
      </c>
      <c r="J44" s="3"/>
      <c r="K44" s="3"/>
      <c r="L44" s="14" t="e">
        <f t="shared" si="30"/>
        <v>#DIV/0!</v>
      </c>
      <c r="M44" s="3">
        <f t="shared" si="9"/>
        <v>30496.4</v>
      </c>
      <c r="N44" s="3">
        <f t="shared" si="10"/>
        <v>22254.800000000003</v>
      </c>
      <c r="O44" s="14">
        <f t="shared" si="2"/>
        <v>72.97517083983684</v>
      </c>
      <c r="P44" s="3"/>
      <c r="Q44" s="3"/>
      <c r="R44" s="14" t="e">
        <f t="shared" si="24"/>
        <v>#DIV/0!</v>
      </c>
      <c r="S44" s="3"/>
      <c r="T44" s="3"/>
      <c r="U44" s="28" t="e">
        <f t="shared" si="32"/>
        <v>#DIV/0!</v>
      </c>
      <c r="V44" s="3"/>
      <c r="W44" s="3"/>
      <c r="X44" s="28" t="e">
        <f t="shared" si="33"/>
        <v>#DIV/0!</v>
      </c>
      <c r="Y44" s="3">
        <f t="shared" si="34"/>
        <v>0</v>
      </c>
      <c r="Z44" s="3">
        <f t="shared" si="34"/>
        <v>0</v>
      </c>
      <c r="AA44" s="14" t="e">
        <f t="shared" si="35"/>
        <v>#DIV/0!</v>
      </c>
      <c r="AB44" s="3"/>
      <c r="AC44" s="3"/>
      <c r="AD44" s="28" t="e">
        <f t="shared" si="3"/>
        <v>#DIV/0!</v>
      </c>
      <c r="AE44" s="3"/>
      <c r="AF44" s="3"/>
      <c r="AG44" s="28" t="e">
        <f t="shared" si="38"/>
        <v>#DIV/0!</v>
      </c>
      <c r="AH44" s="3"/>
      <c r="AI44" s="3"/>
      <c r="AJ44" s="3">
        <f>AB44+AE44+AH44</f>
        <v>0</v>
      </c>
      <c r="AK44" s="3">
        <f>AC44+AF44+AI44</f>
        <v>0</v>
      </c>
      <c r="AL44" s="28" t="e">
        <f t="shared" si="36"/>
        <v>#DIV/0!</v>
      </c>
      <c r="AM44" s="3"/>
      <c r="AN44" s="3"/>
      <c r="AO44" s="3"/>
      <c r="AP44" s="3"/>
      <c r="AQ44" s="14"/>
      <c r="AR44" s="3"/>
      <c r="AS44" s="3"/>
      <c r="AT44" s="3">
        <f>M44+Y44+AJ44+AM44+AO44+AR44</f>
        <v>30496.4</v>
      </c>
      <c r="AU44" s="3">
        <f>N44+Z44+AK44+AN44+AP44+AS44</f>
        <v>22254.800000000003</v>
      </c>
      <c r="AV44" s="14">
        <f t="shared" si="37"/>
        <v>72.97517083983684</v>
      </c>
      <c r="AW44" s="14">
        <f t="shared" si="17"/>
        <v>8241.599999999999</v>
      </c>
      <c r="AX44" s="4">
        <f t="shared" si="27"/>
        <v>54327.2</v>
      </c>
      <c r="AY44" s="109">
        <f t="shared" si="4"/>
        <v>30496.4</v>
      </c>
      <c r="AZ44" s="109">
        <f t="shared" si="5"/>
        <v>22254.800000000003</v>
      </c>
      <c r="BA44" s="109">
        <f t="shared" si="6"/>
        <v>54327.2</v>
      </c>
    </row>
    <row r="45" spans="1:53" ht="34.5" customHeight="1">
      <c r="A45" s="6">
        <v>33</v>
      </c>
      <c r="B45" s="105" t="s">
        <v>58</v>
      </c>
      <c r="C45" s="2">
        <v>23060.8</v>
      </c>
      <c r="D45" s="3">
        <v>12485.1</v>
      </c>
      <c r="E45" s="3">
        <v>9258.6</v>
      </c>
      <c r="F45" s="14">
        <f t="shared" si="31"/>
        <v>74.15719537688925</v>
      </c>
      <c r="G45" s="3">
        <v>10614.5</v>
      </c>
      <c r="H45" s="3">
        <v>10550.9</v>
      </c>
      <c r="I45" s="14">
        <f t="shared" si="29"/>
        <v>99.40081963352017</v>
      </c>
      <c r="J45" s="3"/>
      <c r="K45" s="3"/>
      <c r="L45" s="14" t="e">
        <f t="shared" si="30"/>
        <v>#DIV/0!</v>
      </c>
      <c r="M45" s="3">
        <f t="shared" si="9"/>
        <v>23099.6</v>
      </c>
      <c r="N45" s="3">
        <f t="shared" si="10"/>
        <v>19809.5</v>
      </c>
      <c r="O45" s="14">
        <f t="shared" si="2"/>
        <v>85.75689622331123</v>
      </c>
      <c r="P45" s="3"/>
      <c r="Q45" s="3"/>
      <c r="R45" s="14" t="e">
        <f t="shared" si="24"/>
        <v>#DIV/0!</v>
      </c>
      <c r="S45" s="3"/>
      <c r="T45" s="3"/>
      <c r="U45" s="14" t="e">
        <f t="shared" si="32"/>
        <v>#DIV/0!</v>
      </c>
      <c r="V45" s="3"/>
      <c r="W45" s="3"/>
      <c r="X45" s="14" t="e">
        <f t="shared" si="33"/>
        <v>#DIV/0!</v>
      </c>
      <c r="Y45" s="3">
        <f t="shared" si="34"/>
        <v>0</v>
      </c>
      <c r="Z45" s="3">
        <f t="shared" si="34"/>
        <v>0</v>
      </c>
      <c r="AA45" s="14" t="e">
        <f t="shared" si="35"/>
        <v>#DIV/0!</v>
      </c>
      <c r="AB45" s="3"/>
      <c r="AC45" s="3"/>
      <c r="AD45" s="14" t="e">
        <f t="shared" si="3"/>
        <v>#DIV/0!</v>
      </c>
      <c r="AE45" s="3"/>
      <c r="AF45" s="3"/>
      <c r="AG45" s="28" t="e">
        <f t="shared" si="38"/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6"/>
        <v>#DIV/0!</v>
      </c>
      <c r="AM45" s="3"/>
      <c r="AN45" s="3"/>
      <c r="AO45" s="3"/>
      <c r="AP45" s="3"/>
      <c r="AQ45" s="14"/>
      <c r="AR45" s="3"/>
      <c r="AS45" s="3"/>
      <c r="AT45" s="3">
        <f>M45+Y45+AJ45+AM45+AO45+AR45</f>
        <v>23099.6</v>
      </c>
      <c r="AU45" s="3">
        <f>N45+Z45+AK45+AN45+AP45+AS45</f>
        <v>19809.5</v>
      </c>
      <c r="AV45" s="14">
        <f t="shared" si="37"/>
        <v>85.75689622331123</v>
      </c>
      <c r="AW45" s="14">
        <f t="shared" si="17"/>
        <v>3290.0999999999985</v>
      </c>
      <c r="AX45" s="4">
        <f t="shared" si="27"/>
        <v>26350.899999999994</v>
      </c>
      <c r="AY45" s="109">
        <f t="shared" si="4"/>
        <v>23099.6</v>
      </c>
      <c r="AZ45" s="109">
        <f t="shared" si="5"/>
        <v>19809.5</v>
      </c>
      <c r="BA45" s="109">
        <f t="shared" si="6"/>
        <v>26350.899999999994</v>
      </c>
    </row>
    <row r="46" spans="1:53" s="8" customFormat="1" ht="34.5" customHeight="1">
      <c r="A46" s="38">
        <v>34</v>
      </c>
      <c r="B46" s="16" t="s">
        <v>59</v>
      </c>
      <c r="C46" s="45">
        <f>C47+C49</f>
        <v>2946583.4</v>
      </c>
      <c r="D46" s="45">
        <f>D47+D49</f>
        <v>796520.2</v>
      </c>
      <c r="E46" s="45">
        <f>E47+E49</f>
        <v>510795.2</v>
      </c>
      <c r="F46" s="14">
        <f t="shared" si="31"/>
        <v>64.12834225673122</v>
      </c>
      <c r="G46" s="45">
        <f>G47+G49</f>
        <v>722878.9</v>
      </c>
      <c r="H46" s="45">
        <f>H47+H49</f>
        <v>544007.7</v>
      </c>
      <c r="I46" s="14">
        <f>H46/G46*100</f>
        <v>75.25571710558988</v>
      </c>
      <c r="J46" s="45">
        <f>J47</f>
        <v>0</v>
      </c>
      <c r="K46" s="45">
        <f>K47</f>
        <v>0</v>
      </c>
      <c r="L46" s="14" t="e">
        <f t="shared" si="30"/>
        <v>#DIV/0!</v>
      </c>
      <c r="M46" s="45">
        <f>M47</f>
        <v>1494244</v>
      </c>
      <c r="N46" s="45">
        <f>N47</f>
        <v>1046476</v>
      </c>
      <c r="O46" s="14">
        <f t="shared" si="2"/>
        <v>70.03380973923937</v>
      </c>
      <c r="P46" s="45">
        <f>P47</f>
        <v>0</v>
      </c>
      <c r="Q46" s="45">
        <f>Q47</f>
        <v>0</v>
      </c>
      <c r="R46" s="14" t="e">
        <f>Q46/P46*100</f>
        <v>#DIV/0!</v>
      </c>
      <c r="S46" s="45">
        <f>S47</f>
        <v>0</v>
      </c>
      <c r="T46" s="45">
        <f>T47</f>
        <v>0</v>
      </c>
      <c r="U46" s="14" t="e">
        <f>T46/S46*100</f>
        <v>#DIV/0!</v>
      </c>
      <c r="V46" s="45">
        <f>V47</f>
        <v>0</v>
      </c>
      <c r="W46" s="45">
        <f>W47</f>
        <v>0</v>
      </c>
      <c r="X46" s="14" t="e">
        <f>W46/V46*100</f>
        <v>#DIV/0!</v>
      </c>
      <c r="Y46" s="45">
        <f>Y47</f>
        <v>0</v>
      </c>
      <c r="Z46" s="45">
        <f>Z47</f>
        <v>0</v>
      </c>
      <c r="AA46" s="14" t="e">
        <f t="shared" si="35"/>
        <v>#DIV/0!</v>
      </c>
      <c r="AB46" s="45">
        <f>AB47</f>
        <v>0</v>
      </c>
      <c r="AC46" s="45">
        <f>AC47</f>
        <v>0</v>
      </c>
      <c r="AD46" s="14" t="e">
        <f t="shared" si="3"/>
        <v>#DIV/0!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0</v>
      </c>
      <c r="AK46" s="45">
        <f>AK47</f>
        <v>0</v>
      </c>
      <c r="AL46" s="14" t="e">
        <f t="shared" si="36"/>
        <v>#DIV/0!</v>
      </c>
      <c r="AM46" s="45">
        <f aca="true" t="shared" si="41" ref="AM46:AS46">AM47</f>
        <v>0</v>
      </c>
      <c r="AN46" s="45">
        <f t="shared" si="41"/>
        <v>0</v>
      </c>
      <c r="AO46" s="45">
        <f t="shared" si="41"/>
        <v>0</v>
      </c>
      <c r="AP46" s="45">
        <f t="shared" si="41"/>
        <v>0</v>
      </c>
      <c r="AQ46" s="14" t="e">
        <f>AP46/AO46*100</f>
        <v>#DIV/0!</v>
      </c>
      <c r="AR46" s="45">
        <f t="shared" si="41"/>
        <v>0</v>
      </c>
      <c r="AS46" s="45">
        <f t="shared" si="41"/>
        <v>0</v>
      </c>
      <c r="AT46" s="45">
        <f>AT47+AT49</f>
        <v>1519399.1</v>
      </c>
      <c r="AU46" s="45">
        <f>AU47+AU49</f>
        <v>1054802.9</v>
      </c>
      <c r="AV46" s="14">
        <f t="shared" si="37"/>
        <v>69.42237230494607</v>
      </c>
      <c r="AW46" s="46">
        <f>AW47+AW49</f>
        <v>464596.2</v>
      </c>
      <c r="AX46" s="46">
        <f>AX47+AX49</f>
        <v>3411179.6</v>
      </c>
      <c r="AY46" s="109">
        <f>AY47+AY49</f>
        <v>1519399.1</v>
      </c>
      <c r="AZ46" s="109">
        <f>AZ47+AZ49</f>
        <v>1054802.9</v>
      </c>
      <c r="BA46" s="109">
        <f>BA47+BA49</f>
        <v>3411179.6</v>
      </c>
    </row>
    <row r="47" spans="1:53" s="8" customFormat="1" ht="34.5" customHeight="1">
      <c r="A47" s="38"/>
      <c r="B47" s="1" t="s">
        <v>64</v>
      </c>
      <c r="C47" s="2">
        <f>2895444+47475</f>
        <v>2942919</v>
      </c>
      <c r="D47" s="3">
        <f>779666+5273</f>
        <v>784939</v>
      </c>
      <c r="E47" s="3">
        <f>510135</f>
        <v>510135</v>
      </c>
      <c r="F47" s="14">
        <f t="shared" si="31"/>
        <v>64.99040052793912</v>
      </c>
      <c r="G47" s="3">
        <f>704130+5175</f>
        <v>709305</v>
      </c>
      <c r="H47" s="3">
        <f>536341</f>
        <v>536341</v>
      </c>
      <c r="I47" s="14">
        <f t="shared" si="29"/>
        <v>75.61500341883956</v>
      </c>
      <c r="J47" s="3"/>
      <c r="K47" s="3"/>
      <c r="L47" s="14" t="e">
        <f>K47/J47*100</f>
        <v>#DIV/0!</v>
      </c>
      <c r="M47" s="3">
        <f>D47+G47+J47</f>
        <v>1494244</v>
      </c>
      <c r="N47" s="3">
        <f>E47+H47+K47</f>
        <v>1046476</v>
      </c>
      <c r="O47" s="14">
        <f t="shared" si="2"/>
        <v>70.03380973923937</v>
      </c>
      <c r="P47" s="3"/>
      <c r="Q47" s="3"/>
      <c r="R47" s="14" t="e">
        <f>Q47/P47*100</f>
        <v>#DIV/0!</v>
      </c>
      <c r="S47" s="3"/>
      <c r="T47" s="3"/>
      <c r="U47" s="14" t="e">
        <f>T47/S47*100</f>
        <v>#DIV/0!</v>
      </c>
      <c r="V47" s="3"/>
      <c r="W47" s="3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35"/>
        <v>#DIV/0!</v>
      </c>
      <c r="AB47" s="3"/>
      <c r="AC47" s="3"/>
      <c r="AD47" s="14" t="e">
        <f t="shared" si="3"/>
        <v>#DIV/0!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0</v>
      </c>
      <c r="AK47" s="3">
        <f>AC47+AF47+AI47</f>
        <v>0</v>
      </c>
      <c r="AL47" s="14" t="e">
        <f t="shared" si="36"/>
        <v>#DIV/0!</v>
      </c>
      <c r="AM47" s="3"/>
      <c r="AN47" s="3"/>
      <c r="AO47" s="3"/>
      <c r="AP47" s="3"/>
      <c r="AQ47" s="14"/>
      <c r="AR47" s="3"/>
      <c r="AS47" s="3"/>
      <c r="AT47" s="3">
        <f>M47+Y47+AJ47+AM47+AO47+AR47</f>
        <v>1494244</v>
      </c>
      <c r="AU47" s="3">
        <f>N47+Z47+AK47+AN47+AP47+AS47</f>
        <v>1046476</v>
      </c>
      <c r="AV47" s="14">
        <f t="shared" si="37"/>
        <v>70.03380973923937</v>
      </c>
      <c r="AW47" s="14">
        <f>AT47-AU47</f>
        <v>447768</v>
      </c>
      <c r="AX47" s="4">
        <f>C47+AT47-AU47</f>
        <v>3390687</v>
      </c>
      <c r="AY47" s="109">
        <f t="shared" si="4"/>
        <v>1494244</v>
      </c>
      <c r="AZ47" s="109">
        <f t="shared" si="5"/>
        <v>1046476</v>
      </c>
      <c r="BA47" s="109">
        <f t="shared" si="6"/>
        <v>3390687</v>
      </c>
    </row>
    <row r="48" spans="1:53" s="8" customFormat="1" ht="34.5" customHeight="1">
      <c r="A48" s="38"/>
      <c r="B48" s="1" t="s">
        <v>65</v>
      </c>
      <c r="C48" s="2"/>
      <c r="D48" s="21"/>
      <c r="E48" s="21"/>
      <c r="F48" s="36" t="e">
        <f t="shared" si="31"/>
        <v>#DIV/0!</v>
      </c>
      <c r="G48" s="21"/>
      <c r="H48" s="21"/>
      <c r="I48" s="14"/>
      <c r="J48" s="21"/>
      <c r="K48" s="21"/>
      <c r="L48" s="36" t="e">
        <f>K48/J48*100</f>
        <v>#DIV/0!</v>
      </c>
      <c r="M48" s="3"/>
      <c r="N48" s="3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>AP48/AO48*100</f>
        <v>#DIV/0!</v>
      </c>
      <c r="AR48" s="21"/>
      <c r="AS48" s="21"/>
      <c r="AT48" s="3"/>
      <c r="AU48" s="3"/>
      <c r="AV48" s="14"/>
      <c r="AW48" s="14"/>
      <c r="AX48" s="4"/>
      <c r="AY48" s="109"/>
      <c r="AZ48" s="109"/>
      <c r="BA48" s="109"/>
    </row>
    <row r="49" spans="1:53" s="8" customFormat="1" ht="34.5" customHeight="1">
      <c r="A49" s="38"/>
      <c r="B49" s="1" t="s">
        <v>101</v>
      </c>
      <c r="C49" s="103">
        <v>3664.4</v>
      </c>
      <c r="D49" s="41">
        <v>11581.2</v>
      </c>
      <c r="E49" s="41">
        <v>660.2</v>
      </c>
      <c r="F49" s="14">
        <f t="shared" si="31"/>
        <v>5.700618243359928</v>
      </c>
      <c r="G49" s="41">
        <v>13573.9</v>
      </c>
      <c r="H49" s="41">
        <v>7666.7</v>
      </c>
      <c r="I49" s="14">
        <f t="shared" si="29"/>
        <v>56.481188162576714</v>
      </c>
      <c r="J49" s="41"/>
      <c r="K49" s="41"/>
      <c r="L49" s="33"/>
      <c r="M49" s="3">
        <f>D49+G49+J49</f>
        <v>25155.1</v>
      </c>
      <c r="N49" s="3">
        <f>E49+H49+K49</f>
        <v>8326.9</v>
      </c>
      <c r="O49" s="14">
        <f t="shared" si="2"/>
        <v>33.10223374186547</v>
      </c>
      <c r="P49" s="41"/>
      <c r="Q49" s="41"/>
      <c r="R49" s="33"/>
      <c r="S49" s="41"/>
      <c r="T49" s="41"/>
      <c r="U49" s="33"/>
      <c r="V49" s="41"/>
      <c r="W49" s="41"/>
      <c r="X49" s="33"/>
      <c r="Y49" s="33"/>
      <c r="Z49" s="33"/>
      <c r="AA49" s="33"/>
      <c r="AB49" s="41"/>
      <c r="AC49" s="41"/>
      <c r="AD49" s="33"/>
      <c r="AE49" s="41"/>
      <c r="AF49" s="41"/>
      <c r="AG49" s="33"/>
      <c r="AH49" s="41"/>
      <c r="AI49" s="41"/>
      <c r="AJ49" s="33"/>
      <c r="AK49" s="33"/>
      <c r="AL49" s="33"/>
      <c r="AM49" s="41"/>
      <c r="AN49" s="41"/>
      <c r="AO49" s="41"/>
      <c r="AP49" s="41"/>
      <c r="AQ49" s="33"/>
      <c r="AR49" s="41"/>
      <c r="AS49" s="41"/>
      <c r="AT49" s="3">
        <f>M49+Y49+AJ49+AM49+AO49+AR49</f>
        <v>25155.1</v>
      </c>
      <c r="AU49" s="3">
        <f>N49+Z49+AK49+AN49+AP49+AS49</f>
        <v>8326.9</v>
      </c>
      <c r="AV49" s="14">
        <f t="shared" si="37"/>
        <v>33.10223374186547</v>
      </c>
      <c r="AW49" s="14">
        <f>AT49-AU49</f>
        <v>16828.199999999997</v>
      </c>
      <c r="AX49" s="4">
        <f>C49+AT49-AU49</f>
        <v>20492.6</v>
      </c>
      <c r="AY49" s="109">
        <f>M49+Y49+AJ49+AM49+AO49+AR49</f>
        <v>25155.1</v>
      </c>
      <c r="AZ49" s="109">
        <f t="shared" si="5"/>
        <v>8326.9</v>
      </c>
      <c r="BA49" s="109">
        <f t="shared" si="6"/>
        <v>20492.6</v>
      </c>
    </row>
    <row r="50" spans="1:53" s="8" customFormat="1" ht="34.5" customHeight="1">
      <c r="A50" s="38"/>
      <c r="B50" s="16" t="s">
        <v>60</v>
      </c>
      <c r="C50" s="45">
        <f>C8+C46</f>
        <v>3305339.5</v>
      </c>
      <c r="D50" s="4">
        <f>D8+D46</f>
        <v>923103.2</v>
      </c>
      <c r="E50" s="4">
        <f>E8+E46</f>
        <v>601581.5</v>
      </c>
      <c r="F50" s="14">
        <f t="shared" si="31"/>
        <v>65.16947400897321</v>
      </c>
      <c r="G50" s="4">
        <f>G8+G46</f>
        <v>826757.6</v>
      </c>
      <c r="H50" s="4">
        <f>H8+H46</f>
        <v>641242.3999999999</v>
      </c>
      <c r="I50" s="14">
        <f>H50/G50*100</f>
        <v>77.56111343881204</v>
      </c>
      <c r="J50" s="4">
        <f>J8+J46</f>
        <v>0</v>
      </c>
      <c r="K50" s="4">
        <f>K8+K46</f>
        <v>0</v>
      </c>
      <c r="L50" s="4" t="e">
        <f>K50/J50*100</f>
        <v>#DIV/0!</v>
      </c>
      <c r="M50" s="4">
        <f>M8+M46</f>
        <v>1724705.7</v>
      </c>
      <c r="N50" s="4">
        <f>N8+N46</f>
        <v>1234497</v>
      </c>
      <c r="O50" s="14">
        <f t="shared" si="2"/>
        <v>71.57725518040556</v>
      </c>
      <c r="P50" s="4">
        <f>P8+P46</f>
        <v>0</v>
      </c>
      <c r="Q50" s="4">
        <f>Q8+Q46</f>
        <v>0</v>
      </c>
      <c r="R50" s="14" t="e">
        <f>Q50/P50*100</f>
        <v>#DIV/0!</v>
      </c>
      <c r="S50" s="4">
        <f>S8+S46</f>
        <v>0</v>
      </c>
      <c r="T50" s="4">
        <f>T8+T46</f>
        <v>0</v>
      </c>
      <c r="U50" s="14" t="e">
        <f>T50/S50*100</f>
        <v>#DIV/0!</v>
      </c>
      <c r="V50" s="4">
        <f>V8+V46</f>
        <v>0</v>
      </c>
      <c r="W50" s="4">
        <f>W8+W46</f>
        <v>0</v>
      </c>
      <c r="X50" s="14" t="e">
        <f>W50/V50*100</f>
        <v>#DIV/0!</v>
      </c>
      <c r="Y50" s="4">
        <f>Y8+Y46</f>
        <v>0</v>
      </c>
      <c r="Z50" s="4">
        <f>Z8+Z46</f>
        <v>0</v>
      </c>
      <c r="AA50" s="14" t="e">
        <f>Z50/Y50*100</f>
        <v>#DIV/0!</v>
      </c>
      <c r="AB50" s="4">
        <f>AB8+AB46</f>
        <v>0</v>
      </c>
      <c r="AC50" s="4">
        <f>AC8+AC46</f>
        <v>0</v>
      </c>
      <c r="AD50" s="14" t="e">
        <f t="shared" si="3"/>
        <v>#DIV/0!</v>
      </c>
      <c r="AE50" s="4">
        <f>AE8+AE46</f>
        <v>0</v>
      </c>
      <c r="AF50" s="4">
        <f>AF8+AF46</f>
        <v>0</v>
      </c>
      <c r="AG50" s="28" t="e">
        <f>AF50/AE50*100</f>
        <v>#DIV/0!</v>
      </c>
      <c r="AH50" s="4">
        <f>AH8+AH46</f>
        <v>0</v>
      </c>
      <c r="AI50" s="4">
        <f>AI8+AI46</f>
        <v>0</v>
      </c>
      <c r="AJ50" s="4">
        <f>AJ8+AJ46</f>
        <v>0</v>
      </c>
      <c r="AK50" s="4">
        <f>AK8+AK46</f>
        <v>0</v>
      </c>
      <c r="AL50" s="14" t="e">
        <f>AK50/AJ50*100</f>
        <v>#DIV/0!</v>
      </c>
      <c r="AM50" s="4">
        <f>AM8+AM46</f>
        <v>0</v>
      </c>
      <c r="AN50" s="4">
        <f>AN8+AN46</f>
        <v>0</v>
      </c>
      <c r="AO50" s="4">
        <f>AO8+AO46</f>
        <v>0</v>
      </c>
      <c r="AP50" s="4">
        <f>AP8+AP46</f>
        <v>0</v>
      </c>
      <c r="AQ50" s="14" t="e">
        <f>AP50/AO50*100</f>
        <v>#DIV/0!</v>
      </c>
      <c r="AR50" s="4">
        <f>AR8+AR46</f>
        <v>0</v>
      </c>
      <c r="AS50" s="4">
        <f>AS8+AS46</f>
        <v>0</v>
      </c>
      <c r="AT50" s="4">
        <f>AT8+AT46</f>
        <v>1749860.8</v>
      </c>
      <c r="AU50" s="4">
        <f>AU8+AU46</f>
        <v>1242823.9</v>
      </c>
      <c r="AV50" s="14">
        <f>AU50/AT50*100</f>
        <v>71.0241580358849</v>
      </c>
      <c r="AW50" s="46">
        <f>AW8+AW46</f>
        <v>507036.9</v>
      </c>
      <c r="AX50" s="46">
        <f>AX8+AX46</f>
        <v>3812376.4000000004</v>
      </c>
      <c r="AY50" s="109">
        <f>AY8+AY46</f>
        <v>1749860.8</v>
      </c>
      <c r="AZ50" s="109">
        <f>AZ8+AZ46</f>
        <v>1242823.9</v>
      </c>
      <c r="BA50" s="109">
        <f>BA8+BA46</f>
        <v>3812376.4000000004</v>
      </c>
    </row>
    <row r="51" spans="1:50" s="119" customFormat="1" ht="51.75" customHeight="1">
      <c r="A51" s="239" t="s">
        <v>66</v>
      </c>
      <c r="B51" s="239"/>
      <c r="C51" s="239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8" t="s">
        <v>67</v>
      </c>
    </row>
    <row r="52" spans="1:50" s="8" customFormat="1" ht="51.75" customHeight="1">
      <c r="A52" s="38"/>
      <c r="B52" s="8" t="s">
        <v>14</v>
      </c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71"/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0" s="8" customFormat="1" ht="51.75" customHeight="1">
      <c r="A54" s="38"/>
      <c r="B54" s="8" t="s">
        <v>15</v>
      </c>
      <c r="C54" s="7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</row>
    <row r="55" spans="1:52" ht="51.75" customHeight="1">
      <c r="A55" s="244" t="s">
        <v>17</v>
      </c>
      <c r="B55" s="244"/>
      <c r="C55" s="244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3"/>
      <c r="AU55" s="53"/>
      <c r="AV55" s="52"/>
      <c r="AW55" s="31"/>
      <c r="AX55" s="54" t="s">
        <v>16</v>
      </c>
      <c r="AY55" s="52"/>
      <c r="AZ55" s="54" t="s">
        <v>16</v>
      </c>
    </row>
    <row r="56" spans="3:50" ht="51.75" customHeight="1">
      <c r="C56" s="63"/>
      <c r="D56" s="31"/>
      <c r="E56" s="31"/>
      <c r="F56" s="52"/>
      <c r="G56" s="31"/>
      <c r="H56" s="31"/>
      <c r="I56" s="52"/>
      <c r="J56" s="31"/>
      <c r="K56" s="31"/>
      <c r="L56" s="52"/>
      <c r="M56" s="52"/>
      <c r="N56" s="52"/>
      <c r="O56" s="52"/>
      <c r="P56" s="31"/>
      <c r="Q56" s="31"/>
      <c r="R56" s="52"/>
      <c r="S56" s="31"/>
      <c r="T56" s="31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31"/>
      <c r="AU56" s="31"/>
      <c r="AV56" s="52"/>
      <c r="AW56" s="31"/>
      <c r="AX56" s="31"/>
    </row>
    <row r="57" spans="1:50" s="61" customFormat="1" ht="51.75" customHeight="1">
      <c r="A57" s="56"/>
      <c r="B57" s="243" t="s">
        <v>19</v>
      </c>
      <c r="C57" s="243"/>
      <c r="D57" s="57"/>
      <c r="E57" s="57"/>
      <c r="F57" s="58"/>
      <c r="G57" s="59"/>
      <c r="H57" s="59"/>
      <c r="I57" s="58"/>
      <c r="J57" s="59"/>
      <c r="K57" s="59"/>
      <c r="L57" s="58"/>
      <c r="M57" s="58"/>
      <c r="N57" s="58"/>
      <c r="O57" s="58"/>
      <c r="P57" s="59"/>
      <c r="Q57" s="59"/>
      <c r="R57" s="58"/>
      <c r="S57" s="59"/>
      <c r="T57" s="59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7"/>
      <c r="AU57" s="57"/>
      <c r="AV57" s="58"/>
      <c r="AW57" s="59"/>
      <c r="AX57" s="60" t="s">
        <v>18</v>
      </c>
    </row>
    <row r="58" spans="3:50" ht="51.7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27"/>
      <c r="AU58" s="27"/>
      <c r="AV58" s="62"/>
      <c r="AW58" s="27"/>
      <c r="AX58" s="27"/>
    </row>
    <row r="59" spans="2:50" ht="51.75" customHeight="1">
      <c r="B59" s="5" t="s">
        <v>7</v>
      </c>
      <c r="C59" s="70">
        <v>1256.9</v>
      </c>
      <c r="D59" s="3">
        <v>1154.2</v>
      </c>
      <c r="E59" s="3">
        <v>1213.3</v>
      </c>
      <c r="F59" s="14"/>
      <c r="G59" s="3">
        <v>142.7</v>
      </c>
      <c r="H59" s="3">
        <v>103.3</v>
      </c>
      <c r="I59" s="14"/>
      <c r="J59" s="3">
        <v>142.7</v>
      </c>
      <c r="K59" s="3">
        <v>103.3</v>
      </c>
      <c r="L59" s="14"/>
      <c r="M59" s="14"/>
      <c r="N59" s="14"/>
      <c r="O59" s="14"/>
      <c r="P59" s="3">
        <v>142.7</v>
      </c>
      <c r="Q59" s="3">
        <v>103.3</v>
      </c>
      <c r="R59" s="14"/>
      <c r="S59" s="3">
        <v>142.7</v>
      </c>
      <c r="T59" s="3">
        <v>103.3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3">
        <v>1154.2</v>
      </c>
      <c r="AU59" s="3">
        <v>1213.3</v>
      </c>
      <c r="AV59" s="14"/>
      <c r="AW59" s="3"/>
      <c r="AX59" s="4">
        <f>C59+D59-E59</f>
        <v>1197.8000000000004</v>
      </c>
    </row>
    <row r="60" spans="2:50" ht="51.75" customHeight="1">
      <c r="B60" s="5" t="s">
        <v>8</v>
      </c>
      <c r="C60" s="78">
        <v>1174.8</v>
      </c>
      <c r="D60" s="27">
        <v>1415.7</v>
      </c>
      <c r="E60" s="27">
        <v>1436.1</v>
      </c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>
        <v>1415.7</v>
      </c>
      <c r="AU60" s="27">
        <v>1436.1</v>
      </c>
      <c r="AV60" s="62"/>
      <c r="AW60" s="27"/>
      <c r="AX60" s="4">
        <f>C60+D60-E60</f>
        <v>1154.4</v>
      </c>
    </row>
    <row r="61" spans="3:50" ht="51.75" customHeight="1">
      <c r="C61" s="78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3:50" ht="51.75" customHeight="1">
      <c r="C62" s="78"/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/>
    </row>
    <row r="63" spans="2:50" ht="51.75" customHeight="1">
      <c r="B63" s="5" t="s">
        <v>9</v>
      </c>
      <c r="C63" s="78">
        <f>C10+C18+C21+C27+C39+C41+C43</f>
        <v>41569.2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AX10+AX18+AX21+AX27+AX39+AX41+AX43</f>
        <v>48740.6</v>
      </c>
    </row>
    <row r="64" spans="2:50" ht="51.75" customHeight="1">
      <c r="B64" s="5" t="s">
        <v>10</v>
      </c>
      <c r="C64" s="78">
        <f>C12+C14+C15+C17+C19+C20+C26</f>
        <v>4297.1</v>
      </c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>
        <f>AX12+AX14+AX15+AX17+AX19+AX20+AX26</f>
        <v>4617.900000000001</v>
      </c>
    </row>
    <row r="65" spans="3:50" ht="51.7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  <row r="106" spans="3:50" ht="51.75" customHeight="1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27"/>
      <c r="AU106" s="27"/>
      <c r="AV106" s="62"/>
      <c r="AW106" s="27"/>
      <c r="AX106" s="27"/>
    </row>
  </sheetData>
  <sheetProtection/>
  <mergeCells count="24">
    <mergeCell ref="AH6:AI6"/>
    <mergeCell ref="AT6:AV6"/>
    <mergeCell ref="AM6:AN6"/>
    <mergeCell ref="P6:R6"/>
    <mergeCell ref="AO6:AP6"/>
    <mergeCell ref="AR6:AS6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B57:C57"/>
    <mergeCell ref="A55:C55"/>
    <mergeCell ref="S6:U6"/>
    <mergeCell ref="AB6:AD6"/>
    <mergeCell ref="M6:O6"/>
    <mergeCell ref="J6:L6"/>
    <mergeCell ref="Y6:AA6"/>
    <mergeCell ref="A51:C51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5"/>
  <sheetViews>
    <sheetView view="pageBreakPreview" zoomScale="70" zoomScaleNormal="75" zoomScaleSheetLayoutView="70" zoomScalePageLayoutView="0" workbookViewId="0" topLeftCell="A3">
      <pane xSplit="6" ySplit="5" topLeftCell="AT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A50" sqref="BA50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2.25390625" style="8" hidden="1" customWidth="1"/>
    <col min="14" max="14" width="13.37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hidden="1" customWidth="1"/>
    <col min="26" max="26" width="12.7539062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79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</row>
    <row r="2" spans="2:59" s="30" customFormat="1" ht="60" customHeight="1">
      <c r="B2" s="248" t="s">
        <v>95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80"/>
      <c r="AY2" s="81"/>
      <c r="AZ2" s="81"/>
      <c r="BA2" s="81"/>
      <c r="BB2" s="81"/>
      <c r="BC2" s="81"/>
      <c r="BD2" s="81"/>
      <c r="BE2" s="81"/>
      <c r="BF2" s="81"/>
      <c r="BG2" s="81"/>
    </row>
    <row r="3" spans="1:49" s="30" customFormat="1" ht="60" customHeight="1">
      <c r="A3" s="29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</row>
    <row r="4" spans="2:49" ht="34.5" customHeight="1">
      <c r="B4" s="238"/>
      <c r="C4" s="238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35" t="s">
        <v>68</v>
      </c>
      <c r="E5" s="236"/>
      <c r="F5" s="237"/>
      <c r="G5" s="232" t="s">
        <v>70</v>
      </c>
      <c r="H5" s="233"/>
      <c r="I5" s="234"/>
      <c r="J5" s="245" t="s">
        <v>71</v>
      </c>
      <c r="K5" s="246"/>
      <c r="L5" s="247"/>
      <c r="M5" s="232" t="s">
        <v>73</v>
      </c>
      <c r="N5" s="233"/>
      <c r="O5" s="234"/>
      <c r="P5" s="232" t="s">
        <v>72</v>
      </c>
      <c r="Q5" s="233"/>
      <c r="R5" s="234"/>
      <c r="S5" s="245" t="s">
        <v>75</v>
      </c>
      <c r="T5" s="246"/>
      <c r="U5" s="247"/>
      <c r="V5" s="245" t="s">
        <v>76</v>
      </c>
      <c r="W5" s="246"/>
      <c r="X5" s="247"/>
      <c r="Y5" s="232" t="s">
        <v>77</v>
      </c>
      <c r="Z5" s="233"/>
      <c r="AA5" s="234"/>
      <c r="AB5" s="232" t="s">
        <v>78</v>
      </c>
      <c r="AC5" s="233"/>
      <c r="AD5" s="234"/>
      <c r="AE5" s="232" t="s">
        <v>79</v>
      </c>
      <c r="AF5" s="233"/>
      <c r="AG5" s="234"/>
      <c r="AH5" s="232" t="s">
        <v>80</v>
      </c>
      <c r="AI5" s="234"/>
      <c r="AJ5" s="232" t="s">
        <v>81</v>
      </c>
      <c r="AK5" s="233"/>
      <c r="AL5" s="234"/>
      <c r="AM5" s="232" t="s">
        <v>82</v>
      </c>
      <c r="AN5" s="234"/>
      <c r="AO5" s="232" t="s">
        <v>83</v>
      </c>
      <c r="AP5" s="234"/>
      <c r="AQ5" s="232" t="s">
        <v>84</v>
      </c>
      <c r="AR5" s="234"/>
      <c r="AS5" s="235" t="s">
        <v>87</v>
      </c>
      <c r="AT5" s="236"/>
      <c r="AU5" s="237"/>
      <c r="AV5" s="240" t="s">
        <v>91</v>
      </c>
      <c r="AW5" s="240" t="s">
        <v>92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41"/>
      <c r="AW6" s="241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2"/>
      <c r="B7" s="13" t="s">
        <v>62</v>
      </c>
      <c r="C7" s="94">
        <f aca="true" t="shared" si="0" ref="C7:AT7">SUM(C8:C44)-C33-C34-C35-C36</f>
        <v>49</v>
      </c>
      <c r="D7" s="94">
        <f t="shared" si="0"/>
        <v>268.4</v>
      </c>
      <c r="E7" s="94">
        <f t="shared" si="0"/>
        <v>266.4</v>
      </c>
      <c r="F7" s="94">
        <f aca="true" t="shared" si="1" ref="F7:F49">E7/D7*100</f>
        <v>99.2548435171386</v>
      </c>
      <c r="G7" s="94">
        <f t="shared" si="0"/>
        <v>217.2</v>
      </c>
      <c r="H7" s="94">
        <f t="shared" si="0"/>
        <v>215.3</v>
      </c>
      <c r="I7" s="94">
        <f>H7/G7*100</f>
        <v>99.12523020257828</v>
      </c>
      <c r="J7" s="94">
        <f t="shared" si="0"/>
        <v>0</v>
      </c>
      <c r="K7" s="94">
        <f t="shared" si="0"/>
        <v>0</v>
      </c>
      <c r="L7" s="14" t="e">
        <f aca="true" t="shared" si="2" ref="L7:L49">K7/J7*100</f>
        <v>#DIV/0!</v>
      </c>
      <c r="M7" s="94">
        <f t="shared" si="0"/>
        <v>485.59999999999997</v>
      </c>
      <c r="N7" s="94">
        <f t="shared" si="0"/>
        <v>481.7</v>
      </c>
      <c r="O7" s="14">
        <f aca="true" t="shared" si="3" ref="O7:O49">N7/M7*100</f>
        <v>99.19686985172982</v>
      </c>
      <c r="P7" s="94">
        <f t="shared" si="0"/>
        <v>0</v>
      </c>
      <c r="Q7" s="94">
        <f t="shared" si="0"/>
        <v>0</v>
      </c>
      <c r="R7" s="94" t="e">
        <f t="shared" si="0"/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14" t="e">
        <f>Z7/Y7*100</f>
        <v>#DIV/0!</v>
      </c>
      <c r="AB7" s="94">
        <f t="shared" si="0"/>
        <v>0</v>
      </c>
      <c r="AC7" s="94">
        <f t="shared" si="0"/>
        <v>0</v>
      </c>
      <c r="AD7" s="14" t="e">
        <f aca="true" t="shared" si="4" ref="AD7:AD47">AC7/AB7*100</f>
        <v>#DIV/0!</v>
      </c>
      <c r="AE7" s="94">
        <f t="shared" si="0"/>
        <v>0</v>
      </c>
      <c r="AF7" s="94">
        <f t="shared" si="0"/>
        <v>0</v>
      </c>
      <c r="AG7" s="94" t="e">
        <f t="shared" si="0"/>
        <v>#DIV/0!</v>
      </c>
      <c r="AH7" s="94">
        <f t="shared" si="0"/>
        <v>0</v>
      </c>
      <c r="AI7" s="94">
        <f t="shared" si="0"/>
        <v>0</v>
      </c>
      <c r="AJ7" s="94">
        <f>SUM(AJ8:AJ44)-AJ33-AJ34-AJ35-AJ36</f>
        <v>0</v>
      </c>
      <c r="AK7" s="94">
        <f>SUM(AK8:AK44)-AK33-AK34-AK35-AK36</f>
        <v>0</v>
      </c>
      <c r="AL7" s="94">
        <f t="shared" si="0"/>
        <v>0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 t="shared" si="0"/>
        <v>485.59999999999997</v>
      </c>
      <c r="AT7" s="94">
        <f t="shared" si="0"/>
        <v>481.7</v>
      </c>
      <c r="AU7" s="94">
        <f>AT7/AS7*100</f>
        <v>99.19686985172982</v>
      </c>
      <c r="AV7" s="94">
        <f>SUM(AV8:AV44)-AV33-AV34-AV35-AV36</f>
        <v>3.9000000000000004</v>
      </c>
      <c r="AW7" s="94">
        <f>SUM(AW8:AW44)-AW33-AW34-AW35-AW36</f>
        <v>52.89999999999999</v>
      </c>
      <c r="AX7" s="20">
        <f>M7+Y7+AJ7+AM7+AO7+AQ7</f>
        <v>485.59999999999997</v>
      </c>
      <c r="AY7" s="20">
        <f>N7+Z7+AK7+AN7+AP7+AR7</f>
        <v>481.7</v>
      </c>
      <c r="AZ7" s="18">
        <f>C7+AX7-AY7</f>
        <v>52.89999999999992</v>
      </c>
      <c r="BA7" s="72"/>
      <c r="BB7" s="72"/>
      <c r="BC7" s="72"/>
      <c r="BD7" s="72"/>
      <c r="BE7" s="72"/>
      <c r="BF7" s="72"/>
      <c r="BG7" s="72"/>
    </row>
    <row r="8" spans="1:52" ht="34.5" customHeight="1">
      <c r="A8" s="83">
        <v>1</v>
      </c>
      <c r="B8" s="1" t="s">
        <v>27</v>
      </c>
      <c r="C8" s="2">
        <v>0</v>
      </c>
      <c r="D8" s="3">
        <v>0</v>
      </c>
      <c r="E8" s="3">
        <v>0</v>
      </c>
      <c r="F8" s="28" t="e">
        <f t="shared" si="1"/>
        <v>#DIV/0!</v>
      </c>
      <c r="G8" s="3">
        <v>0</v>
      </c>
      <c r="H8" s="3">
        <v>0</v>
      </c>
      <c r="I8" s="28" t="e">
        <f>H8/G8*100</f>
        <v>#DIV/0!</v>
      </c>
      <c r="J8" s="3"/>
      <c r="K8" s="3"/>
      <c r="L8" s="14" t="e">
        <f t="shared" si="2"/>
        <v>#DIV/0!</v>
      </c>
      <c r="M8" s="3">
        <f>D8+G8+J8</f>
        <v>0</v>
      </c>
      <c r="N8" s="3">
        <f>E8+H8+K8</f>
        <v>0</v>
      </c>
      <c r="O8" s="14" t="e">
        <f t="shared" si="3"/>
        <v>#DIV/0!</v>
      </c>
      <c r="P8" s="3"/>
      <c r="Q8" s="3"/>
      <c r="R8" s="94" t="e">
        <f aca="true" t="shared" si="5" ref="R8:R49">Q8/P8*100</f>
        <v>#DIV/0!</v>
      </c>
      <c r="S8" s="3"/>
      <c r="T8" s="3"/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 t="shared" si="4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0</v>
      </c>
      <c r="AU8" s="28" t="e">
        <f>AT8/AS8*100</f>
        <v>#DIV/0!</v>
      </c>
      <c r="AV8" s="14">
        <f>AS8-AT8</f>
        <v>0</v>
      </c>
      <c r="AW8" s="4">
        <f>C8+AS8-AT8</f>
        <v>0</v>
      </c>
      <c r="AX8" s="20">
        <f aca="true" t="shared" si="6" ref="AX8:AX48">M8+Y8+AJ8+AM8+AO8+AQ8</f>
        <v>0</v>
      </c>
      <c r="AY8" s="20">
        <f aca="true" t="shared" si="7" ref="AY8:AY48">N8+Z8+AK8+AN8+AP8+AR8</f>
        <v>0</v>
      </c>
      <c r="AZ8" s="18">
        <f aca="true" t="shared" si="8" ref="AZ8:AZ48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aca="true" t="shared" si="9" ref="I9:I21">H9/G9*100</f>
        <v>#DIV/0!</v>
      </c>
      <c r="J9" s="3"/>
      <c r="K9" s="3"/>
      <c r="L9" s="14" t="e">
        <f t="shared" si="2"/>
        <v>#DIV/0!</v>
      </c>
      <c r="M9" s="3">
        <f aca="true" t="shared" si="10" ref="M9:M31">D9+G9+J9</f>
        <v>0</v>
      </c>
      <c r="N9" s="3">
        <f aca="true" t="shared" si="11" ref="N9:N31">E9+H9+K9</f>
        <v>0</v>
      </c>
      <c r="O9" s="14" t="e">
        <f t="shared" si="3"/>
        <v>#DIV/0!</v>
      </c>
      <c r="P9" s="3"/>
      <c r="Q9" s="3"/>
      <c r="R9" s="94" t="e">
        <f t="shared" si="5"/>
        <v>#DIV/0!</v>
      </c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4"/>
        <v>#DIV/0!</v>
      </c>
      <c r="AE9" s="3"/>
      <c r="AF9" s="3"/>
      <c r="AG9" s="28"/>
      <c r="AH9" s="3"/>
      <c r="AI9" s="3"/>
      <c r="AJ9" s="3">
        <f aca="true" t="shared" si="12" ref="AJ9:AK33">AB9+AE9+AH9</f>
        <v>0</v>
      </c>
      <c r="AK9" s="3">
        <f aca="true" t="shared" si="13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14">
        <f>AS9-AT9</f>
        <v>0</v>
      </c>
      <c r="AW9" s="4">
        <f>C9+AS9-AT9</f>
        <v>0</v>
      </c>
      <c r="AX9" s="20">
        <f t="shared" si="6"/>
        <v>0</v>
      </c>
      <c r="AY9" s="20">
        <f t="shared" si="7"/>
        <v>0</v>
      </c>
      <c r="AZ9" s="18">
        <f t="shared" si="8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14"/>
      <c r="G10" s="21"/>
      <c r="H10" s="21"/>
      <c r="I10" s="36" t="e">
        <f t="shared" si="9"/>
        <v>#DIV/0!</v>
      </c>
      <c r="J10" s="21"/>
      <c r="K10" s="21"/>
      <c r="L10" s="28" t="e">
        <f t="shared" si="2"/>
        <v>#DIV/0!</v>
      </c>
      <c r="M10" s="93">
        <f t="shared" si="10"/>
        <v>0</v>
      </c>
      <c r="N10" s="93">
        <f t="shared" si="11"/>
        <v>0</v>
      </c>
      <c r="O10" s="28" t="e">
        <f t="shared" si="3"/>
        <v>#DIV/0!</v>
      </c>
      <c r="P10" s="93"/>
      <c r="Q10" s="93"/>
      <c r="R10" s="28" t="e">
        <f t="shared" si="5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4"/>
        <v>#DIV/0!</v>
      </c>
      <c r="AE10" s="21"/>
      <c r="AF10" s="21"/>
      <c r="AG10" s="36" t="e">
        <f>AF10/AE10*100</f>
        <v>#DIV/0!</v>
      </c>
      <c r="AH10" s="21"/>
      <c r="AI10" s="21"/>
      <c r="AJ10" s="93">
        <f t="shared" si="12"/>
        <v>0</v>
      </c>
      <c r="AK10" s="93">
        <f t="shared" si="13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4"/>
      <c r="AV10" s="14"/>
      <c r="AW10" s="4"/>
      <c r="AX10" s="20">
        <f t="shared" si="6"/>
        <v>0</v>
      </c>
      <c r="AY10" s="20">
        <f t="shared" si="7"/>
        <v>0</v>
      </c>
      <c r="AZ10" s="18">
        <f t="shared" si="8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14"/>
      <c r="G11" s="3"/>
      <c r="H11" s="3"/>
      <c r="I11" s="36" t="e">
        <f t="shared" si="9"/>
        <v>#DIV/0!</v>
      </c>
      <c r="J11" s="3"/>
      <c r="K11" s="3"/>
      <c r="L11" s="28" t="e">
        <f t="shared" si="2"/>
        <v>#DIV/0!</v>
      </c>
      <c r="M11" s="93">
        <f t="shared" si="10"/>
        <v>0</v>
      </c>
      <c r="N11" s="93">
        <f t="shared" si="11"/>
        <v>0</v>
      </c>
      <c r="O11" s="28" t="e">
        <f t="shared" si="3"/>
        <v>#DIV/0!</v>
      </c>
      <c r="P11" s="93"/>
      <c r="Q11" s="93"/>
      <c r="R11" s="28" t="e">
        <f t="shared" si="5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4"/>
        <v>#DIV/0!</v>
      </c>
      <c r="AE11" s="3"/>
      <c r="AF11" s="3"/>
      <c r="AG11" s="36" t="e">
        <f>AF11/AE11*100</f>
        <v>#DIV/0!</v>
      </c>
      <c r="AH11" s="3"/>
      <c r="AI11" s="3"/>
      <c r="AJ11" s="93">
        <f t="shared" si="12"/>
        <v>0</v>
      </c>
      <c r="AK11" s="93">
        <f t="shared" si="13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4"/>
      <c r="AV11" s="14"/>
      <c r="AW11" s="4"/>
      <c r="AX11" s="20">
        <f t="shared" si="6"/>
        <v>0</v>
      </c>
      <c r="AY11" s="20">
        <f t="shared" si="7"/>
        <v>0</v>
      </c>
      <c r="AZ11" s="18">
        <f t="shared" si="8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9"/>
        <v>#DIV/0!</v>
      </c>
      <c r="J12" s="3"/>
      <c r="K12" s="3"/>
      <c r="L12" s="14" t="e">
        <f t="shared" si="2"/>
        <v>#DIV/0!</v>
      </c>
      <c r="M12" s="3">
        <f t="shared" si="10"/>
        <v>0</v>
      </c>
      <c r="N12" s="3">
        <f t="shared" si="11"/>
        <v>0</v>
      </c>
      <c r="O12" s="14" t="e">
        <f t="shared" si="3"/>
        <v>#DIV/0!</v>
      </c>
      <c r="P12" s="3"/>
      <c r="Q12" s="3"/>
      <c r="R12" s="94" t="e">
        <f t="shared" si="5"/>
        <v>#DIV/0!</v>
      </c>
      <c r="S12" s="3"/>
      <c r="T12" s="3"/>
      <c r="U12" s="14"/>
      <c r="V12" s="3"/>
      <c r="W12" s="3"/>
      <c r="X12" s="14"/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28" t="e">
        <f t="shared" si="4"/>
        <v>#DIV/0!</v>
      </c>
      <c r="AE12" s="3"/>
      <c r="AF12" s="3"/>
      <c r="AG12" s="28"/>
      <c r="AH12" s="3"/>
      <c r="AI12" s="3"/>
      <c r="AJ12" s="3">
        <f t="shared" si="12"/>
        <v>0</v>
      </c>
      <c r="AK12" s="3">
        <f t="shared" si="13"/>
        <v>0</v>
      </c>
      <c r="AL12" s="14"/>
      <c r="AM12" s="3"/>
      <c r="AN12" s="3"/>
      <c r="AO12" s="3"/>
      <c r="AP12" s="3"/>
      <c r="AQ12" s="3"/>
      <c r="AR12" s="3"/>
      <c r="AS12" s="3">
        <f>M12+Y12+AJ12+AM12+AO12+AQ12</f>
        <v>0</v>
      </c>
      <c r="AT12" s="3">
        <f>N12+Z12+AK12+AN12+AP12+AR12</f>
        <v>0</v>
      </c>
      <c r="AU12" s="28" t="e">
        <f>AT12/AS12*100</f>
        <v>#DIV/0!</v>
      </c>
      <c r="AV12" s="14">
        <f>AS12-AT12</f>
        <v>0</v>
      </c>
      <c r="AW12" s="4">
        <f>C12+AS12-AT12</f>
        <v>0</v>
      </c>
      <c r="AX12" s="20">
        <f t="shared" si="6"/>
        <v>0</v>
      </c>
      <c r="AY12" s="20">
        <f t="shared" si="7"/>
        <v>0</v>
      </c>
      <c r="AZ12" s="18">
        <f t="shared" si="8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3">
        <f t="shared" si="10"/>
        <v>0</v>
      </c>
      <c r="N13" s="93">
        <f t="shared" si="11"/>
        <v>0</v>
      </c>
      <c r="O13" s="28" t="e">
        <f t="shared" si="3"/>
        <v>#DIV/0!</v>
      </c>
      <c r="P13" s="93"/>
      <c r="Q13" s="93"/>
      <c r="R13" s="28" t="e">
        <f t="shared" si="5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4"/>
        <v>#DIV/0!</v>
      </c>
      <c r="AE13" s="3"/>
      <c r="AF13" s="3"/>
      <c r="AG13" s="28"/>
      <c r="AH13" s="3"/>
      <c r="AI13" s="3"/>
      <c r="AJ13" s="93">
        <f t="shared" si="12"/>
        <v>0</v>
      </c>
      <c r="AK13" s="93">
        <f t="shared" si="13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4"/>
      <c r="AV13" s="28">
        <f>AS13-AT13</f>
        <v>0</v>
      </c>
      <c r="AW13" s="99">
        <f>C13+AS13-AT13</f>
        <v>0</v>
      </c>
      <c r="AX13" s="20">
        <f t="shared" si="6"/>
        <v>0</v>
      </c>
      <c r="AY13" s="20">
        <f t="shared" si="7"/>
        <v>0</v>
      </c>
      <c r="AZ13" s="18">
        <f t="shared" si="8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3">
        <f t="shared" si="10"/>
        <v>0</v>
      </c>
      <c r="N14" s="93">
        <f t="shared" si="11"/>
        <v>0</v>
      </c>
      <c r="O14" s="28" t="e">
        <f t="shared" si="3"/>
        <v>#DIV/0!</v>
      </c>
      <c r="P14" s="93"/>
      <c r="Q14" s="93"/>
      <c r="R14" s="28" t="e">
        <f t="shared" si="5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4"/>
        <v>#DIV/0!</v>
      </c>
      <c r="AE14" s="21"/>
      <c r="AF14" s="21"/>
      <c r="AG14" s="36"/>
      <c r="AH14" s="21"/>
      <c r="AI14" s="21"/>
      <c r="AJ14" s="93">
        <f t="shared" si="12"/>
        <v>0</v>
      </c>
      <c r="AK14" s="93">
        <f t="shared" si="13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4"/>
      <c r="AV14" s="14"/>
      <c r="AW14" s="4"/>
      <c r="AX14" s="20">
        <f t="shared" si="6"/>
        <v>0</v>
      </c>
      <c r="AY14" s="20">
        <f t="shared" si="7"/>
        <v>0</v>
      </c>
      <c r="AZ14" s="18">
        <f t="shared" si="8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9"/>
        <v>#DIV/0!</v>
      </c>
      <c r="J15" s="3"/>
      <c r="K15" s="3"/>
      <c r="L15" s="14" t="e">
        <f t="shared" si="2"/>
        <v>#DIV/0!</v>
      </c>
      <c r="M15" s="3">
        <f t="shared" si="10"/>
        <v>0</v>
      </c>
      <c r="N15" s="3">
        <f t="shared" si="11"/>
        <v>0</v>
      </c>
      <c r="O15" s="14" t="e">
        <f t="shared" si="3"/>
        <v>#DIV/0!</v>
      </c>
      <c r="P15" s="3"/>
      <c r="Q15" s="3"/>
      <c r="R15" s="94" t="e">
        <f t="shared" si="5"/>
        <v>#DIV/0!</v>
      </c>
      <c r="S15" s="3"/>
      <c r="T15" s="3"/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4"/>
        <v>#DIV/0!</v>
      </c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/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14">
        <f>AS15-AT15</f>
        <v>0</v>
      </c>
      <c r="AW15" s="4">
        <f>C15+AS15-AT15</f>
        <v>0</v>
      </c>
      <c r="AX15" s="20">
        <f t="shared" si="6"/>
        <v>0</v>
      </c>
      <c r="AY15" s="20">
        <f t="shared" si="7"/>
        <v>0</v>
      </c>
      <c r="AZ15" s="18">
        <f t="shared" si="8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14"/>
      <c r="G16" s="21"/>
      <c r="H16" s="21"/>
      <c r="I16" s="36" t="e">
        <f t="shared" si="9"/>
        <v>#DIV/0!</v>
      </c>
      <c r="J16" s="21"/>
      <c r="K16" s="21"/>
      <c r="L16" s="28" t="e">
        <f t="shared" si="2"/>
        <v>#DIV/0!</v>
      </c>
      <c r="M16" s="93">
        <f t="shared" si="10"/>
        <v>0</v>
      </c>
      <c r="N16" s="93">
        <f t="shared" si="11"/>
        <v>0</v>
      </c>
      <c r="O16" s="28" t="e">
        <f t="shared" si="3"/>
        <v>#DIV/0!</v>
      </c>
      <c r="P16" s="93"/>
      <c r="Q16" s="93"/>
      <c r="R16" s="28" t="e">
        <f t="shared" si="5"/>
        <v>#DIV/0!</v>
      </c>
      <c r="S16" s="93"/>
      <c r="T16" s="93"/>
      <c r="U16" s="28" t="e">
        <f aca="true" t="shared" si="14" ref="U16:U21">T16/S16*100</f>
        <v>#DIV/0!</v>
      </c>
      <c r="V16" s="93"/>
      <c r="W16" s="93"/>
      <c r="X16" s="28" t="e">
        <f>W16/V16*100</f>
        <v>#DIV/0!</v>
      </c>
      <c r="Y16" s="93"/>
      <c r="Z16" s="93"/>
      <c r="AA16" s="28"/>
      <c r="AB16" s="93"/>
      <c r="AC16" s="93"/>
      <c r="AD16" s="28" t="e">
        <f t="shared" si="4"/>
        <v>#DIV/0!</v>
      </c>
      <c r="AE16" s="93"/>
      <c r="AF16" s="93"/>
      <c r="AG16" s="28"/>
      <c r="AH16" s="93"/>
      <c r="AI16" s="93"/>
      <c r="AJ16" s="3">
        <f t="shared" si="12"/>
        <v>0</v>
      </c>
      <c r="AK16" s="3">
        <f t="shared" si="13"/>
        <v>0</v>
      </c>
      <c r="AL16" s="28"/>
      <c r="AM16" s="93"/>
      <c r="AN16" s="93"/>
      <c r="AO16" s="93"/>
      <c r="AP16" s="93"/>
      <c r="AQ16" s="93"/>
      <c r="AR16" s="93"/>
      <c r="AS16" s="3"/>
      <c r="AT16" s="3"/>
      <c r="AU16" s="94"/>
      <c r="AV16" s="14"/>
      <c r="AW16" s="4"/>
      <c r="AX16" s="20">
        <f t="shared" si="6"/>
        <v>0</v>
      </c>
      <c r="AY16" s="20">
        <f t="shared" si="7"/>
        <v>0</v>
      </c>
      <c r="AZ16" s="18">
        <f t="shared" si="8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3"/>
      <c r="F17" s="28" t="e">
        <f t="shared" si="1"/>
        <v>#DIV/0!</v>
      </c>
      <c r="G17" s="3"/>
      <c r="H17" s="3"/>
      <c r="I17" s="28" t="e">
        <f t="shared" si="9"/>
        <v>#DIV/0!</v>
      </c>
      <c r="J17" s="3"/>
      <c r="K17" s="3"/>
      <c r="L17" s="28" t="e">
        <f t="shared" si="2"/>
        <v>#DIV/0!</v>
      </c>
      <c r="M17" s="3">
        <f t="shared" si="10"/>
        <v>0</v>
      </c>
      <c r="N17" s="3">
        <f t="shared" si="11"/>
        <v>0</v>
      </c>
      <c r="O17" s="28" t="e">
        <f t="shared" si="3"/>
        <v>#DIV/0!</v>
      </c>
      <c r="P17" s="3"/>
      <c r="Q17" s="3"/>
      <c r="R17" s="28" t="e">
        <f t="shared" si="5"/>
        <v>#DIV/0!</v>
      </c>
      <c r="S17" s="3"/>
      <c r="T17" s="3"/>
      <c r="U17" s="14"/>
      <c r="V17" s="3"/>
      <c r="W17" s="3"/>
      <c r="X17" s="14"/>
      <c r="Y17" s="3">
        <f aca="true" t="shared" si="15" ref="Y17:Z19">P17+S17+V17</f>
        <v>0</v>
      </c>
      <c r="Z17" s="3">
        <f t="shared" si="15"/>
        <v>0</v>
      </c>
      <c r="AA17" s="28" t="e">
        <f>Z17/Y17*100</f>
        <v>#DIV/0!</v>
      </c>
      <c r="AB17" s="3"/>
      <c r="AC17" s="3"/>
      <c r="AD17" s="28" t="e">
        <f t="shared" si="4"/>
        <v>#DIV/0!</v>
      </c>
      <c r="AE17" s="3"/>
      <c r="AF17" s="3"/>
      <c r="AG17" s="14"/>
      <c r="AH17" s="3"/>
      <c r="AI17" s="3"/>
      <c r="AJ17" s="3">
        <f t="shared" si="12"/>
        <v>0</v>
      </c>
      <c r="AK17" s="3">
        <f t="shared" si="13"/>
        <v>0</v>
      </c>
      <c r="AL17" s="14"/>
      <c r="AM17" s="3"/>
      <c r="AN17" s="3"/>
      <c r="AO17" s="3"/>
      <c r="AP17" s="3"/>
      <c r="AQ17" s="3"/>
      <c r="AR17" s="3"/>
      <c r="AS17" s="3">
        <f aca="true" t="shared" si="16" ref="AS17:AT19">M17+Y17+AJ17+AM17+AO17+AQ17</f>
        <v>0</v>
      </c>
      <c r="AT17" s="3">
        <f t="shared" si="16"/>
        <v>0</v>
      </c>
      <c r="AU17" s="94"/>
      <c r="AV17" s="14">
        <f>AS17-AT17</f>
        <v>0</v>
      </c>
      <c r="AW17" s="4">
        <f>C17+AS17-AT17</f>
        <v>0</v>
      </c>
      <c r="AX17" s="20">
        <f t="shared" si="6"/>
        <v>0</v>
      </c>
      <c r="AY17" s="20">
        <f t="shared" si="7"/>
        <v>0</v>
      </c>
      <c r="AZ17" s="18">
        <f t="shared" si="8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41"/>
      <c r="H18" s="41"/>
      <c r="I18" s="28" t="e">
        <f t="shared" si="9"/>
        <v>#DIV/0!</v>
      </c>
      <c r="J18" s="3"/>
      <c r="K18" s="3"/>
      <c r="L18" s="14" t="e">
        <f t="shared" si="2"/>
        <v>#DIV/0!</v>
      </c>
      <c r="M18" s="3">
        <f t="shared" si="10"/>
        <v>0</v>
      </c>
      <c r="N18" s="3">
        <f t="shared" si="11"/>
        <v>0</v>
      </c>
      <c r="O18" s="14" t="e">
        <f t="shared" si="3"/>
        <v>#DIV/0!</v>
      </c>
      <c r="P18" s="3"/>
      <c r="Q18" s="3"/>
      <c r="R18" s="94" t="e">
        <f t="shared" si="5"/>
        <v>#DIV/0!</v>
      </c>
      <c r="S18" s="3"/>
      <c r="T18" s="3"/>
      <c r="U18" s="28"/>
      <c r="V18" s="3"/>
      <c r="W18" s="3"/>
      <c r="X18" s="28" t="e">
        <f>W18/V18*100</f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28" t="e">
        <f t="shared" si="4"/>
        <v>#DIV/0!</v>
      </c>
      <c r="AE18" s="3"/>
      <c r="AF18" s="3"/>
      <c r="AG18" s="28"/>
      <c r="AH18" s="3"/>
      <c r="AI18" s="3"/>
      <c r="AJ18" s="3">
        <f t="shared" si="12"/>
        <v>0</v>
      </c>
      <c r="AK18" s="3">
        <f t="shared" si="13"/>
        <v>0</v>
      </c>
      <c r="AL18" s="28"/>
      <c r="AM18" s="3"/>
      <c r="AN18" s="3"/>
      <c r="AO18" s="3"/>
      <c r="AP18" s="3"/>
      <c r="AQ18" s="3"/>
      <c r="AR18" s="3"/>
      <c r="AS18" s="3">
        <f t="shared" si="16"/>
        <v>0</v>
      </c>
      <c r="AT18" s="3">
        <f t="shared" si="16"/>
        <v>0</v>
      </c>
      <c r="AU18" s="28" t="e">
        <f>AT18/AS18*100</f>
        <v>#DIV/0!</v>
      </c>
      <c r="AV18" s="14">
        <f>AS18-AT18</f>
        <v>0</v>
      </c>
      <c r="AW18" s="4">
        <f>C18+AS18-AT18</f>
        <v>0</v>
      </c>
      <c r="AX18" s="20">
        <f t="shared" si="6"/>
        <v>0</v>
      </c>
      <c r="AY18" s="20">
        <f t="shared" si="7"/>
        <v>0</v>
      </c>
      <c r="AZ18" s="18">
        <f t="shared" si="8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41">
        <v>0</v>
      </c>
      <c r="H19" s="41">
        <v>0</v>
      </c>
      <c r="I19" s="28" t="e">
        <f t="shared" si="9"/>
        <v>#DIV/0!</v>
      </c>
      <c r="J19" s="3"/>
      <c r="K19" s="3"/>
      <c r="L19" s="14" t="e">
        <f t="shared" si="2"/>
        <v>#DIV/0!</v>
      </c>
      <c r="M19" s="3">
        <f t="shared" si="10"/>
        <v>0</v>
      </c>
      <c r="N19" s="3">
        <f t="shared" si="11"/>
        <v>0</v>
      </c>
      <c r="O19" s="14" t="e">
        <f t="shared" si="3"/>
        <v>#DIV/0!</v>
      </c>
      <c r="P19" s="3"/>
      <c r="Q19" s="3"/>
      <c r="R19" s="94" t="e">
        <f t="shared" si="5"/>
        <v>#DIV/0!</v>
      </c>
      <c r="S19" s="3"/>
      <c r="T19" s="3"/>
      <c r="U19" s="28"/>
      <c r="V19" s="3"/>
      <c r="W19" s="3"/>
      <c r="X19" s="28" t="e">
        <f>W19/V19*100</f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28" t="e">
        <f t="shared" si="4"/>
        <v>#DIV/0!</v>
      </c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/>
      <c r="AM19" s="3"/>
      <c r="AN19" s="3"/>
      <c r="AO19" s="3"/>
      <c r="AP19" s="41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14">
        <f>AS19-AT19</f>
        <v>0</v>
      </c>
      <c r="AW19" s="4">
        <f>C19+AS19-AT19</f>
        <v>0</v>
      </c>
      <c r="AX19" s="20">
        <f t="shared" si="6"/>
        <v>0</v>
      </c>
      <c r="AY19" s="20">
        <f t="shared" si="7"/>
        <v>0</v>
      </c>
      <c r="AZ19" s="18">
        <f t="shared" si="8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14"/>
      <c r="G20" s="21"/>
      <c r="H20" s="21"/>
      <c r="I20" s="36" t="e">
        <f t="shared" si="9"/>
        <v>#DIV/0!</v>
      </c>
      <c r="J20" s="21"/>
      <c r="K20" s="21"/>
      <c r="L20" s="28" t="e">
        <f t="shared" si="2"/>
        <v>#DIV/0!</v>
      </c>
      <c r="M20" s="93">
        <f t="shared" si="10"/>
        <v>0</v>
      </c>
      <c r="N20" s="93">
        <f t="shared" si="11"/>
        <v>0</v>
      </c>
      <c r="O20" s="28" t="e">
        <f t="shared" si="3"/>
        <v>#DIV/0!</v>
      </c>
      <c r="P20" s="93"/>
      <c r="Q20" s="93"/>
      <c r="R20" s="28" t="e">
        <f t="shared" si="5"/>
        <v>#DIV/0!</v>
      </c>
      <c r="S20" s="21"/>
      <c r="T20" s="21"/>
      <c r="U20" s="36" t="e">
        <f t="shared" si="14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4"/>
        <v>#DIV/0!</v>
      </c>
      <c r="AE20" s="21"/>
      <c r="AF20" s="21"/>
      <c r="AG20" s="36"/>
      <c r="AH20" s="21"/>
      <c r="AI20" s="21"/>
      <c r="AJ20" s="93">
        <f t="shared" si="12"/>
        <v>0</v>
      </c>
      <c r="AK20" s="93">
        <f t="shared" si="13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4"/>
      <c r="AV20" s="14"/>
      <c r="AW20" s="4"/>
      <c r="AX20" s="20">
        <f t="shared" si="6"/>
        <v>0</v>
      </c>
      <c r="AY20" s="20">
        <f t="shared" si="7"/>
        <v>0</v>
      </c>
      <c r="AZ20" s="18">
        <f t="shared" si="8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9"/>
        <v>#DIV/0!</v>
      </c>
      <c r="J21" s="21"/>
      <c r="K21" s="21"/>
      <c r="L21" s="28" t="e">
        <f t="shared" si="2"/>
        <v>#DIV/0!</v>
      </c>
      <c r="M21" s="93">
        <f t="shared" si="10"/>
        <v>0</v>
      </c>
      <c r="N21" s="93">
        <f t="shared" si="11"/>
        <v>0</v>
      </c>
      <c r="O21" s="28" t="e">
        <f t="shared" si="3"/>
        <v>#DIV/0!</v>
      </c>
      <c r="P21" s="93"/>
      <c r="Q21" s="93"/>
      <c r="R21" s="28" t="e">
        <f t="shared" si="5"/>
        <v>#DIV/0!</v>
      </c>
      <c r="S21" s="21"/>
      <c r="T21" s="21"/>
      <c r="U21" s="36" t="e">
        <f t="shared" si="14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4"/>
        <v>#DIV/0!</v>
      </c>
      <c r="AE21" s="21"/>
      <c r="AF21" s="21"/>
      <c r="AG21" s="36"/>
      <c r="AH21" s="21"/>
      <c r="AI21" s="21"/>
      <c r="AJ21" s="93">
        <f t="shared" si="12"/>
        <v>0</v>
      </c>
      <c r="AK21" s="93">
        <f t="shared" si="13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4"/>
      <c r="AV21" s="14"/>
      <c r="AW21" s="4"/>
      <c r="AX21" s="20">
        <f t="shared" si="6"/>
        <v>0</v>
      </c>
      <c r="AY21" s="20">
        <f t="shared" si="7"/>
        <v>0</v>
      </c>
      <c r="AZ21" s="18">
        <f t="shared" si="8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3">
        <f t="shared" si="10"/>
        <v>0</v>
      </c>
      <c r="N22" s="93">
        <f t="shared" si="11"/>
        <v>0</v>
      </c>
      <c r="O22" s="28" t="e">
        <f t="shared" si="3"/>
        <v>#DIV/0!</v>
      </c>
      <c r="P22" s="93"/>
      <c r="Q22" s="93"/>
      <c r="R22" s="28" t="e">
        <f t="shared" si="5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4"/>
        <v>#DIV/0!</v>
      </c>
      <c r="AE22" s="21"/>
      <c r="AF22" s="21"/>
      <c r="AG22" s="36"/>
      <c r="AH22" s="21"/>
      <c r="AI22" s="21"/>
      <c r="AJ22" s="93">
        <f t="shared" si="12"/>
        <v>0</v>
      </c>
      <c r="AK22" s="93">
        <f t="shared" si="13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4"/>
      <c r="AV22" s="14"/>
      <c r="AW22" s="4"/>
      <c r="AX22" s="20">
        <f t="shared" si="6"/>
        <v>0</v>
      </c>
      <c r="AY22" s="20">
        <f t="shared" si="7"/>
        <v>0</v>
      </c>
      <c r="AZ22" s="18">
        <f t="shared" si="8"/>
        <v>0</v>
      </c>
    </row>
    <row r="23" spans="1:52" ht="34.5" customHeight="1">
      <c r="A23" s="83">
        <v>16</v>
      </c>
      <c r="B23" s="15" t="s">
        <v>41</v>
      </c>
      <c r="C23" s="77"/>
      <c r="D23" s="77"/>
      <c r="E23" s="77"/>
      <c r="F23" s="14"/>
      <c r="G23" s="77"/>
      <c r="H23" s="77"/>
      <c r="I23" s="77"/>
      <c r="J23" s="77"/>
      <c r="K23" s="77"/>
      <c r="L23" s="28" t="e">
        <f t="shared" si="2"/>
        <v>#DIV/0!</v>
      </c>
      <c r="M23" s="93">
        <f t="shared" si="10"/>
        <v>0</v>
      </c>
      <c r="N23" s="93">
        <f t="shared" si="11"/>
        <v>0</v>
      </c>
      <c r="O23" s="28" t="e">
        <f t="shared" si="3"/>
        <v>#DIV/0!</v>
      </c>
      <c r="P23" s="91"/>
      <c r="Q23" s="91"/>
      <c r="R23" s="28" t="e">
        <f t="shared" si="5"/>
        <v>#DIV/0!</v>
      </c>
      <c r="S23" s="77"/>
      <c r="T23" s="77"/>
      <c r="U23" s="77"/>
      <c r="V23" s="77"/>
      <c r="W23" s="77"/>
      <c r="X23" s="77"/>
      <c r="Y23" s="3"/>
      <c r="Z23" s="3"/>
      <c r="AA23" s="14"/>
      <c r="AB23" s="77"/>
      <c r="AC23" s="77"/>
      <c r="AD23" s="28" t="e">
        <f t="shared" si="4"/>
        <v>#DIV/0!</v>
      </c>
      <c r="AE23" s="77"/>
      <c r="AF23" s="77"/>
      <c r="AG23" s="77"/>
      <c r="AH23" s="77"/>
      <c r="AI23" s="77"/>
      <c r="AJ23" s="93">
        <f t="shared" si="12"/>
        <v>0</v>
      </c>
      <c r="AK23" s="93">
        <f t="shared" si="13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94"/>
      <c r="AV23" s="14"/>
      <c r="AW23" s="4"/>
      <c r="AX23" s="20">
        <f t="shared" si="6"/>
        <v>0</v>
      </c>
      <c r="AY23" s="20">
        <f t="shared" si="7"/>
        <v>0</v>
      </c>
      <c r="AZ23" s="18">
        <f t="shared" si="8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266.4</v>
      </c>
      <c r="E24" s="3">
        <v>266.4</v>
      </c>
      <c r="F24" s="14">
        <f t="shared" si="1"/>
        <v>100</v>
      </c>
      <c r="G24" s="3">
        <v>215.3</v>
      </c>
      <c r="H24" s="3">
        <v>215.3</v>
      </c>
      <c r="I24" s="14">
        <f>H24/G24*100</f>
        <v>100</v>
      </c>
      <c r="J24" s="3"/>
      <c r="K24" s="3"/>
      <c r="L24" s="14" t="e">
        <f t="shared" si="2"/>
        <v>#DIV/0!</v>
      </c>
      <c r="M24" s="3">
        <f t="shared" si="10"/>
        <v>481.7</v>
      </c>
      <c r="N24" s="3">
        <f t="shared" si="11"/>
        <v>481.7</v>
      </c>
      <c r="O24" s="14">
        <f t="shared" si="3"/>
        <v>100</v>
      </c>
      <c r="P24" s="41"/>
      <c r="Q24" s="41"/>
      <c r="R24" s="94" t="e">
        <f t="shared" si="5"/>
        <v>#DIV/0!</v>
      </c>
      <c r="S24" s="3"/>
      <c r="T24" s="3"/>
      <c r="U24" s="14"/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 t="e">
        <f t="shared" si="4"/>
        <v>#DIV/0!</v>
      </c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481.7</v>
      </c>
      <c r="AT24" s="3">
        <f>N24+Z24+AK24+AN24+AP24+AR24</f>
        <v>481.7</v>
      </c>
      <c r="AU24" s="94">
        <f>AT24/AS24*100</f>
        <v>100</v>
      </c>
      <c r="AV24" s="14">
        <f>AS24-AT24</f>
        <v>0</v>
      </c>
      <c r="AW24" s="4">
        <f>C24+AS24-AT24</f>
        <v>0</v>
      </c>
      <c r="AX24" s="20">
        <f t="shared" si="6"/>
        <v>481.7</v>
      </c>
      <c r="AY24" s="20">
        <f t="shared" si="7"/>
        <v>481.7</v>
      </c>
      <c r="AZ24" s="18">
        <f t="shared" si="8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3">
        <f t="shared" si="10"/>
        <v>0</v>
      </c>
      <c r="N25" s="93">
        <f t="shared" si="11"/>
        <v>0</v>
      </c>
      <c r="O25" s="28" t="e">
        <f t="shared" si="3"/>
        <v>#DIV/0!</v>
      </c>
      <c r="P25" s="93"/>
      <c r="Q25" s="93"/>
      <c r="R25" s="28" t="e">
        <f t="shared" si="5"/>
        <v>#DIV/0!</v>
      </c>
      <c r="S25" s="93"/>
      <c r="T25" s="93"/>
      <c r="U25" s="28" t="e">
        <f>T25/S25*100</f>
        <v>#DIV/0!</v>
      </c>
      <c r="V25" s="93"/>
      <c r="W25" s="93"/>
      <c r="X25" s="28" t="e">
        <f>W25/V25*100</f>
        <v>#DIV/0!</v>
      </c>
      <c r="Y25" s="93"/>
      <c r="Z25" s="93"/>
      <c r="AA25" s="28"/>
      <c r="AB25" s="93"/>
      <c r="AC25" s="93"/>
      <c r="AD25" s="28" t="e">
        <f t="shared" si="4"/>
        <v>#DIV/0!</v>
      </c>
      <c r="AE25" s="93"/>
      <c r="AF25" s="93"/>
      <c r="AG25" s="28"/>
      <c r="AH25" s="93"/>
      <c r="AI25" s="93"/>
      <c r="AJ25" s="93">
        <f t="shared" si="12"/>
        <v>0</v>
      </c>
      <c r="AK25" s="93">
        <f t="shared" si="13"/>
        <v>0</v>
      </c>
      <c r="AL25" s="28"/>
      <c r="AM25" s="93"/>
      <c r="AN25" s="93"/>
      <c r="AO25" s="93"/>
      <c r="AP25" s="93"/>
      <c r="AQ25" s="93"/>
      <c r="AR25" s="93"/>
      <c r="AS25" s="3"/>
      <c r="AT25" s="3"/>
      <c r="AU25" s="94"/>
      <c r="AV25" s="14"/>
      <c r="AW25" s="4"/>
      <c r="AX25" s="20">
        <f t="shared" si="6"/>
        <v>0</v>
      </c>
      <c r="AY25" s="20">
        <f t="shared" si="7"/>
        <v>0</v>
      </c>
      <c r="AZ25" s="18">
        <f t="shared" si="8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 t="e">
        <f t="shared" si="1"/>
        <v>#DIV/0!</v>
      </c>
      <c r="G26" s="3">
        <v>0</v>
      </c>
      <c r="H26" s="3">
        <v>0</v>
      </c>
      <c r="I26" s="28" t="e">
        <f>H26/G26*100</f>
        <v>#DIV/0!</v>
      </c>
      <c r="J26" s="3"/>
      <c r="K26" s="3"/>
      <c r="L26" s="14" t="e">
        <f t="shared" si="2"/>
        <v>#DIV/0!</v>
      </c>
      <c r="M26" s="3">
        <f t="shared" si="10"/>
        <v>0</v>
      </c>
      <c r="N26" s="3">
        <f t="shared" si="11"/>
        <v>0</v>
      </c>
      <c r="O26" s="14" t="e">
        <f t="shared" si="3"/>
        <v>#DIV/0!</v>
      </c>
      <c r="P26" s="3"/>
      <c r="Q26" s="3"/>
      <c r="R26" s="94" t="e">
        <f t="shared" si="5"/>
        <v>#DIV/0!</v>
      </c>
      <c r="S26" s="3"/>
      <c r="T26" s="3"/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14" t="e">
        <f t="shared" si="4"/>
        <v>#DIV/0!</v>
      </c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14">
        <f>AS26-AT26</f>
        <v>0</v>
      </c>
      <c r="AW26" s="4">
        <f>C26+AS26-AT26</f>
        <v>0</v>
      </c>
      <c r="AX26" s="20">
        <f t="shared" si="6"/>
        <v>0</v>
      </c>
      <c r="AY26" s="20">
        <f t="shared" si="7"/>
        <v>0</v>
      </c>
      <c r="AZ26" s="18">
        <f t="shared" si="8"/>
        <v>0</v>
      </c>
    </row>
    <row r="27" spans="1:52" ht="34.5" customHeight="1">
      <c r="A27" s="83">
        <v>20</v>
      </c>
      <c r="B27" s="15" t="s">
        <v>45</v>
      </c>
      <c r="C27" s="2">
        <v>0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>H27/G27*100</f>
        <v>#DIV/0!</v>
      </c>
      <c r="J27" s="3"/>
      <c r="K27" s="3"/>
      <c r="L27" s="14" t="e">
        <f t="shared" si="2"/>
        <v>#DIV/0!</v>
      </c>
      <c r="M27" s="3">
        <f t="shared" si="10"/>
        <v>0</v>
      </c>
      <c r="N27" s="3">
        <f t="shared" si="11"/>
        <v>0</v>
      </c>
      <c r="O27" s="14" t="e">
        <f t="shared" si="3"/>
        <v>#DIV/0!</v>
      </c>
      <c r="P27" s="3"/>
      <c r="Q27" s="3"/>
      <c r="R27" s="94" t="e">
        <f t="shared" si="5"/>
        <v>#DIV/0!</v>
      </c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4"/>
        <v>#DIV/0!</v>
      </c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14">
        <f>AS27-AT27</f>
        <v>0</v>
      </c>
      <c r="AW27" s="4">
        <f>C27+AS27-AT27</f>
        <v>0</v>
      </c>
      <c r="AX27" s="20">
        <f t="shared" si="6"/>
        <v>0</v>
      </c>
      <c r="AY27" s="20">
        <f t="shared" si="7"/>
        <v>0</v>
      </c>
      <c r="AZ27" s="18">
        <f t="shared" si="8"/>
        <v>0</v>
      </c>
    </row>
    <row r="28" spans="1:52" ht="34.5" customHeight="1">
      <c r="A28" s="83">
        <v>21</v>
      </c>
      <c r="B28" s="101" t="s">
        <v>46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3">
        <f t="shared" si="10"/>
        <v>0</v>
      </c>
      <c r="N28" s="93">
        <f t="shared" si="11"/>
        <v>0</v>
      </c>
      <c r="O28" s="28" t="e">
        <f t="shared" si="3"/>
        <v>#DIV/0!</v>
      </c>
      <c r="P28" s="93"/>
      <c r="Q28" s="93"/>
      <c r="R28" s="28" t="e">
        <f t="shared" si="5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4"/>
        <v>#DIV/0!</v>
      </c>
      <c r="AE28" s="21"/>
      <c r="AF28" s="21"/>
      <c r="AG28" s="36"/>
      <c r="AH28" s="21"/>
      <c r="AI28" s="21"/>
      <c r="AJ28" s="93">
        <f t="shared" si="12"/>
        <v>0</v>
      </c>
      <c r="AK28" s="93">
        <f t="shared" si="13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4"/>
      <c r="AV28" s="14"/>
      <c r="AW28" s="4"/>
      <c r="AX28" s="20">
        <f t="shared" si="6"/>
        <v>0</v>
      </c>
      <c r="AY28" s="20">
        <f t="shared" si="7"/>
        <v>0</v>
      </c>
      <c r="AZ28" s="18">
        <f t="shared" si="8"/>
        <v>0</v>
      </c>
    </row>
    <row r="29" spans="1:52" ht="34.5" customHeight="1">
      <c r="A29" s="83">
        <v>22</v>
      </c>
      <c r="B29" s="1" t="s">
        <v>47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3">
        <f t="shared" si="10"/>
        <v>0</v>
      </c>
      <c r="N29" s="93">
        <f t="shared" si="11"/>
        <v>0</v>
      </c>
      <c r="O29" s="28" t="e">
        <f t="shared" si="3"/>
        <v>#DIV/0!</v>
      </c>
      <c r="P29" s="28"/>
      <c r="Q29" s="28"/>
      <c r="R29" s="28" t="e">
        <f t="shared" si="5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4"/>
        <v>#DIV/0!</v>
      </c>
      <c r="AE29" s="43"/>
      <c r="AF29" s="43"/>
      <c r="AG29" s="43"/>
      <c r="AH29" s="43"/>
      <c r="AI29" s="43"/>
      <c r="AJ29" s="93">
        <f t="shared" si="12"/>
        <v>0</v>
      </c>
      <c r="AK29" s="93">
        <f t="shared" si="13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4"/>
      <c r="AV29" s="14"/>
      <c r="AW29" s="4"/>
      <c r="AX29" s="20">
        <f t="shared" si="6"/>
        <v>0</v>
      </c>
      <c r="AY29" s="20">
        <f t="shared" si="7"/>
        <v>0</v>
      </c>
      <c r="AZ29" s="18">
        <f t="shared" si="8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3">
        <f t="shared" si="10"/>
        <v>0</v>
      </c>
      <c r="N30" s="93">
        <f t="shared" si="11"/>
        <v>0</v>
      </c>
      <c r="O30" s="28" t="e">
        <f t="shared" si="3"/>
        <v>#DIV/0!</v>
      </c>
      <c r="P30" s="93"/>
      <c r="Q30" s="93"/>
      <c r="R30" s="28" t="e">
        <f t="shared" si="5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4"/>
        <v>#DIV/0!</v>
      </c>
      <c r="AE30" s="43"/>
      <c r="AF30" s="43"/>
      <c r="AG30" s="43"/>
      <c r="AH30" s="43"/>
      <c r="AI30" s="43"/>
      <c r="AJ30" s="3">
        <f t="shared" si="12"/>
        <v>0</v>
      </c>
      <c r="AK30" s="3">
        <f t="shared" si="13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4"/>
      <c r="AV30" s="14"/>
      <c r="AW30" s="4"/>
      <c r="AX30" s="20">
        <f t="shared" si="6"/>
        <v>0</v>
      </c>
      <c r="AY30" s="20">
        <f t="shared" si="7"/>
        <v>0</v>
      </c>
      <c r="AZ30" s="18">
        <f t="shared" si="8"/>
        <v>0</v>
      </c>
    </row>
    <row r="31" spans="1:52" ht="34.5" customHeight="1">
      <c r="A31" s="83">
        <v>24</v>
      </c>
      <c r="B31" s="15" t="s">
        <v>49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3">
        <f t="shared" si="10"/>
        <v>0</v>
      </c>
      <c r="N31" s="93">
        <f t="shared" si="11"/>
        <v>0</v>
      </c>
      <c r="O31" s="28" t="e">
        <f t="shared" si="3"/>
        <v>#DIV/0!</v>
      </c>
      <c r="P31" s="28"/>
      <c r="Q31" s="28"/>
      <c r="R31" s="28" t="e">
        <f t="shared" si="5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4"/>
        <v>#DIV/0!</v>
      </c>
      <c r="AE31" s="43"/>
      <c r="AF31" s="43"/>
      <c r="AG31" s="43"/>
      <c r="AH31" s="43"/>
      <c r="AI31" s="43"/>
      <c r="AJ31" s="3">
        <f t="shared" si="12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4"/>
      <c r="AV31" s="14"/>
      <c r="AW31" s="4"/>
      <c r="AX31" s="20">
        <f t="shared" si="6"/>
        <v>0</v>
      </c>
      <c r="AY31" s="20">
        <f t="shared" si="7"/>
        <v>0</v>
      </c>
      <c r="AZ31" s="18">
        <f t="shared" si="8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16</v>
      </c>
      <c r="D32" s="45">
        <f>D33+D34+D35+D36</f>
        <v>2</v>
      </c>
      <c r="E32" s="45">
        <f>E33+E34+E35+E36</f>
        <v>0</v>
      </c>
      <c r="F32" s="14">
        <f t="shared" si="1"/>
        <v>0</v>
      </c>
      <c r="G32" s="45">
        <f>G33+G34+G35+G36</f>
        <v>1.7</v>
      </c>
      <c r="H32" s="45">
        <f>H33+H34+H35+H36</f>
        <v>0</v>
      </c>
      <c r="I32" s="14">
        <f>H32/G32*100</f>
        <v>0</v>
      </c>
      <c r="J32" s="45">
        <f>J33+J34+J35+J36</f>
        <v>0</v>
      </c>
      <c r="K32" s="45">
        <f>K33+K34+K35+K36</f>
        <v>0</v>
      </c>
      <c r="L32" s="14" t="e">
        <f t="shared" si="2"/>
        <v>#DIV/0!</v>
      </c>
      <c r="M32" s="45">
        <f>M33+M34+M35+M36</f>
        <v>3.7</v>
      </c>
      <c r="N32" s="45">
        <f>N33+N34+N35+N36</f>
        <v>0</v>
      </c>
      <c r="O32" s="14">
        <f t="shared" si="3"/>
        <v>0</v>
      </c>
      <c r="P32" s="45">
        <f aca="true" t="shared" si="17" ref="P32:AI32">P33+P34+P35+P36</f>
        <v>0</v>
      </c>
      <c r="Q32" s="45">
        <f t="shared" si="17"/>
        <v>0</v>
      </c>
      <c r="R32" s="94" t="e">
        <f t="shared" si="5"/>
        <v>#DIV/0!</v>
      </c>
      <c r="S32" s="45">
        <f t="shared" si="17"/>
        <v>0</v>
      </c>
      <c r="T32" s="45">
        <f t="shared" si="17"/>
        <v>0</v>
      </c>
      <c r="U32" s="45" t="e">
        <f t="shared" si="17"/>
        <v>#DIV/0!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99" t="e">
        <f t="shared" si="17"/>
        <v>#DIV/0!</v>
      </c>
      <c r="AB32" s="45">
        <f t="shared" si="17"/>
        <v>0</v>
      </c>
      <c r="AC32" s="45">
        <f t="shared" si="17"/>
        <v>0</v>
      </c>
      <c r="AD32" s="28" t="e">
        <f t="shared" si="4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45">
        <f>AJ33+AJ34+AJ35+AJ36</f>
        <v>0</v>
      </c>
      <c r="AK32" s="45">
        <f>AK33+AK34+AK35+AK36</f>
        <v>0</v>
      </c>
      <c r="AL32" s="94"/>
      <c r="AM32" s="45">
        <f aca="true" t="shared" si="18" ref="AM32:AT32">AM33+AM34+AM35+AM36</f>
        <v>0</v>
      </c>
      <c r="AN32" s="45">
        <f t="shared" si="18"/>
        <v>0</v>
      </c>
      <c r="AO32" s="45">
        <f t="shared" si="18"/>
        <v>0</v>
      </c>
      <c r="AP32" s="45">
        <f t="shared" si="18"/>
        <v>0</v>
      </c>
      <c r="AQ32" s="45">
        <f t="shared" si="18"/>
        <v>0</v>
      </c>
      <c r="AR32" s="45">
        <f t="shared" si="18"/>
        <v>0</v>
      </c>
      <c r="AS32" s="45">
        <f t="shared" si="18"/>
        <v>3.7</v>
      </c>
      <c r="AT32" s="45">
        <f t="shared" si="18"/>
        <v>0</v>
      </c>
      <c r="AU32" s="94">
        <f>AT32/AS32*100</f>
        <v>0</v>
      </c>
      <c r="AV32" s="45">
        <f>AV33+AV34+AV35+AV36</f>
        <v>3.7</v>
      </c>
      <c r="AW32" s="45">
        <f>AW33+AW34+AW35+AW36</f>
        <v>19.7</v>
      </c>
      <c r="AX32" s="20">
        <f t="shared" si="6"/>
        <v>3.7</v>
      </c>
      <c r="AY32" s="20">
        <f t="shared" si="7"/>
        <v>0</v>
      </c>
      <c r="AZ32" s="18">
        <f t="shared" si="8"/>
        <v>19.7</v>
      </c>
    </row>
    <row r="33" spans="1:52" ht="34.5" customHeight="1">
      <c r="A33" s="83"/>
      <c r="B33" s="15" t="s">
        <v>74</v>
      </c>
      <c r="C33" s="2"/>
      <c r="D33" s="3"/>
      <c r="E33" s="3"/>
      <c r="F33" s="28" t="e">
        <f t="shared" si="1"/>
        <v>#DIV/0!</v>
      </c>
      <c r="G33" s="93"/>
      <c r="H33" s="93"/>
      <c r="I33" s="14"/>
      <c r="J33" s="93"/>
      <c r="K33" s="93"/>
      <c r="L33" s="28" t="e">
        <f t="shared" si="2"/>
        <v>#DIV/0!</v>
      </c>
      <c r="M33" s="93">
        <f>D33+G33+J33</f>
        <v>0</v>
      </c>
      <c r="N33" s="93">
        <f>E33+H33+K33</f>
        <v>0</v>
      </c>
      <c r="O33" s="28" t="e">
        <f t="shared" si="3"/>
        <v>#DIV/0!</v>
      </c>
      <c r="P33" s="93"/>
      <c r="Q33" s="93"/>
      <c r="R33" s="28" t="e">
        <f t="shared" si="5"/>
        <v>#DIV/0!</v>
      </c>
      <c r="S33" s="93"/>
      <c r="T33" s="93"/>
      <c r="U33" s="28"/>
      <c r="V33" s="93"/>
      <c r="W33" s="93"/>
      <c r="X33" s="28" t="e">
        <f aca="true" t="shared" si="19" ref="X33:X40">W33/V33*100</f>
        <v>#DIV/0!</v>
      </c>
      <c r="Y33" s="93">
        <f>P33+S33+V33</f>
        <v>0</v>
      </c>
      <c r="Z33" s="93">
        <f>Q33+T33+W33</f>
        <v>0</v>
      </c>
      <c r="AA33" s="28" t="e">
        <f aca="true" t="shared" si="20" ref="AA33:AA41">Z33/Y33*100</f>
        <v>#DIV/0!</v>
      </c>
      <c r="AB33" s="93"/>
      <c r="AC33" s="93"/>
      <c r="AD33" s="28" t="e">
        <f t="shared" si="4"/>
        <v>#DIV/0!</v>
      </c>
      <c r="AE33" s="93"/>
      <c r="AF33" s="93"/>
      <c r="AG33" s="28"/>
      <c r="AH33" s="93"/>
      <c r="AI33" s="93"/>
      <c r="AJ33" s="3">
        <f t="shared" si="12"/>
        <v>0</v>
      </c>
      <c r="AK33" s="3">
        <f t="shared" si="12"/>
        <v>0</v>
      </c>
      <c r="AL33" s="28"/>
      <c r="AM33" s="93"/>
      <c r="AN33" s="93"/>
      <c r="AO33" s="93"/>
      <c r="AP33" s="93"/>
      <c r="AQ33" s="93"/>
      <c r="AR33" s="93"/>
      <c r="AS33" s="3"/>
      <c r="AT33" s="3"/>
      <c r="AU33" s="94"/>
      <c r="AV33" s="28">
        <f>AS33-AT33</f>
        <v>0</v>
      </c>
      <c r="AW33" s="99">
        <f>C33+AS33-AT33</f>
        <v>0</v>
      </c>
      <c r="AX33" s="20">
        <f t="shared" si="6"/>
        <v>0</v>
      </c>
      <c r="AY33" s="20">
        <f t="shared" si="7"/>
        <v>0</v>
      </c>
      <c r="AZ33" s="18">
        <f t="shared" si="8"/>
        <v>0</v>
      </c>
    </row>
    <row r="34" spans="1:52" ht="34.5" customHeight="1">
      <c r="A34" s="83"/>
      <c r="B34" s="15" t="s">
        <v>21</v>
      </c>
      <c r="C34" s="2">
        <v>16</v>
      </c>
      <c r="D34" s="3">
        <v>2</v>
      </c>
      <c r="E34" s="3">
        <v>0</v>
      </c>
      <c r="F34" s="14">
        <f t="shared" si="1"/>
        <v>0</v>
      </c>
      <c r="G34" s="3">
        <v>1.7</v>
      </c>
      <c r="H34" s="3">
        <v>0</v>
      </c>
      <c r="I34" s="14">
        <f>H34/G34*100</f>
        <v>0</v>
      </c>
      <c r="J34" s="3"/>
      <c r="K34" s="3"/>
      <c r="L34" s="14" t="e">
        <f t="shared" si="2"/>
        <v>#DIV/0!</v>
      </c>
      <c r="M34" s="3">
        <f aca="true" t="shared" si="21" ref="M34:M44">D34+G34+J34</f>
        <v>3.7</v>
      </c>
      <c r="N34" s="3">
        <f aca="true" t="shared" si="22" ref="N34:N44">E34+H34+K34</f>
        <v>0</v>
      </c>
      <c r="O34" s="14">
        <f t="shared" si="3"/>
        <v>0</v>
      </c>
      <c r="P34" s="3"/>
      <c r="Q34" s="3"/>
      <c r="R34" s="94" t="e">
        <f t="shared" si="5"/>
        <v>#DIV/0!</v>
      </c>
      <c r="S34" s="3"/>
      <c r="T34" s="3"/>
      <c r="U34" s="14"/>
      <c r="V34" s="3"/>
      <c r="W34" s="3"/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 t="shared" si="20"/>
        <v>#DIV/0!</v>
      </c>
      <c r="AB34" s="3"/>
      <c r="AC34" s="3"/>
      <c r="AD34" s="28" t="e">
        <f t="shared" si="4"/>
        <v>#DIV/0!</v>
      </c>
      <c r="AE34" s="3"/>
      <c r="AF34" s="3"/>
      <c r="AG34" s="14"/>
      <c r="AH34" s="3"/>
      <c r="AI34" s="3"/>
      <c r="AJ34" s="3">
        <f aca="true" t="shared" si="23" ref="AJ34:AJ44">AB34+AE34+AH34</f>
        <v>0</v>
      </c>
      <c r="AK34" s="3">
        <f aca="true" t="shared" si="24" ref="AK34:AK44">AC34+AF34+AI34</f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3.7</v>
      </c>
      <c r="AT34" s="3">
        <f>N34+Z34+AK34+AN34+AP34+AR34</f>
        <v>0</v>
      </c>
      <c r="AU34" s="94">
        <f>AT34/AS34*100</f>
        <v>0</v>
      </c>
      <c r="AV34" s="14">
        <f>AS34-AT34</f>
        <v>3.7</v>
      </c>
      <c r="AW34" s="4">
        <f>C34+AS34-AT34</f>
        <v>19.7</v>
      </c>
      <c r="AX34" s="20">
        <f t="shared" si="6"/>
        <v>3.7</v>
      </c>
      <c r="AY34" s="20">
        <f t="shared" si="7"/>
        <v>0</v>
      </c>
      <c r="AZ34" s="18">
        <f t="shared" si="8"/>
        <v>19.7</v>
      </c>
    </row>
    <row r="35" spans="1:52" ht="34.5" customHeight="1">
      <c r="A35" s="83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/>
      <c r="N35" s="3"/>
      <c r="O35" s="14"/>
      <c r="P35" s="3"/>
      <c r="Q35" s="3"/>
      <c r="R35" s="94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0"/>
        <v>#DIV/0!</v>
      </c>
      <c r="AB35" s="3"/>
      <c r="AC35" s="3"/>
      <c r="AD35" s="28" t="e">
        <f t="shared" si="4"/>
        <v>#DIV/0!</v>
      </c>
      <c r="AE35" s="3"/>
      <c r="AF35" s="3"/>
      <c r="AG35" s="14"/>
      <c r="AH35" s="3"/>
      <c r="AI35" s="3"/>
      <c r="AJ35" s="93">
        <f t="shared" si="23"/>
        <v>0</v>
      </c>
      <c r="AK35" s="93">
        <f t="shared" si="24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4"/>
      <c r="AV35" s="14"/>
      <c r="AW35" s="4"/>
      <c r="AX35" s="20">
        <f t="shared" si="6"/>
        <v>0</v>
      </c>
      <c r="AY35" s="20">
        <f t="shared" si="7"/>
        <v>0</v>
      </c>
      <c r="AZ35" s="18">
        <f t="shared" si="8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14"/>
      <c r="G36" s="3"/>
      <c r="H36" s="3"/>
      <c r="I36" s="36" t="e">
        <f aca="true" t="shared" si="25" ref="I36:I49">H36/G36*100</f>
        <v>#DIV/0!</v>
      </c>
      <c r="J36" s="3"/>
      <c r="K36" s="3"/>
      <c r="L36" s="28" t="e">
        <f t="shared" si="2"/>
        <v>#DIV/0!</v>
      </c>
      <c r="M36" s="93">
        <f t="shared" si="21"/>
        <v>0</v>
      </c>
      <c r="N36" s="93">
        <f t="shared" si="22"/>
        <v>0</v>
      </c>
      <c r="O36" s="28" t="e">
        <f t="shared" si="3"/>
        <v>#DIV/0!</v>
      </c>
      <c r="P36" s="93"/>
      <c r="Q36" s="93"/>
      <c r="R36" s="28" t="e">
        <f t="shared" si="5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9"/>
        <v>#DIV/0!</v>
      </c>
      <c r="Y36" s="3"/>
      <c r="Z36" s="3"/>
      <c r="AA36" s="14"/>
      <c r="AB36" s="3"/>
      <c r="AC36" s="3"/>
      <c r="AD36" s="28" t="e">
        <f t="shared" si="4"/>
        <v>#DIV/0!</v>
      </c>
      <c r="AE36" s="3"/>
      <c r="AF36" s="3"/>
      <c r="AG36" s="36"/>
      <c r="AH36" s="3"/>
      <c r="AI36" s="3"/>
      <c r="AJ36" s="93">
        <f t="shared" si="23"/>
        <v>0</v>
      </c>
      <c r="AK36" s="93">
        <f t="shared" si="24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4"/>
      <c r="AV36" s="14"/>
      <c r="AW36" s="4"/>
      <c r="AX36" s="20">
        <f t="shared" si="6"/>
        <v>0</v>
      </c>
      <c r="AY36" s="20">
        <f t="shared" si="7"/>
        <v>0</v>
      </c>
      <c r="AZ36" s="18">
        <f t="shared" si="8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5"/>
        <v>#DIV/0!</v>
      </c>
      <c r="J37" s="3"/>
      <c r="K37" s="3"/>
      <c r="L37" s="14" t="e">
        <f t="shared" si="2"/>
        <v>#DIV/0!</v>
      </c>
      <c r="M37" s="3">
        <f t="shared" si="21"/>
        <v>0</v>
      </c>
      <c r="N37" s="3">
        <f t="shared" si="22"/>
        <v>0</v>
      </c>
      <c r="O37" s="14" t="e">
        <f t="shared" si="3"/>
        <v>#DIV/0!</v>
      </c>
      <c r="P37" s="3"/>
      <c r="Q37" s="3"/>
      <c r="R37" s="94" t="e">
        <f t="shared" si="5"/>
        <v>#DIV/0!</v>
      </c>
      <c r="S37" s="3"/>
      <c r="T37" s="3"/>
      <c r="U37" s="14"/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 t="shared" si="20"/>
        <v>#DIV/0!</v>
      </c>
      <c r="AB37" s="3"/>
      <c r="AC37" s="3"/>
      <c r="AD37" s="28" t="e">
        <f t="shared" si="4"/>
        <v>#DIV/0!</v>
      </c>
      <c r="AE37" s="3"/>
      <c r="AF37" s="3"/>
      <c r="AG37" s="14"/>
      <c r="AH37" s="3"/>
      <c r="AI37" s="3"/>
      <c r="AJ37" s="3">
        <f t="shared" si="23"/>
        <v>0</v>
      </c>
      <c r="AK37" s="3">
        <f t="shared" si="2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14">
        <f>AS37-AT37</f>
        <v>0</v>
      </c>
      <c r="AW37" s="4">
        <f>C37+AS37-AT37</f>
        <v>0</v>
      </c>
      <c r="AX37" s="20">
        <f t="shared" si="6"/>
        <v>0</v>
      </c>
      <c r="AY37" s="20">
        <f t="shared" si="7"/>
        <v>0</v>
      </c>
      <c r="AZ37" s="18">
        <f t="shared" si="8"/>
        <v>0</v>
      </c>
    </row>
    <row r="38" spans="1:52" ht="34.5" customHeight="1">
      <c r="A38" s="83">
        <v>27</v>
      </c>
      <c r="B38" s="104" t="s">
        <v>52</v>
      </c>
      <c r="C38" s="2"/>
      <c r="D38" s="3"/>
      <c r="E38" s="3"/>
      <c r="F38" s="14"/>
      <c r="G38" s="3"/>
      <c r="H38" s="3"/>
      <c r="I38" s="28" t="e">
        <f t="shared" si="25"/>
        <v>#DIV/0!</v>
      </c>
      <c r="J38" s="3"/>
      <c r="K38" s="3"/>
      <c r="L38" s="28" t="e">
        <f t="shared" si="2"/>
        <v>#DIV/0!</v>
      </c>
      <c r="M38" s="93">
        <f t="shared" si="21"/>
        <v>0</v>
      </c>
      <c r="N38" s="93">
        <f t="shared" si="22"/>
        <v>0</v>
      </c>
      <c r="O38" s="28" t="e">
        <f t="shared" si="3"/>
        <v>#DIV/0!</v>
      </c>
      <c r="P38" s="93"/>
      <c r="Q38" s="93"/>
      <c r="R38" s="28" t="e">
        <f t="shared" si="5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9"/>
        <v>#DIV/0!</v>
      </c>
      <c r="Y38" s="3"/>
      <c r="Z38" s="3"/>
      <c r="AA38" s="28"/>
      <c r="AB38" s="3"/>
      <c r="AC38" s="3"/>
      <c r="AD38" s="28" t="e">
        <f t="shared" si="4"/>
        <v>#DIV/0!</v>
      </c>
      <c r="AE38" s="3"/>
      <c r="AF38" s="3"/>
      <c r="AG38" s="14"/>
      <c r="AH38" s="3"/>
      <c r="AI38" s="3"/>
      <c r="AJ38" s="93">
        <f t="shared" si="23"/>
        <v>0</v>
      </c>
      <c r="AK38" s="93">
        <f t="shared" si="24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4"/>
      <c r="AV38" s="28">
        <f>AS38-AT38</f>
        <v>0</v>
      </c>
      <c r="AW38" s="99">
        <f>C38+AS38-AT38</f>
        <v>0</v>
      </c>
      <c r="AX38" s="20">
        <f t="shared" si="6"/>
        <v>0</v>
      </c>
      <c r="AY38" s="20">
        <f t="shared" si="7"/>
        <v>0</v>
      </c>
      <c r="AZ38" s="18">
        <f t="shared" si="8"/>
        <v>0</v>
      </c>
    </row>
    <row r="39" spans="1:52" ht="34.5" customHeight="1">
      <c r="A39" s="83">
        <v>28</v>
      </c>
      <c r="B39" s="105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5"/>
        <v>#DIV/0!</v>
      </c>
      <c r="J39" s="3"/>
      <c r="K39" s="3"/>
      <c r="L39" s="14" t="e">
        <f t="shared" si="2"/>
        <v>#DIV/0!</v>
      </c>
      <c r="M39" s="3">
        <f t="shared" si="21"/>
        <v>0</v>
      </c>
      <c r="N39" s="3">
        <f t="shared" si="22"/>
        <v>0</v>
      </c>
      <c r="O39" s="14" t="e">
        <f t="shared" si="3"/>
        <v>#DIV/0!</v>
      </c>
      <c r="P39" s="3"/>
      <c r="Q39" s="3"/>
      <c r="R39" s="94" t="e">
        <f t="shared" si="5"/>
        <v>#DIV/0!</v>
      </c>
      <c r="S39" s="3"/>
      <c r="T39" s="3"/>
      <c r="U39" s="14"/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 t="shared" si="20"/>
        <v>#DIV/0!</v>
      </c>
      <c r="AB39" s="3"/>
      <c r="AC39" s="3"/>
      <c r="AD39" s="14" t="e">
        <f t="shared" si="4"/>
        <v>#DIV/0!</v>
      </c>
      <c r="AE39" s="3"/>
      <c r="AF39" s="3"/>
      <c r="AG39" s="14"/>
      <c r="AH39" s="3"/>
      <c r="AI39" s="3"/>
      <c r="AJ39" s="3">
        <f t="shared" si="23"/>
        <v>0</v>
      </c>
      <c r="AK39" s="3">
        <f t="shared" si="24"/>
        <v>0</v>
      </c>
      <c r="AL39" s="14"/>
      <c r="AM39" s="3"/>
      <c r="AN39" s="3"/>
      <c r="AO39" s="3"/>
      <c r="AP39" s="3"/>
      <c r="AQ39" s="3"/>
      <c r="AR39" s="3"/>
      <c r="AS39" s="3">
        <f aca="true" t="shared" si="27" ref="AS39:AT41">M39+Y39+AJ39+AM39+AO39+AQ39</f>
        <v>0</v>
      </c>
      <c r="AT39" s="3">
        <f t="shared" si="27"/>
        <v>0</v>
      </c>
      <c r="AU39" s="28" t="e">
        <f>AT39/AS39*100</f>
        <v>#DIV/0!</v>
      </c>
      <c r="AV39" s="14">
        <f>AS39-AT39</f>
        <v>0</v>
      </c>
      <c r="AW39" s="4">
        <f>C39+AS39-AT39</f>
        <v>0</v>
      </c>
      <c r="AX39" s="20">
        <f t="shared" si="6"/>
        <v>0</v>
      </c>
      <c r="AY39" s="20">
        <f t="shared" si="7"/>
        <v>0</v>
      </c>
      <c r="AZ39" s="18">
        <f t="shared" si="8"/>
        <v>0</v>
      </c>
    </row>
    <row r="40" spans="1:52" ht="34.5" customHeight="1">
      <c r="A40" s="83">
        <v>29</v>
      </c>
      <c r="B40" s="105" t="s">
        <v>54</v>
      </c>
      <c r="C40" s="2">
        <v>0</v>
      </c>
      <c r="D40" s="3">
        <v>0</v>
      </c>
      <c r="E40" s="3">
        <v>0</v>
      </c>
      <c r="F40" s="28" t="e">
        <f t="shared" si="1"/>
        <v>#DIV/0!</v>
      </c>
      <c r="G40" s="3">
        <v>0</v>
      </c>
      <c r="H40" s="3">
        <v>0</v>
      </c>
      <c r="I40" s="28" t="e">
        <f t="shared" si="25"/>
        <v>#DIV/0!</v>
      </c>
      <c r="J40" s="3"/>
      <c r="K40" s="3"/>
      <c r="L40" s="14" t="e">
        <f t="shared" si="2"/>
        <v>#DIV/0!</v>
      </c>
      <c r="M40" s="3">
        <f t="shared" si="21"/>
        <v>0</v>
      </c>
      <c r="N40" s="3">
        <f t="shared" si="22"/>
        <v>0</v>
      </c>
      <c r="O40" s="14" t="e">
        <f t="shared" si="3"/>
        <v>#DIV/0!</v>
      </c>
      <c r="P40" s="3"/>
      <c r="Q40" s="3"/>
      <c r="R40" s="94" t="e">
        <f t="shared" si="5"/>
        <v>#DIV/0!</v>
      </c>
      <c r="S40" s="3"/>
      <c r="T40" s="3"/>
      <c r="U40" s="14"/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 t="shared" si="20"/>
        <v>#DIV/0!</v>
      </c>
      <c r="AB40" s="3"/>
      <c r="AC40" s="3"/>
      <c r="AD40" s="28" t="e">
        <f t="shared" si="4"/>
        <v>#DIV/0!</v>
      </c>
      <c r="AE40" s="3"/>
      <c r="AF40" s="3"/>
      <c r="AG40" s="14"/>
      <c r="AH40" s="3"/>
      <c r="AI40" s="3"/>
      <c r="AJ40" s="3">
        <f t="shared" si="23"/>
        <v>0</v>
      </c>
      <c r="AK40" s="3">
        <f t="shared" si="24"/>
        <v>0</v>
      </c>
      <c r="AL40" s="14"/>
      <c r="AM40" s="3"/>
      <c r="AN40" s="3"/>
      <c r="AO40" s="3"/>
      <c r="AP40" s="3"/>
      <c r="AQ40" s="3"/>
      <c r="AR40" s="3"/>
      <c r="AS40" s="3">
        <f t="shared" si="27"/>
        <v>0</v>
      </c>
      <c r="AT40" s="3">
        <f t="shared" si="27"/>
        <v>0</v>
      </c>
      <c r="AU40" s="28" t="e">
        <f>AT40/AS40*100</f>
        <v>#DIV/0!</v>
      </c>
      <c r="AV40" s="14">
        <f>AS40-AT40</f>
        <v>0</v>
      </c>
      <c r="AW40" s="4">
        <f>C40+AS40-AT40</f>
        <v>0</v>
      </c>
      <c r="AX40" s="20">
        <f t="shared" si="6"/>
        <v>0</v>
      </c>
      <c r="AY40" s="20">
        <f t="shared" si="7"/>
        <v>0</v>
      </c>
      <c r="AZ40" s="18">
        <f t="shared" si="8"/>
        <v>0</v>
      </c>
    </row>
    <row r="41" spans="1:52" ht="34.5" customHeight="1">
      <c r="A41" s="83">
        <v>30</v>
      </c>
      <c r="B41" s="105" t="s">
        <v>55</v>
      </c>
      <c r="C41" s="2">
        <v>-0.2</v>
      </c>
      <c r="D41" s="3">
        <v>0</v>
      </c>
      <c r="E41" s="3">
        <v>0</v>
      </c>
      <c r="F41" s="28" t="e">
        <f t="shared" si="1"/>
        <v>#DIV/0!</v>
      </c>
      <c r="G41" s="3">
        <v>0.2</v>
      </c>
      <c r="H41" s="3">
        <v>0</v>
      </c>
      <c r="I41" s="14">
        <f t="shared" si="25"/>
        <v>0</v>
      </c>
      <c r="J41" s="3"/>
      <c r="K41" s="3"/>
      <c r="L41" s="14" t="e">
        <f t="shared" si="2"/>
        <v>#DIV/0!</v>
      </c>
      <c r="M41" s="3">
        <f t="shared" si="21"/>
        <v>0.2</v>
      </c>
      <c r="N41" s="3">
        <f t="shared" si="22"/>
        <v>0</v>
      </c>
      <c r="O41" s="14">
        <f t="shared" si="3"/>
        <v>0</v>
      </c>
      <c r="P41" s="3"/>
      <c r="Q41" s="3"/>
      <c r="R41" s="94" t="e">
        <f t="shared" si="5"/>
        <v>#DIV/0!</v>
      </c>
      <c r="S41" s="3"/>
      <c r="T41" s="3"/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 t="shared" si="20"/>
        <v>#DIV/0!</v>
      </c>
      <c r="AB41" s="3"/>
      <c r="AC41" s="3"/>
      <c r="AD41" s="14" t="e">
        <f t="shared" si="4"/>
        <v>#DIV/0!</v>
      </c>
      <c r="AE41" s="3"/>
      <c r="AF41" s="3"/>
      <c r="AG41" s="14"/>
      <c r="AH41" s="3"/>
      <c r="AI41" s="3"/>
      <c r="AJ41" s="3">
        <f t="shared" si="23"/>
        <v>0</v>
      </c>
      <c r="AK41" s="3">
        <f t="shared" si="24"/>
        <v>0</v>
      </c>
      <c r="AL41" s="14"/>
      <c r="AM41" s="3"/>
      <c r="AN41" s="3"/>
      <c r="AO41" s="3"/>
      <c r="AP41" s="3"/>
      <c r="AQ41" s="3"/>
      <c r="AR41" s="3"/>
      <c r="AS41" s="3">
        <f t="shared" si="27"/>
        <v>0.2</v>
      </c>
      <c r="AT41" s="3">
        <f t="shared" si="27"/>
        <v>0</v>
      </c>
      <c r="AU41" s="28">
        <f>AT41/AS41*100</f>
        <v>0</v>
      </c>
      <c r="AV41" s="14">
        <f>AS41-AT41</f>
        <v>0.2</v>
      </c>
      <c r="AW41" s="4">
        <f>C41+AS41-AT41</f>
        <v>0</v>
      </c>
      <c r="AX41" s="20">
        <f t="shared" si="6"/>
        <v>0.2</v>
      </c>
      <c r="AY41" s="20">
        <f t="shared" si="7"/>
        <v>0</v>
      </c>
      <c r="AZ41" s="18">
        <f t="shared" si="8"/>
        <v>0</v>
      </c>
    </row>
    <row r="42" spans="1:52" ht="34.5" customHeight="1">
      <c r="A42" s="83">
        <v>31</v>
      </c>
      <c r="B42" s="105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5"/>
        <v>#DIV/0!</v>
      </c>
      <c r="J42" s="3"/>
      <c r="K42" s="3"/>
      <c r="L42" s="28" t="e">
        <f t="shared" si="2"/>
        <v>#DIV/0!</v>
      </c>
      <c r="M42" s="93">
        <f t="shared" si="21"/>
        <v>0</v>
      </c>
      <c r="N42" s="93">
        <f t="shared" si="22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4"/>
        <v>#DIV/0!</v>
      </c>
      <c r="AE42" s="3"/>
      <c r="AF42" s="3"/>
      <c r="AG42" s="28" t="e">
        <f>AF42/AE42*100</f>
        <v>#DIV/0!</v>
      </c>
      <c r="AH42" s="3"/>
      <c r="AI42" s="3"/>
      <c r="AJ42" s="93">
        <f t="shared" si="23"/>
        <v>0</v>
      </c>
      <c r="AK42" s="93">
        <f t="shared" si="24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4"/>
      <c r="AV42" s="14"/>
      <c r="AW42" s="4"/>
      <c r="AX42" s="20">
        <f t="shared" si="6"/>
        <v>0</v>
      </c>
      <c r="AY42" s="20">
        <f t="shared" si="7"/>
        <v>0</v>
      </c>
      <c r="AZ42" s="18">
        <f t="shared" si="8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5"/>
        <v>#DIV/0!</v>
      </c>
      <c r="J43" s="3"/>
      <c r="K43" s="3"/>
      <c r="L43" s="14" t="e">
        <f t="shared" si="2"/>
        <v>#DIV/0!</v>
      </c>
      <c r="M43" s="3">
        <f t="shared" si="21"/>
        <v>0</v>
      </c>
      <c r="N43" s="3">
        <f t="shared" si="22"/>
        <v>0</v>
      </c>
      <c r="O43" s="14" t="e">
        <f t="shared" si="3"/>
        <v>#DIV/0!</v>
      </c>
      <c r="P43" s="3"/>
      <c r="Q43" s="3"/>
      <c r="R43" s="94" t="e">
        <f t="shared" si="5"/>
        <v>#DIV/0!</v>
      </c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28" t="e">
        <f t="shared" si="4"/>
        <v>#DIV/0!</v>
      </c>
      <c r="AE43" s="3"/>
      <c r="AF43" s="3"/>
      <c r="AG43" s="28"/>
      <c r="AH43" s="3"/>
      <c r="AI43" s="3"/>
      <c r="AJ43" s="3">
        <f t="shared" si="23"/>
        <v>0</v>
      </c>
      <c r="AK43" s="3">
        <f t="shared" si="2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>AT43/AS43*100</f>
        <v>#DIV/0!</v>
      </c>
      <c r="AV43" s="14">
        <f>AS43-AT43</f>
        <v>0</v>
      </c>
      <c r="AW43" s="4">
        <f>C43+AS43-AT43</f>
        <v>0</v>
      </c>
      <c r="AX43" s="20">
        <f t="shared" si="6"/>
        <v>0</v>
      </c>
      <c r="AY43" s="20">
        <f t="shared" si="7"/>
        <v>0</v>
      </c>
      <c r="AZ43" s="18">
        <f t="shared" si="8"/>
        <v>0</v>
      </c>
    </row>
    <row r="44" spans="1:52" ht="34.5" customHeight="1">
      <c r="A44" s="83">
        <v>33</v>
      </c>
      <c r="B44" s="105" t="s">
        <v>58</v>
      </c>
      <c r="C44" s="2">
        <v>33.2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5"/>
        <v>#DIV/0!</v>
      </c>
      <c r="J44" s="3"/>
      <c r="K44" s="3"/>
      <c r="L44" s="14" t="e">
        <f t="shared" si="2"/>
        <v>#DIV/0!</v>
      </c>
      <c r="M44" s="3">
        <f t="shared" si="21"/>
        <v>0</v>
      </c>
      <c r="N44" s="3">
        <f t="shared" si="22"/>
        <v>0</v>
      </c>
      <c r="O44" s="14" t="e">
        <f t="shared" si="3"/>
        <v>#DIV/0!</v>
      </c>
      <c r="P44" s="3"/>
      <c r="Q44" s="3"/>
      <c r="R44" s="94" t="e">
        <f t="shared" si="5"/>
        <v>#DIV/0!</v>
      </c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 t="e">
        <f t="shared" si="4"/>
        <v>#DIV/0!</v>
      </c>
      <c r="AE44" s="3"/>
      <c r="AF44" s="3"/>
      <c r="AG44" s="28"/>
      <c r="AH44" s="3"/>
      <c r="AI44" s="3"/>
      <c r="AJ44" s="3">
        <f t="shared" si="23"/>
        <v>0</v>
      </c>
      <c r="AK44" s="3">
        <f t="shared" si="2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>AT44/AS44*100</f>
        <v>#DIV/0!</v>
      </c>
      <c r="AV44" s="14">
        <f>AS44-AT44</f>
        <v>0</v>
      </c>
      <c r="AW44" s="4">
        <f>C44+AS44-AT44</f>
        <v>33.2</v>
      </c>
      <c r="AX44" s="20">
        <f t="shared" si="6"/>
        <v>0</v>
      </c>
      <c r="AY44" s="20">
        <f t="shared" si="7"/>
        <v>0</v>
      </c>
      <c r="AZ44" s="18">
        <f t="shared" si="8"/>
        <v>33.2</v>
      </c>
    </row>
    <row r="45" spans="1:59" s="8" customFormat="1" ht="34.5" customHeight="1">
      <c r="A45" s="16">
        <v>34</v>
      </c>
      <c r="B45" s="16" t="s">
        <v>59</v>
      </c>
      <c r="C45" s="45">
        <f>C46</f>
        <v>430</v>
      </c>
      <c r="D45" s="102">
        <f>D46+D47</f>
        <v>0</v>
      </c>
      <c r="E45" s="102">
        <f>E46+E47</f>
        <v>0</v>
      </c>
      <c r="F45" s="28" t="e">
        <f t="shared" si="1"/>
        <v>#DIV/0!</v>
      </c>
      <c r="G45" s="4">
        <f>G46+G48</f>
        <v>122.2</v>
      </c>
      <c r="H45" s="4">
        <f>H46+H48</f>
        <v>40.2</v>
      </c>
      <c r="I45" s="28">
        <f t="shared" si="25"/>
        <v>32.89689034369886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0</v>
      </c>
      <c r="N45" s="4">
        <f>N46</f>
        <v>0</v>
      </c>
      <c r="O45" s="14" t="e">
        <f t="shared" si="3"/>
        <v>#DIV/0!</v>
      </c>
      <c r="P45" s="4">
        <f>P46</f>
        <v>0</v>
      </c>
      <c r="Q45" s="4">
        <f>Q46</f>
        <v>0</v>
      </c>
      <c r="R45" s="94" t="e">
        <f t="shared" si="5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4" t="e">
        <f aca="true" t="shared" si="28" ref="AA45:AR45">AA46</f>
        <v>#DIV/0!</v>
      </c>
      <c r="AB45" s="4">
        <f t="shared" si="28"/>
        <v>0</v>
      </c>
      <c r="AC45" s="4">
        <f t="shared" si="28"/>
        <v>0</v>
      </c>
      <c r="AD45" s="14" t="e">
        <f t="shared" si="4"/>
        <v>#DIV/0!</v>
      </c>
      <c r="AE45" s="4">
        <f t="shared" si="28"/>
        <v>0</v>
      </c>
      <c r="AF45" s="4">
        <f t="shared" si="28"/>
        <v>0</v>
      </c>
      <c r="AG45" s="4">
        <f t="shared" si="28"/>
        <v>0</v>
      </c>
      <c r="AH45" s="4">
        <f t="shared" si="28"/>
        <v>0</v>
      </c>
      <c r="AI45" s="4">
        <f t="shared" si="28"/>
        <v>0</v>
      </c>
      <c r="AJ45" s="4">
        <f t="shared" si="28"/>
        <v>0</v>
      </c>
      <c r="AK45" s="4">
        <f t="shared" si="28"/>
        <v>0</v>
      </c>
      <c r="AL45" s="4">
        <f t="shared" si="28"/>
        <v>0</v>
      </c>
      <c r="AM45" s="4">
        <f t="shared" si="28"/>
        <v>0</v>
      </c>
      <c r="AN45" s="4">
        <f t="shared" si="28"/>
        <v>0</v>
      </c>
      <c r="AO45" s="4">
        <f t="shared" si="28"/>
        <v>0</v>
      </c>
      <c r="AP45" s="4">
        <f t="shared" si="28"/>
        <v>0</v>
      </c>
      <c r="AQ45" s="4">
        <f t="shared" si="28"/>
        <v>0</v>
      </c>
      <c r="AR45" s="4">
        <f t="shared" si="28"/>
        <v>0</v>
      </c>
      <c r="AS45" s="4">
        <f>AS46+AS48</f>
        <v>232.60000000000002</v>
      </c>
      <c r="AT45" s="4">
        <f>AT46+AT48</f>
        <v>40.2</v>
      </c>
      <c r="AU45" s="28">
        <f>AT45/AS45*100</f>
        <v>17.282889079965607</v>
      </c>
      <c r="AV45" s="46">
        <f>AV46+AV48</f>
        <v>192.40000000000003</v>
      </c>
      <c r="AW45" s="46">
        <f>AW46+AW48</f>
        <v>622.4000000000001</v>
      </c>
      <c r="AX45" s="20">
        <f>AX46+AX48</f>
        <v>232.60000000000002</v>
      </c>
      <c r="AY45" s="20">
        <f>AY46+AY48</f>
        <v>40.2</v>
      </c>
      <c r="AZ45" s="20">
        <f>AZ46+AZ48</f>
        <v>622.4000000000001</v>
      </c>
      <c r="BA45" s="72"/>
      <c r="BB45" s="72"/>
      <c r="BC45" s="72"/>
      <c r="BD45" s="72"/>
      <c r="BE45" s="72"/>
      <c r="BF45" s="72"/>
      <c r="BG45" s="72"/>
    </row>
    <row r="46" spans="1:59" s="8" customFormat="1" ht="34.5" customHeight="1">
      <c r="A46" s="16"/>
      <c r="B46" s="1" t="s">
        <v>64</v>
      </c>
      <c r="C46" s="2">
        <v>430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5"/>
        <v>#DIV/0!</v>
      </c>
      <c r="J46" s="3"/>
      <c r="K46" s="3"/>
      <c r="L46" s="14" t="e">
        <f t="shared" si="2"/>
        <v>#DIV/0!</v>
      </c>
      <c r="M46" s="3">
        <f>D46+G46+J46</f>
        <v>0</v>
      </c>
      <c r="N46" s="3">
        <f>E46+H46+K46</f>
        <v>0</v>
      </c>
      <c r="O46" s="14" t="e">
        <f t="shared" si="3"/>
        <v>#DIV/0!</v>
      </c>
      <c r="P46" s="3"/>
      <c r="Q46" s="3"/>
      <c r="R46" s="94" t="e">
        <f t="shared" si="5"/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/>
      <c r="AC46" s="3"/>
      <c r="AD46" s="14" t="e">
        <f t="shared" si="4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/>
      <c r="AM46" s="3"/>
      <c r="AN46" s="3"/>
      <c r="AO46" s="3"/>
      <c r="AP46" s="3"/>
      <c r="AQ46" s="3"/>
      <c r="AR46" s="3"/>
      <c r="AS46" s="3">
        <f>M45+Y45+AJ46+AM46+AO46+AQ46</f>
        <v>0</v>
      </c>
      <c r="AT46" s="3">
        <f>N45+Z45+AK46+AN46+AP46+AR46</f>
        <v>0</v>
      </c>
      <c r="AU46" s="28" t="e">
        <f>AT46/AS46*100</f>
        <v>#DIV/0!</v>
      </c>
      <c r="AV46" s="14">
        <f>AS46-AT46</f>
        <v>0</v>
      </c>
      <c r="AW46" s="4">
        <f>C46+AS46-AT46</f>
        <v>430</v>
      </c>
      <c r="AX46" s="20">
        <f t="shared" si="6"/>
        <v>0</v>
      </c>
      <c r="AY46" s="20">
        <f t="shared" si="7"/>
        <v>0</v>
      </c>
      <c r="AZ46" s="18">
        <f t="shared" si="8"/>
        <v>430</v>
      </c>
      <c r="BA46" s="72"/>
      <c r="BB46" s="72"/>
      <c r="BC46" s="72"/>
      <c r="BD46" s="72"/>
      <c r="BE46" s="72"/>
      <c r="BF46" s="72"/>
      <c r="BG46" s="72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5"/>
        <v>#DIV/0!</v>
      </c>
      <c r="J47" s="21"/>
      <c r="K47" s="21"/>
      <c r="L47" s="28" t="e">
        <f t="shared" si="2"/>
        <v>#DIV/0!</v>
      </c>
      <c r="M47" s="3"/>
      <c r="N47" s="3"/>
      <c r="O47" s="14"/>
      <c r="P47" s="21"/>
      <c r="Q47" s="21"/>
      <c r="R47" s="28" t="e">
        <f t="shared" si="5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 t="shared" si="4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3"/>
      <c r="AT47" s="3"/>
      <c r="AU47" s="94"/>
      <c r="AV47" s="14"/>
      <c r="AW47" s="4"/>
      <c r="AX47" s="20">
        <f t="shared" si="6"/>
        <v>0</v>
      </c>
      <c r="AY47" s="20">
        <f t="shared" si="7"/>
        <v>0</v>
      </c>
      <c r="AZ47" s="18">
        <f t="shared" si="8"/>
        <v>0</v>
      </c>
      <c r="BA47" s="72"/>
      <c r="BB47" s="72"/>
      <c r="BC47" s="72"/>
      <c r="BD47" s="72"/>
      <c r="BE47" s="72"/>
      <c r="BF47" s="72"/>
      <c r="BG47" s="72"/>
    </row>
    <row r="48" spans="1:59" s="8" customFormat="1" ht="34.5" customHeight="1">
      <c r="A48" s="16"/>
      <c r="B48" s="1" t="s">
        <v>101</v>
      </c>
      <c r="C48" s="103">
        <v>0</v>
      </c>
      <c r="D48" s="41">
        <v>110.4</v>
      </c>
      <c r="E48" s="41">
        <v>0</v>
      </c>
      <c r="F48" s="33"/>
      <c r="G48" s="41">
        <v>122.2</v>
      </c>
      <c r="H48" s="41">
        <v>40.2</v>
      </c>
      <c r="I48" s="33"/>
      <c r="J48" s="41"/>
      <c r="K48" s="41"/>
      <c r="L48" s="33"/>
      <c r="M48" s="3">
        <f>D48+G48+J48</f>
        <v>232.60000000000002</v>
      </c>
      <c r="N48" s="3">
        <f>E48+H48+K48</f>
        <v>40.2</v>
      </c>
      <c r="O48" s="14">
        <f t="shared" si="3"/>
        <v>17.282889079965607</v>
      </c>
      <c r="P48" s="41"/>
      <c r="Q48" s="41"/>
      <c r="R48" s="33"/>
      <c r="S48" s="41"/>
      <c r="T48" s="41"/>
      <c r="U48" s="33"/>
      <c r="V48" s="41"/>
      <c r="W48" s="41"/>
      <c r="X48" s="33"/>
      <c r="Y48" s="33"/>
      <c r="Z48" s="33"/>
      <c r="AA48" s="33"/>
      <c r="AB48" s="41"/>
      <c r="AC48" s="41"/>
      <c r="AD48" s="33"/>
      <c r="AE48" s="41"/>
      <c r="AF48" s="41"/>
      <c r="AG48" s="33"/>
      <c r="AH48" s="41"/>
      <c r="AI48" s="41"/>
      <c r="AJ48" s="33"/>
      <c r="AK48" s="33"/>
      <c r="AL48" s="33"/>
      <c r="AM48" s="41"/>
      <c r="AN48" s="41"/>
      <c r="AO48" s="41"/>
      <c r="AP48" s="41"/>
      <c r="AQ48" s="41"/>
      <c r="AR48" s="41"/>
      <c r="AS48" s="3">
        <f>M48+Y48+AJ48</f>
        <v>232.60000000000002</v>
      </c>
      <c r="AT48" s="3">
        <f>N48+Z48+AK48</f>
        <v>40.2</v>
      </c>
      <c r="AU48" s="33"/>
      <c r="AV48" s="14">
        <f>AS48-AT48</f>
        <v>192.40000000000003</v>
      </c>
      <c r="AW48" s="4">
        <f>C48+AS48-AT48</f>
        <v>192.40000000000003</v>
      </c>
      <c r="AX48" s="20">
        <f t="shared" si="6"/>
        <v>232.60000000000002</v>
      </c>
      <c r="AY48" s="20">
        <f t="shared" si="7"/>
        <v>40.2</v>
      </c>
      <c r="AZ48" s="18">
        <f t="shared" si="8"/>
        <v>192.40000000000003</v>
      </c>
      <c r="BA48" s="72"/>
      <c r="BB48" s="72"/>
      <c r="BC48" s="72"/>
      <c r="BD48" s="72"/>
      <c r="BE48" s="72"/>
      <c r="BF48" s="72"/>
      <c r="BG48" s="72"/>
    </row>
    <row r="49" spans="1:59" s="8" customFormat="1" ht="34.5" customHeight="1">
      <c r="A49" s="16"/>
      <c r="B49" s="16" t="s">
        <v>60</v>
      </c>
      <c r="C49" s="45">
        <f>C7+C45</f>
        <v>479</v>
      </c>
      <c r="D49" s="45">
        <f>D7+D45</f>
        <v>268.4</v>
      </c>
      <c r="E49" s="45">
        <f>E7+E45</f>
        <v>266.4</v>
      </c>
      <c r="F49" s="14">
        <f t="shared" si="1"/>
        <v>99.2548435171386</v>
      </c>
      <c r="G49" s="45">
        <f>G7+G45</f>
        <v>339.4</v>
      </c>
      <c r="H49" s="45">
        <f>H7+H45</f>
        <v>255.5</v>
      </c>
      <c r="I49" s="14">
        <f t="shared" si="25"/>
        <v>75.27990571596936</v>
      </c>
      <c r="J49" s="45">
        <f>J7+J45</f>
        <v>0</v>
      </c>
      <c r="K49" s="45">
        <f>K7+K45</f>
        <v>0</v>
      </c>
      <c r="L49" s="14" t="e">
        <f t="shared" si="2"/>
        <v>#DIV/0!</v>
      </c>
      <c r="M49" s="45">
        <f>M7+M45</f>
        <v>485.59999999999997</v>
      </c>
      <c r="N49" s="45">
        <f>N7+N45</f>
        <v>481.7</v>
      </c>
      <c r="O49" s="14">
        <f t="shared" si="3"/>
        <v>99.19686985172982</v>
      </c>
      <c r="P49" s="45">
        <f>P7+P45</f>
        <v>0</v>
      </c>
      <c r="Q49" s="45">
        <f>Q7+Q45</f>
        <v>0</v>
      </c>
      <c r="R49" s="94" t="e">
        <f t="shared" si="5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45" t="e">
        <f aca="true" t="shared" si="29" ref="AA49:AR49">AA7+AA45</f>
        <v>#DIV/0!</v>
      </c>
      <c r="AB49" s="45">
        <f t="shared" si="29"/>
        <v>0</v>
      </c>
      <c r="AC49" s="45">
        <f t="shared" si="29"/>
        <v>0</v>
      </c>
      <c r="AD49" s="45" t="e">
        <f t="shared" si="29"/>
        <v>#DIV/0!</v>
      </c>
      <c r="AE49" s="45">
        <f t="shared" si="29"/>
        <v>0</v>
      </c>
      <c r="AF49" s="45">
        <f t="shared" si="29"/>
        <v>0</v>
      </c>
      <c r="AG49" s="45" t="e">
        <f t="shared" si="29"/>
        <v>#DIV/0!</v>
      </c>
      <c r="AH49" s="45">
        <f t="shared" si="29"/>
        <v>0</v>
      </c>
      <c r="AI49" s="45">
        <f t="shared" si="29"/>
        <v>0</v>
      </c>
      <c r="AJ49" s="45">
        <f t="shared" si="29"/>
        <v>0</v>
      </c>
      <c r="AK49" s="45">
        <f t="shared" si="29"/>
        <v>0</v>
      </c>
      <c r="AL49" s="45">
        <f t="shared" si="29"/>
        <v>0</v>
      </c>
      <c r="AM49" s="45">
        <f t="shared" si="29"/>
        <v>0</v>
      </c>
      <c r="AN49" s="45">
        <f t="shared" si="29"/>
        <v>0</v>
      </c>
      <c r="AO49" s="45">
        <f t="shared" si="29"/>
        <v>0</v>
      </c>
      <c r="AP49" s="45">
        <f t="shared" si="29"/>
        <v>0</v>
      </c>
      <c r="AQ49" s="45">
        <f t="shared" si="29"/>
        <v>0</v>
      </c>
      <c r="AR49" s="45">
        <f t="shared" si="29"/>
        <v>0</v>
      </c>
      <c r="AS49" s="45">
        <f>AS7+AS45</f>
        <v>718.2</v>
      </c>
      <c r="AT49" s="45">
        <f>AT7+AT45</f>
        <v>521.9</v>
      </c>
      <c r="AU49" s="94">
        <f>AT49/AS49*100</f>
        <v>72.6677805625174</v>
      </c>
      <c r="AV49" s="45">
        <f>AV7+AV45</f>
        <v>196.30000000000004</v>
      </c>
      <c r="AW49" s="45">
        <f>AW7+AW45</f>
        <v>675.3000000000001</v>
      </c>
      <c r="AX49" s="20">
        <f>AX7+AX45</f>
        <v>718.2</v>
      </c>
      <c r="AY49" s="20">
        <f>AY7+AY45</f>
        <v>521.9</v>
      </c>
      <c r="AZ49" s="20">
        <f>AZ7+AZ45</f>
        <v>675.3</v>
      </c>
      <c r="BA49" s="72"/>
      <c r="BB49" s="72"/>
      <c r="BC49" s="72"/>
      <c r="BD49" s="72"/>
      <c r="BE49" s="72"/>
      <c r="BF49" s="72"/>
      <c r="BG49" s="72"/>
    </row>
    <row r="50" spans="1:59" s="119" customFormat="1" ht="76.5" customHeight="1">
      <c r="A50" s="239" t="s">
        <v>66</v>
      </c>
      <c r="B50" s="239"/>
      <c r="C50" s="239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8" t="s">
        <v>67</v>
      </c>
      <c r="AX50" s="120"/>
      <c r="AY50" s="131">
        <f>AY45+AY7</f>
        <v>521.9</v>
      </c>
      <c r="AZ50" s="121"/>
      <c r="BA50" s="121"/>
      <c r="BB50" s="121"/>
      <c r="BC50" s="121"/>
      <c r="BD50" s="121"/>
      <c r="BE50" s="121"/>
      <c r="BF50" s="121"/>
      <c r="BG50" s="121"/>
    </row>
    <row r="51" spans="1:59" s="8" customFormat="1" ht="45" customHeight="1">
      <c r="A51" s="16"/>
      <c r="B51" s="8" t="s">
        <v>11</v>
      </c>
      <c r="C51" s="7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1"/>
      <c r="AY51" s="18">
        <f>AY50-AY49</f>
        <v>0</v>
      </c>
      <c r="AZ51" s="72"/>
      <c r="BA51" s="72"/>
      <c r="BB51" s="72"/>
      <c r="BC51" s="72"/>
      <c r="BD51" s="72"/>
      <c r="BE51" s="72"/>
      <c r="BF51" s="72"/>
      <c r="BG51" s="72"/>
    </row>
    <row r="52" spans="1:59" s="8" customFormat="1" ht="45" customHeight="1">
      <c r="A52" s="72"/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1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8" customFormat="1" ht="45" customHeight="1">
      <c r="A53" s="16"/>
      <c r="B53" s="8" t="s">
        <v>12</v>
      </c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71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3:49" ht="45" customHeight="1">
      <c r="C54" s="63"/>
      <c r="D54" s="31"/>
      <c r="E54" s="31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/>
    </row>
    <row r="55" spans="1:59" ht="45" customHeight="1">
      <c r="A55" s="53" t="s">
        <v>17</v>
      </c>
      <c r="B55" s="53"/>
      <c r="C55" s="53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  <c r="AX55" s="31"/>
      <c r="AY55" s="31"/>
      <c r="AZ55" s="52"/>
      <c r="BA55" s="54" t="s">
        <v>16</v>
      </c>
      <c r="BB55" s="5"/>
      <c r="BC55" s="5"/>
      <c r="BD55" s="5"/>
      <c r="BE55" s="5"/>
      <c r="BF55" s="5"/>
      <c r="BG55" s="5"/>
    </row>
    <row r="56" spans="1:49" s="61" customFormat="1" ht="45" customHeight="1">
      <c r="A56" s="56"/>
      <c r="B56" s="243" t="s">
        <v>19</v>
      </c>
      <c r="C56" s="243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3:49" ht="4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3:49" ht="45" customHeight="1">
      <c r="C58" s="78"/>
      <c r="D58" s="27"/>
      <c r="E58" s="27"/>
      <c r="F58" s="6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</row>
    <row r="59" spans="2:49" ht="45" customHeight="1">
      <c r="B59" s="5" t="s">
        <v>7</v>
      </c>
      <c r="C59" s="70">
        <v>27</v>
      </c>
      <c r="D59" s="85">
        <v>97.6</v>
      </c>
      <c r="E59" s="85">
        <v>107.2</v>
      </c>
      <c r="F59" s="86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17.39999999999999</v>
      </c>
    </row>
    <row r="60" spans="2:49" ht="45" customHeight="1">
      <c r="B60" s="5" t="s">
        <v>8</v>
      </c>
      <c r="C60" s="63">
        <v>52.2</v>
      </c>
      <c r="D60" s="31">
        <v>256.6</v>
      </c>
      <c r="E60" s="31">
        <v>288.5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4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0</v>
      </c>
    </row>
    <row r="63" spans="2:49" ht="45" customHeight="1">
      <c r="B63" s="5" t="s">
        <v>9</v>
      </c>
      <c r="C63" s="63">
        <f>C9+C17+C20+C26+C38+C40+C42</f>
        <v>0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0</v>
      </c>
    </row>
    <row r="64" spans="2:49" ht="45" customHeight="1">
      <c r="B64" s="5" t="s">
        <v>10</v>
      </c>
      <c r="C64" s="63">
        <f>C11+C13+C14+C16+C18+C19+C25</f>
        <v>0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3:49" ht="4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3">
    <mergeCell ref="AJ5:AL5"/>
    <mergeCell ref="AB5:AD5"/>
    <mergeCell ref="AQ5:AR5"/>
    <mergeCell ref="AM5:AN5"/>
    <mergeCell ref="M5:O5"/>
    <mergeCell ref="A50:C50"/>
    <mergeCell ref="B56:C56"/>
    <mergeCell ref="P5:R5"/>
    <mergeCell ref="Y5:AA5"/>
    <mergeCell ref="AE5:AG5"/>
    <mergeCell ref="AH5:AI5"/>
    <mergeCell ref="S5:U5"/>
    <mergeCell ref="G5:I5"/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view="pageBreakPreview" zoomScale="70" zoomScaleNormal="75" zoomScaleSheetLayoutView="70" zoomScalePageLayoutView="0" workbookViewId="0" topLeftCell="A3">
      <pane xSplit="6" ySplit="5" topLeftCell="G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I39" sqref="I39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2.00390625" style="8" customWidth="1"/>
    <col min="10" max="11" width="14.75390625" style="5" hidden="1" customWidth="1"/>
    <col min="12" max="12" width="14.00390625" style="8" hidden="1" customWidth="1"/>
    <col min="13" max="13" width="13.00390625" style="8" hidden="1" customWidth="1"/>
    <col min="14" max="14" width="12.625" style="8" hidden="1" customWidth="1"/>
    <col min="15" max="15" width="12.00390625" style="8" hidden="1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</row>
    <row r="2" spans="1:49" s="30" customFormat="1" ht="34.5" customHeight="1">
      <c r="A2" s="248" t="s">
        <v>96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</row>
    <row r="3" spans="1:49" s="30" customFormat="1" ht="60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</row>
    <row r="4" spans="2:49" ht="34.5" customHeight="1">
      <c r="B4" s="238"/>
      <c r="C4" s="238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35" t="s">
        <v>68</v>
      </c>
      <c r="E5" s="236"/>
      <c r="F5" s="237"/>
      <c r="G5" s="232" t="s">
        <v>70</v>
      </c>
      <c r="H5" s="233"/>
      <c r="I5" s="234"/>
      <c r="J5" s="245" t="s">
        <v>71</v>
      </c>
      <c r="K5" s="246"/>
      <c r="L5" s="247"/>
      <c r="M5" s="232" t="s">
        <v>73</v>
      </c>
      <c r="N5" s="233"/>
      <c r="O5" s="234"/>
      <c r="P5" s="232" t="s">
        <v>72</v>
      </c>
      <c r="Q5" s="233"/>
      <c r="R5" s="234"/>
      <c r="S5" s="245" t="s">
        <v>75</v>
      </c>
      <c r="T5" s="246"/>
      <c r="U5" s="247"/>
      <c r="V5" s="245" t="s">
        <v>76</v>
      </c>
      <c r="W5" s="246"/>
      <c r="X5" s="247"/>
      <c r="Y5" s="232" t="s">
        <v>77</v>
      </c>
      <c r="Z5" s="233"/>
      <c r="AA5" s="234"/>
      <c r="AB5" s="232" t="s">
        <v>78</v>
      </c>
      <c r="AC5" s="233"/>
      <c r="AD5" s="234"/>
      <c r="AE5" s="232" t="s">
        <v>79</v>
      </c>
      <c r="AF5" s="233"/>
      <c r="AG5" s="234"/>
      <c r="AH5" s="232" t="s">
        <v>80</v>
      </c>
      <c r="AI5" s="234"/>
      <c r="AJ5" s="232" t="s">
        <v>81</v>
      </c>
      <c r="AK5" s="233"/>
      <c r="AL5" s="234"/>
      <c r="AM5" s="232" t="s">
        <v>82</v>
      </c>
      <c r="AN5" s="234"/>
      <c r="AO5" s="232" t="s">
        <v>83</v>
      </c>
      <c r="AP5" s="234"/>
      <c r="AQ5" s="232" t="s">
        <v>84</v>
      </c>
      <c r="AR5" s="234"/>
      <c r="AS5" s="235" t="s">
        <v>87</v>
      </c>
      <c r="AT5" s="236"/>
      <c r="AU5" s="237"/>
      <c r="AV5" s="240" t="s">
        <v>91</v>
      </c>
      <c r="AW5" s="240" t="s">
        <v>92</v>
      </c>
    </row>
    <row r="6" spans="1:49" ht="43.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41"/>
      <c r="AW6" s="241"/>
    </row>
    <row r="7" spans="1:52" s="8" customFormat="1" ht="34.5" customHeight="1">
      <c r="A7" s="82"/>
      <c r="B7" s="13" t="s">
        <v>62</v>
      </c>
      <c r="C7" s="94">
        <f aca="true" t="shared" si="0" ref="C7:AR7">SUM(C8:C44)-C33-C34-C35-C36</f>
        <v>-232.5</v>
      </c>
      <c r="D7" s="94">
        <f t="shared" si="0"/>
        <v>743.5</v>
      </c>
      <c r="E7" s="94">
        <f t="shared" si="0"/>
        <v>626.9000000000001</v>
      </c>
      <c r="F7" s="14">
        <f aca="true" t="shared" si="1" ref="F7:F49">E7/D7*100</f>
        <v>84.31741761936786</v>
      </c>
      <c r="G7" s="94">
        <f t="shared" si="0"/>
        <v>683</v>
      </c>
      <c r="H7" s="94">
        <f t="shared" si="0"/>
        <v>683.5</v>
      </c>
      <c r="I7" s="14">
        <f aca="true" t="shared" si="2" ref="I7:I53">H7/G7*100</f>
        <v>100.0732064421669</v>
      </c>
      <c r="J7" s="94">
        <f t="shared" si="0"/>
        <v>0</v>
      </c>
      <c r="K7" s="94">
        <f t="shared" si="0"/>
        <v>0</v>
      </c>
      <c r="L7" s="94" t="e">
        <f>K7/J7*100</f>
        <v>#DIV/0!</v>
      </c>
      <c r="M7" s="94">
        <f t="shared" si="0"/>
        <v>1426.5</v>
      </c>
      <c r="N7" s="94">
        <f t="shared" si="0"/>
        <v>1310.4</v>
      </c>
      <c r="O7" s="14">
        <f aca="true" t="shared" si="3" ref="O7:O53">N7/M7*100</f>
        <v>91.86119873817036</v>
      </c>
      <c r="P7" s="94">
        <f t="shared" si="0"/>
        <v>0</v>
      </c>
      <c r="Q7" s="94">
        <f t="shared" si="0"/>
        <v>0</v>
      </c>
      <c r="R7" s="94" t="e">
        <f>Q7/P7*100</f>
        <v>#DIV/0!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0</v>
      </c>
      <c r="W7" s="94">
        <f t="shared" si="0"/>
        <v>0</v>
      </c>
      <c r="X7" s="14" t="e">
        <f aca="true" t="shared" si="4" ref="X7:X37">W7/V7*100</f>
        <v>#DIV/0!</v>
      </c>
      <c r="Y7" s="94">
        <f t="shared" si="0"/>
        <v>0</v>
      </c>
      <c r="Z7" s="94">
        <f t="shared" si="0"/>
        <v>0</v>
      </c>
      <c r="AA7" s="14" t="e">
        <f>Z7/Y7*100</f>
        <v>#DIV/0!</v>
      </c>
      <c r="AB7" s="94">
        <f t="shared" si="0"/>
        <v>0</v>
      </c>
      <c r="AC7" s="94">
        <f t="shared" si="0"/>
        <v>0</v>
      </c>
      <c r="AD7" s="1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1426.5</v>
      </c>
      <c r="AT7" s="94">
        <f>SUM(AT8:AT44)-AT33-AT34-AT35-AT36</f>
        <v>1310.4</v>
      </c>
      <c r="AU7" s="94">
        <f>AT7/AS7*100</f>
        <v>91.86119873817036</v>
      </c>
      <c r="AV7" s="94">
        <f>SUM(AV8:AV44)-AV33-AV34-AV35-AV36</f>
        <v>116.1</v>
      </c>
      <c r="AW7" s="94">
        <f>SUM(AW8:AW44)-AW33-AW34-AW35-AW36</f>
        <v>-116.4</v>
      </c>
      <c r="AX7" s="20">
        <f>M7+Y7+AJ7+AM7+AO7+AQ7</f>
        <v>1426.5</v>
      </c>
      <c r="AY7" s="20">
        <f>N7+Z7+AK7+AN7+AP7+AR7</f>
        <v>1310.4</v>
      </c>
      <c r="AZ7" s="20">
        <f>C7+AX7-AY7</f>
        <v>-116.40000000000009</v>
      </c>
    </row>
    <row r="8" spans="1:52" ht="34.5" customHeight="1">
      <c r="A8" s="83">
        <v>1</v>
      </c>
      <c r="B8" s="1" t="s">
        <v>27</v>
      </c>
      <c r="C8" s="2">
        <v>-5.3</v>
      </c>
      <c r="D8" s="3">
        <v>0</v>
      </c>
      <c r="E8" s="3">
        <v>-5.3</v>
      </c>
      <c r="F8" s="28" t="e">
        <f t="shared" si="1"/>
        <v>#DIV/0!</v>
      </c>
      <c r="G8" s="3">
        <v>0</v>
      </c>
      <c r="H8" s="3">
        <v>0</v>
      </c>
      <c r="I8" s="28" t="e">
        <f t="shared" si="2"/>
        <v>#DIV/0!</v>
      </c>
      <c r="J8" s="3"/>
      <c r="K8" s="3"/>
      <c r="L8" s="94" t="e">
        <f aca="true" t="shared" si="5" ref="L8:L53">K8/J8*100</f>
        <v>#DIV/0!</v>
      </c>
      <c r="M8" s="3">
        <f>D8+G8+J8</f>
        <v>0</v>
      </c>
      <c r="N8" s="3">
        <f>E8+H8+K8</f>
        <v>-5.3</v>
      </c>
      <c r="O8" s="14" t="e">
        <f t="shared" si="3"/>
        <v>#DIV/0!</v>
      </c>
      <c r="P8" s="3"/>
      <c r="Q8" s="3"/>
      <c r="R8" s="94" t="e">
        <f aca="true" t="shared" si="6" ref="R8:R49">Q8/P8*100</f>
        <v>#DIV/0!</v>
      </c>
      <c r="S8" s="3"/>
      <c r="T8" s="3"/>
      <c r="U8" s="14"/>
      <c r="V8" s="3"/>
      <c r="W8" s="3"/>
      <c r="X8" s="14" t="e">
        <f t="shared" si="4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aca="true" t="shared" si="7" ref="AD8:AD49">AC8/AB8*100</f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-5.3</v>
      </c>
      <c r="AU8" s="28" t="e">
        <f>AT8/AS8*100</f>
        <v>#DIV/0!</v>
      </c>
      <c r="AV8" s="3">
        <f>AS8-AT8</f>
        <v>5.3</v>
      </c>
      <c r="AW8" s="87">
        <f>C8+AS8-AT8</f>
        <v>0</v>
      </c>
      <c r="AX8" s="20">
        <f aca="true" t="shared" si="8" ref="AX8:AX49">M8+Y8+AJ8+AM8+AO8+AQ8</f>
        <v>0</v>
      </c>
      <c r="AY8" s="20">
        <f aca="true" t="shared" si="9" ref="AY8:AY49">N8+Z8+AK8+AN8+AP8+AR8</f>
        <v>-5.3</v>
      </c>
      <c r="AZ8" s="20">
        <f aca="true" t="shared" si="10" ref="AZ8:AZ49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t="shared" si="2"/>
        <v>#DIV/0!</v>
      </c>
      <c r="J9" s="3"/>
      <c r="K9" s="3"/>
      <c r="L9" s="28" t="e">
        <f t="shared" si="5"/>
        <v>#DIV/0!</v>
      </c>
      <c r="M9" s="3">
        <f aca="true" t="shared" si="11" ref="M9:M31">D9+G9+J9</f>
        <v>0</v>
      </c>
      <c r="N9" s="3">
        <f aca="true" t="shared" si="12" ref="N9:N31">E9+H9+K9</f>
        <v>0</v>
      </c>
      <c r="O9" s="14" t="e">
        <f t="shared" si="3"/>
        <v>#DIV/0!</v>
      </c>
      <c r="P9" s="3"/>
      <c r="Q9" s="3"/>
      <c r="R9" s="28" t="e">
        <f t="shared" si="6"/>
        <v>#DIV/0!</v>
      </c>
      <c r="S9" s="3"/>
      <c r="T9" s="3"/>
      <c r="U9" s="14"/>
      <c r="V9" s="3"/>
      <c r="W9" s="3"/>
      <c r="X9" s="28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3">
        <f>AS9-AT9</f>
        <v>0</v>
      </c>
      <c r="AW9" s="87">
        <f>C9+AS9-AT9</f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3">
        <f t="shared" si="11"/>
        <v>0</v>
      </c>
      <c r="N10" s="93">
        <f t="shared" si="12"/>
        <v>0</v>
      </c>
      <c r="O10" s="28" t="e">
        <f t="shared" si="3"/>
        <v>#DIV/0!</v>
      </c>
      <c r="P10" s="93"/>
      <c r="Q10" s="93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93">
        <f aca="true" t="shared" si="13" ref="AJ10:AJ44">AB10+AE10+AH10</f>
        <v>0</v>
      </c>
      <c r="AK10" s="93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7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3">
        <f t="shared" si="11"/>
        <v>0</v>
      </c>
      <c r="N11" s="93">
        <f t="shared" si="12"/>
        <v>0</v>
      </c>
      <c r="O11" s="28" t="e">
        <f t="shared" si="3"/>
        <v>#DIV/0!</v>
      </c>
      <c r="P11" s="93"/>
      <c r="Q11" s="93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93">
        <f t="shared" si="13"/>
        <v>0</v>
      </c>
      <c r="AK11" s="93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7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2"/>
        <v>#DIV/0!</v>
      </c>
      <c r="J12" s="3"/>
      <c r="K12" s="3"/>
      <c r="L12" s="94" t="e">
        <f t="shared" si="5"/>
        <v>#DIV/0!</v>
      </c>
      <c r="M12" s="3">
        <f t="shared" si="11"/>
        <v>0</v>
      </c>
      <c r="N12" s="3">
        <f t="shared" si="12"/>
        <v>0</v>
      </c>
      <c r="O12" s="14" t="e">
        <f t="shared" si="3"/>
        <v>#DIV/0!</v>
      </c>
      <c r="P12" s="3"/>
      <c r="Q12" s="3"/>
      <c r="R12" s="94" t="e">
        <f t="shared" si="6"/>
        <v>#DIV/0!</v>
      </c>
      <c r="S12" s="3"/>
      <c r="T12" s="3"/>
      <c r="U12" s="14"/>
      <c r="V12" s="3"/>
      <c r="W12" s="3"/>
      <c r="X12" s="14" t="e">
        <f t="shared" si="4"/>
        <v>#DIV/0!</v>
      </c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14" t="e">
        <f t="shared" si="7"/>
        <v>#DIV/0!</v>
      </c>
      <c r="AE12" s="3"/>
      <c r="AF12" s="3"/>
      <c r="AG12" s="28"/>
      <c r="AH12" s="3"/>
      <c r="AI12" s="3"/>
      <c r="AJ12" s="3">
        <f t="shared" si="13"/>
        <v>0</v>
      </c>
      <c r="AK12" s="3">
        <f t="shared" si="14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0</v>
      </c>
      <c r="AT12" s="3">
        <f>N12+Z12+AK12+AN12+AP12+AR12</f>
        <v>0</v>
      </c>
      <c r="AU12" s="28" t="e">
        <f>AT12/AS12*100</f>
        <v>#DIV/0!</v>
      </c>
      <c r="AV12" s="3">
        <f>AS12-AT12</f>
        <v>0</v>
      </c>
      <c r="AW12" s="87">
        <f>C12+AS12-AT12</f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93"/>
      <c r="H13" s="93"/>
      <c r="I13" s="28" t="e">
        <f t="shared" si="2"/>
        <v>#DIV/0!</v>
      </c>
      <c r="J13" s="93"/>
      <c r="K13" s="93"/>
      <c r="L13" s="28" t="e">
        <f t="shared" si="5"/>
        <v>#DIV/0!</v>
      </c>
      <c r="M13" s="93">
        <f t="shared" si="11"/>
        <v>0</v>
      </c>
      <c r="N13" s="93">
        <f t="shared" si="12"/>
        <v>0</v>
      </c>
      <c r="O13" s="28" t="e">
        <f t="shared" si="3"/>
        <v>#DIV/0!</v>
      </c>
      <c r="P13" s="93"/>
      <c r="Q13" s="93"/>
      <c r="R13" s="28" t="e">
        <f t="shared" si="6"/>
        <v>#DIV/0!</v>
      </c>
      <c r="S13" s="93"/>
      <c r="T13" s="93"/>
      <c r="U13" s="28"/>
      <c r="V13" s="93"/>
      <c r="W13" s="93"/>
      <c r="X13" s="28" t="e">
        <f t="shared" si="4"/>
        <v>#DIV/0!</v>
      </c>
      <c r="Y13" s="93">
        <f>P13+S13+V13</f>
        <v>0</v>
      </c>
      <c r="Z13" s="93">
        <f>Q13+T13+W13</f>
        <v>0</v>
      </c>
      <c r="AA13" s="28" t="e">
        <f>Z13/Y13*100</f>
        <v>#DIV/0!</v>
      </c>
      <c r="AB13" s="93"/>
      <c r="AC13" s="93"/>
      <c r="AD13" s="28" t="e">
        <f t="shared" si="7"/>
        <v>#DIV/0!</v>
      </c>
      <c r="AE13" s="93"/>
      <c r="AF13" s="93"/>
      <c r="AG13" s="28"/>
      <c r="AH13" s="93"/>
      <c r="AI13" s="93"/>
      <c r="AJ13" s="93">
        <f t="shared" si="13"/>
        <v>0</v>
      </c>
      <c r="AK13" s="93">
        <f t="shared" si="14"/>
        <v>0</v>
      </c>
      <c r="AL13" s="28" t="e">
        <f>AK13/AJ13*100</f>
        <v>#DIV/0!</v>
      </c>
      <c r="AM13" s="93"/>
      <c r="AN13" s="93"/>
      <c r="AO13" s="93"/>
      <c r="AP13" s="93"/>
      <c r="AQ13" s="93"/>
      <c r="AR13" s="93"/>
      <c r="AS13" s="93">
        <f>M13+Y13+AJ13+AM13+AO13+AQ13</f>
        <v>0</v>
      </c>
      <c r="AT13" s="93">
        <f>N13+Z13+AK13+AN13+AP13+AR13</f>
        <v>0</v>
      </c>
      <c r="AU13" s="28" t="e">
        <f>AT13/AS13*100</f>
        <v>#DIV/0!</v>
      </c>
      <c r="AV13" s="93">
        <f>AS13-AT13</f>
        <v>0</v>
      </c>
      <c r="AW13" s="113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3">
        <f t="shared" si="11"/>
        <v>0</v>
      </c>
      <c r="N14" s="93">
        <f t="shared" si="12"/>
        <v>0</v>
      </c>
      <c r="O14" s="28" t="e">
        <f t="shared" si="3"/>
        <v>#DIV/0!</v>
      </c>
      <c r="P14" s="93"/>
      <c r="Q14" s="93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93">
        <f t="shared" si="13"/>
        <v>0</v>
      </c>
      <c r="AK14" s="93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7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2"/>
        <v>#DIV/0!</v>
      </c>
      <c r="J15" s="3"/>
      <c r="K15" s="3"/>
      <c r="L15" s="94" t="e">
        <f t="shared" si="5"/>
        <v>#DIV/0!</v>
      </c>
      <c r="M15" s="3">
        <f t="shared" si="11"/>
        <v>0</v>
      </c>
      <c r="N15" s="3">
        <f t="shared" si="12"/>
        <v>0</v>
      </c>
      <c r="O15" s="14" t="e">
        <f t="shared" si="3"/>
        <v>#DIV/0!</v>
      </c>
      <c r="P15" s="3"/>
      <c r="Q15" s="3"/>
      <c r="R15" s="94" t="e">
        <f t="shared" si="6"/>
        <v>#DIV/0!</v>
      </c>
      <c r="S15" s="3"/>
      <c r="T15" s="3"/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3">
        <f>AS15-AT15</f>
        <v>0</v>
      </c>
      <c r="AW15" s="87">
        <f>C15+AS15-AT15</f>
        <v>0</v>
      </c>
      <c r="AX15" s="20">
        <f t="shared" si="8"/>
        <v>0</v>
      </c>
      <c r="AY15" s="20">
        <f t="shared" si="9"/>
        <v>0</v>
      </c>
      <c r="AZ15" s="20">
        <f t="shared" si="10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3">
        <f t="shared" si="11"/>
        <v>0</v>
      </c>
      <c r="N16" s="93">
        <f t="shared" si="12"/>
        <v>0</v>
      </c>
      <c r="O16" s="28" t="e">
        <f t="shared" si="3"/>
        <v>#DIV/0!</v>
      </c>
      <c r="P16" s="93"/>
      <c r="Q16" s="93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93">
        <f t="shared" si="13"/>
        <v>0</v>
      </c>
      <c r="AK16" s="93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7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5"/>
        <v>#DIV/0!</v>
      </c>
      <c r="M17" s="93">
        <f t="shared" si="11"/>
        <v>0</v>
      </c>
      <c r="N17" s="93">
        <f t="shared" si="12"/>
        <v>0</v>
      </c>
      <c r="O17" s="28" t="e">
        <f t="shared" si="3"/>
        <v>#DIV/0!</v>
      </c>
      <c r="P17" s="93"/>
      <c r="Q17" s="93"/>
      <c r="R17" s="28" t="e">
        <f t="shared" si="6"/>
        <v>#DIV/0!</v>
      </c>
      <c r="S17" s="93"/>
      <c r="T17" s="93"/>
      <c r="U17" s="28"/>
      <c r="V17" s="93"/>
      <c r="W17" s="93"/>
      <c r="X17" s="28" t="e">
        <f t="shared" si="4"/>
        <v>#DIV/0!</v>
      </c>
      <c r="Y17" s="93">
        <f aca="true" t="shared" si="15" ref="Y17:Z19">P17+S17+V17</f>
        <v>0</v>
      </c>
      <c r="Z17" s="93">
        <f t="shared" si="15"/>
        <v>0</v>
      </c>
      <c r="AA17" s="28" t="e">
        <f>Z17/Y17*100</f>
        <v>#DIV/0!</v>
      </c>
      <c r="AB17" s="93"/>
      <c r="AC17" s="93"/>
      <c r="AD17" s="28" t="e">
        <f t="shared" si="7"/>
        <v>#DIV/0!</v>
      </c>
      <c r="AE17" s="93"/>
      <c r="AF17" s="93"/>
      <c r="AG17" s="28"/>
      <c r="AH17" s="93"/>
      <c r="AI17" s="93"/>
      <c r="AJ17" s="93">
        <f t="shared" si="13"/>
        <v>0</v>
      </c>
      <c r="AK17" s="93">
        <f t="shared" si="14"/>
        <v>0</v>
      </c>
      <c r="AL17" s="28"/>
      <c r="AM17" s="93"/>
      <c r="AN17" s="93"/>
      <c r="AO17" s="93"/>
      <c r="AP17" s="93"/>
      <c r="AQ17" s="93"/>
      <c r="AR17" s="93"/>
      <c r="AS17" s="93">
        <f aca="true" t="shared" si="16" ref="AS17:AT19">M17+Y17+AJ17+AM17+AO17+AQ17</f>
        <v>0</v>
      </c>
      <c r="AT17" s="93">
        <f t="shared" si="16"/>
        <v>0</v>
      </c>
      <c r="AU17" s="28" t="e">
        <f>AT17/AS17*100</f>
        <v>#DIV/0!</v>
      </c>
      <c r="AV17" s="93">
        <f>AS17-AT17</f>
        <v>0</v>
      </c>
      <c r="AW17" s="113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14" t="e">
        <f t="shared" si="1"/>
        <v>#DIV/0!</v>
      </c>
      <c r="G18" s="3"/>
      <c r="H18" s="3"/>
      <c r="I18" s="76" t="e">
        <f t="shared" si="2"/>
        <v>#DIV/0!</v>
      </c>
      <c r="J18" s="3"/>
      <c r="K18" s="3"/>
      <c r="L18" s="28" t="e">
        <f t="shared" si="5"/>
        <v>#DIV/0!</v>
      </c>
      <c r="M18" s="3">
        <f t="shared" si="11"/>
        <v>0</v>
      </c>
      <c r="N18" s="3">
        <f t="shared" si="12"/>
        <v>0</v>
      </c>
      <c r="O18" s="14" t="e">
        <f t="shared" si="3"/>
        <v>#DIV/0!</v>
      </c>
      <c r="P18" s="3"/>
      <c r="Q18" s="3"/>
      <c r="R18" s="28" t="e">
        <f t="shared" si="6"/>
        <v>#DIV/0!</v>
      </c>
      <c r="S18" s="3"/>
      <c r="T18" s="3"/>
      <c r="U18" s="76"/>
      <c r="V18" s="3"/>
      <c r="W18" s="3"/>
      <c r="X18" s="28" t="e">
        <f t="shared" si="4"/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3">
        <f t="shared" si="16"/>
        <v>0</v>
      </c>
      <c r="AT18" s="3">
        <f t="shared" si="16"/>
        <v>0</v>
      </c>
      <c r="AU18" s="14" t="e">
        <f>AT18/AS18*100</f>
        <v>#DIV/0!</v>
      </c>
      <c r="AV18" s="3">
        <f>AS18-AT18</f>
        <v>0</v>
      </c>
      <c r="AW18" s="87">
        <f>C18+AS18-AT18</f>
        <v>0</v>
      </c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"/>
      <c r="H19" s="3"/>
      <c r="I19" s="14" t="e">
        <f t="shared" si="2"/>
        <v>#DIV/0!</v>
      </c>
      <c r="J19" s="3"/>
      <c r="K19" s="3"/>
      <c r="L19" s="94" t="e">
        <f t="shared" si="5"/>
        <v>#DIV/0!</v>
      </c>
      <c r="M19" s="3">
        <f t="shared" si="11"/>
        <v>0</v>
      </c>
      <c r="N19" s="3">
        <f t="shared" si="12"/>
        <v>0</v>
      </c>
      <c r="O19" s="14" t="e">
        <f t="shared" si="3"/>
        <v>#DIV/0!</v>
      </c>
      <c r="P19" s="3"/>
      <c r="Q19" s="3"/>
      <c r="R19" s="94" t="e">
        <f t="shared" si="6"/>
        <v>#DIV/0!</v>
      </c>
      <c r="S19" s="3"/>
      <c r="T19" s="3"/>
      <c r="U19" s="14"/>
      <c r="V19" s="3"/>
      <c r="W19" s="3"/>
      <c r="X19" s="14" t="e">
        <f t="shared" si="4"/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14" t="e">
        <f t="shared" si="7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3">
        <f>AS19-AT19</f>
        <v>0</v>
      </c>
      <c r="AW19" s="87">
        <f>C19+AS19-AT19</f>
        <v>0</v>
      </c>
      <c r="AX19" s="20">
        <f t="shared" si="8"/>
        <v>0</v>
      </c>
      <c r="AY19" s="20">
        <f t="shared" si="9"/>
        <v>0</v>
      </c>
      <c r="AZ19" s="20">
        <f t="shared" si="10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3">
        <f t="shared" si="11"/>
        <v>0</v>
      </c>
      <c r="N20" s="93">
        <f t="shared" si="12"/>
        <v>0</v>
      </c>
      <c r="O20" s="28" t="e">
        <f t="shared" si="3"/>
        <v>#DIV/0!</v>
      </c>
      <c r="P20" s="93"/>
      <c r="Q20" s="93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93">
        <f t="shared" si="13"/>
        <v>0</v>
      </c>
      <c r="AK20" s="93">
        <f t="shared" si="14"/>
        <v>0</v>
      </c>
      <c r="AL20" s="28"/>
      <c r="AM20" s="93"/>
      <c r="AN20" s="21"/>
      <c r="AO20" s="21"/>
      <c r="AP20" s="21"/>
      <c r="AQ20" s="21"/>
      <c r="AR20" s="21"/>
      <c r="AS20" s="3"/>
      <c r="AT20" s="3"/>
      <c r="AU20" s="14"/>
      <c r="AV20" s="3"/>
      <c r="AW20" s="87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3">
        <f t="shared" si="11"/>
        <v>0</v>
      </c>
      <c r="N21" s="93">
        <f t="shared" si="12"/>
        <v>0</v>
      </c>
      <c r="O21" s="28" t="e">
        <f t="shared" si="3"/>
        <v>#DIV/0!</v>
      </c>
      <c r="P21" s="93"/>
      <c r="Q21" s="93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93">
        <f t="shared" si="13"/>
        <v>0</v>
      </c>
      <c r="AK21" s="93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7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3">
        <f t="shared" si="11"/>
        <v>0</v>
      </c>
      <c r="N22" s="93">
        <f t="shared" si="12"/>
        <v>0</v>
      </c>
      <c r="O22" s="28" t="e">
        <f t="shared" si="3"/>
        <v>#DIV/0!</v>
      </c>
      <c r="P22" s="93"/>
      <c r="Q22" s="93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93">
        <f t="shared" si="13"/>
        <v>0</v>
      </c>
      <c r="AK22" s="93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7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3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3">
        <f t="shared" si="11"/>
        <v>0</v>
      </c>
      <c r="N23" s="93">
        <f t="shared" si="12"/>
        <v>0</v>
      </c>
      <c r="O23" s="28" t="e">
        <f t="shared" si="3"/>
        <v>#DIV/0!</v>
      </c>
      <c r="P23" s="93"/>
      <c r="Q23" s="93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7"/>
      <c r="AF23" s="77"/>
      <c r="AG23" s="77"/>
      <c r="AH23" s="77"/>
      <c r="AI23" s="77"/>
      <c r="AJ23" s="93">
        <f t="shared" si="13"/>
        <v>0</v>
      </c>
      <c r="AK23" s="93">
        <f t="shared" si="14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14"/>
      <c r="AV23" s="3"/>
      <c r="AW23" s="87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743.5</v>
      </c>
      <c r="E24" s="3">
        <v>743.5</v>
      </c>
      <c r="F24" s="14">
        <f t="shared" si="1"/>
        <v>100</v>
      </c>
      <c r="G24" s="3">
        <v>683</v>
      </c>
      <c r="H24" s="3">
        <v>683</v>
      </c>
      <c r="I24" s="14">
        <f t="shared" si="2"/>
        <v>100</v>
      </c>
      <c r="J24" s="3"/>
      <c r="K24" s="3"/>
      <c r="L24" s="94" t="e">
        <f t="shared" si="5"/>
        <v>#DIV/0!</v>
      </c>
      <c r="M24" s="3">
        <f t="shared" si="11"/>
        <v>1426.5</v>
      </c>
      <c r="N24" s="3">
        <f t="shared" si="12"/>
        <v>1426.5</v>
      </c>
      <c r="O24" s="14">
        <f t="shared" si="3"/>
        <v>100</v>
      </c>
      <c r="P24" s="3"/>
      <c r="Q24" s="3"/>
      <c r="R24" s="94" t="e">
        <f t="shared" si="6"/>
        <v>#DIV/0!</v>
      </c>
      <c r="S24" s="3"/>
      <c r="T24" s="3"/>
      <c r="U24" s="14"/>
      <c r="V24" s="3"/>
      <c r="W24" s="3"/>
      <c r="X24" s="14" t="e">
        <f t="shared" si="4"/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14" t="e">
        <f t="shared" si="7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1426.5</v>
      </c>
      <c r="AT24" s="3">
        <f>N24+Z24+AK24+AN24+AP24+AR24</f>
        <v>1426.5</v>
      </c>
      <c r="AU24" s="14">
        <f>AT24/AS24*100</f>
        <v>100</v>
      </c>
      <c r="AV24" s="3">
        <f>AS24-AT24</f>
        <v>0</v>
      </c>
      <c r="AW24" s="87">
        <f>C24+AS24-AT24</f>
        <v>0</v>
      </c>
      <c r="AX24" s="20">
        <f t="shared" si="8"/>
        <v>1426.5</v>
      </c>
      <c r="AY24" s="20">
        <f t="shared" si="9"/>
        <v>1426.5</v>
      </c>
      <c r="AZ24" s="20">
        <f t="shared" si="10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3">
        <f t="shared" si="11"/>
        <v>0</v>
      </c>
      <c r="N25" s="93">
        <f t="shared" si="12"/>
        <v>0</v>
      </c>
      <c r="O25" s="28" t="e">
        <f t="shared" si="3"/>
        <v>#DIV/0!</v>
      </c>
      <c r="P25" s="93"/>
      <c r="Q25" s="93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93">
        <f t="shared" si="13"/>
        <v>0</v>
      </c>
      <c r="AK25" s="93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7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>
        <v>0</v>
      </c>
      <c r="G26" s="3">
        <v>0</v>
      </c>
      <c r="H26" s="3">
        <v>0</v>
      </c>
      <c r="I26" s="28" t="e">
        <f t="shared" si="2"/>
        <v>#DIV/0!</v>
      </c>
      <c r="J26" s="3"/>
      <c r="K26" s="3"/>
      <c r="L26" s="94" t="e">
        <f t="shared" si="5"/>
        <v>#DIV/0!</v>
      </c>
      <c r="M26" s="3">
        <f t="shared" si="11"/>
        <v>0</v>
      </c>
      <c r="N26" s="3">
        <f t="shared" si="12"/>
        <v>0</v>
      </c>
      <c r="O26" s="14" t="e">
        <f t="shared" si="3"/>
        <v>#DIV/0!</v>
      </c>
      <c r="P26" s="3"/>
      <c r="Q26" s="3"/>
      <c r="R26" s="94" t="e">
        <f t="shared" si="6"/>
        <v>#DIV/0!</v>
      </c>
      <c r="S26" s="3"/>
      <c r="T26" s="3"/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3">
        <f>AS26-AT26</f>
        <v>0</v>
      </c>
      <c r="AW26" s="87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83">
        <v>20</v>
      </c>
      <c r="B27" s="15" t="s">
        <v>45</v>
      </c>
      <c r="C27" s="2">
        <v>-116.4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 t="shared" si="2"/>
        <v>#DIV/0!</v>
      </c>
      <c r="J27" s="3"/>
      <c r="K27" s="3"/>
      <c r="L27" s="94" t="e">
        <f t="shared" si="5"/>
        <v>#DIV/0!</v>
      </c>
      <c r="M27" s="3">
        <f t="shared" si="11"/>
        <v>0</v>
      </c>
      <c r="N27" s="3">
        <f t="shared" si="12"/>
        <v>0</v>
      </c>
      <c r="O27" s="14" t="e">
        <f t="shared" si="3"/>
        <v>#DIV/0!</v>
      </c>
      <c r="P27" s="3"/>
      <c r="Q27" s="3"/>
      <c r="R27" s="94" t="e">
        <f t="shared" si="6"/>
        <v>#DIV/0!</v>
      </c>
      <c r="S27" s="3"/>
      <c r="T27" s="3"/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3">
        <f>AS27-AT27</f>
        <v>0</v>
      </c>
      <c r="AW27" s="87">
        <f>C27+AS27-AT27</f>
        <v>-116.4</v>
      </c>
      <c r="AX27" s="20">
        <f t="shared" si="8"/>
        <v>0</v>
      </c>
      <c r="AY27" s="20">
        <f t="shared" si="9"/>
        <v>0</v>
      </c>
      <c r="AZ27" s="20">
        <f t="shared" si="10"/>
        <v>-116.4</v>
      </c>
    </row>
    <row r="28" spans="1:52" ht="34.5" customHeight="1">
      <c r="A28" s="83">
        <v>21</v>
      </c>
      <c r="B28" s="101" t="s">
        <v>46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3">
        <f t="shared" si="11"/>
        <v>0</v>
      </c>
      <c r="N28" s="93">
        <f t="shared" si="12"/>
        <v>0</v>
      </c>
      <c r="O28" s="28" t="e">
        <f t="shared" si="3"/>
        <v>#DIV/0!</v>
      </c>
      <c r="P28" s="93"/>
      <c r="Q28" s="93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93">
        <f t="shared" si="13"/>
        <v>0</v>
      </c>
      <c r="AK28" s="93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7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3">
        <v>22</v>
      </c>
      <c r="B29" s="1" t="s">
        <v>47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3">
        <f t="shared" si="11"/>
        <v>0</v>
      </c>
      <c r="N29" s="93">
        <f t="shared" si="12"/>
        <v>0</v>
      </c>
      <c r="O29" s="28" t="e">
        <f t="shared" si="3"/>
        <v>#DIV/0!</v>
      </c>
      <c r="P29" s="93"/>
      <c r="Q29" s="93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93">
        <f t="shared" si="13"/>
        <v>0</v>
      </c>
      <c r="AK29" s="93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7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3">
        <f t="shared" si="11"/>
        <v>0</v>
      </c>
      <c r="N30" s="93">
        <f t="shared" si="12"/>
        <v>0</v>
      </c>
      <c r="O30" s="28" t="e">
        <f t="shared" si="3"/>
        <v>#DIV/0!</v>
      </c>
      <c r="P30" s="93"/>
      <c r="Q30" s="93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7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3">
        <v>24</v>
      </c>
      <c r="B31" s="15" t="s">
        <v>49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3">
        <f t="shared" si="11"/>
        <v>0</v>
      </c>
      <c r="N31" s="93">
        <f t="shared" si="12"/>
        <v>0</v>
      </c>
      <c r="O31" s="28" t="e">
        <f t="shared" si="3"/>
        <v>#DIV/0!</v>
      </c>
      <c r="P31" s="93"/>
      <c r="Q31" s="93"/>
      <c r="R31" s="28" t="e">
        <f t="shared" si="6"/>
        <v>#DIV/0!</v>
      </c>
      <c r="S31" s="93"/>
      <c r="T31" s="93"/>
      <c r="U31" s="28"/>
      <c r="V31" s="93"/>
      <c r="W31" s="93"/>
      <c r="X31" s="28" t="e">
        <f t="shared" si="4"/>
        <v>#DIV/0!</v>
      </c>
      <c r="Y31" s="93"/>
      <c r="Z31" s="93"/>
      <c r="AA31" s="28"/>
      <c r="AB31" s="93"/>
      <c r="AC31" s="93"/>
      <c r="AD31" s="28" t="e">
        <f t="shared" si="7"/>
        <v>#DIV/0!</v>
      </c>
      <c r="AE31" s="92"/>
      <c r="AF31" s="92"/>
      <c r="AG31" s="92"/>
      <c r="AH31" s="92"/>
      <c r="AI31" s="92"/>
      <c r="AJ31" s="3">
        <f t="shared" si="13"/>
        <v>0</v>
      </c>
      <c r="AK31" s="3">
        <f t="shared" si="14"/>
        <v>0</v>
      </c>
      <c r="AL31" s="28"/>
      <c r="AM31" s="92"/>
      <c r="AN31" s="92"/>
      <c r="AO31" s="92"/>
      <c r="AP31" s="92"/>
      <c r="AQ31" s="92"/>
      <c r="AR31" s="92"/>
      <c r="AS31" s="93"/>
      <c r="AT31" s="3"/>
      <c r="AU31" s="14"/>
      <c r="AV31" s="3"/>
      <c r="AW31" s="87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0</v>
      </c>
      <c r="D32" s="45">
        <f aca="true" t="shared" si="17" ref="D32:AW32">D33+D34+D35+D36</f>
        <v>0</v>
      </c>
      <c r="E32" s="45">
        <f t="shared" si="17"/>
        <v>0</v>
      </c>
      <c r="F32" s="14" t="e">
        <f t="shared" si="1"/>
        <v>#DIV/0!</v>
      </c>
      <c r="G32" s="45">
        <f t="shared" si="17"/>
        <v>0</v>
      </c>
      <c r="H32" s="45">
        <f t="shared" si="17"/>
        <v>0</v>
      </c>
      <c r="I32" s="45" t="e">
        <f t="shared" si="17"/>
        <v>#DIV/0!</v>
      </c>
      <c r="J32" s="45">
        <f t="shared" si="17"/>
        <v>0</v>
      </c>
      <c r="K32" s="45">
        <f t="shared" si="17"/>
        <v>0</v>
      </c>
      <c r="L32" s="94" t="e">
        <f t="shared" si="5"/>
        <v>#DIV/0!</v>
      </c>
      <c r="M32" s="45">
        <f t="shared" si="17"/>
        <v>0</v>
      </c>
      <c r="N32" s="45">
        <f t="shared" si="17"/>
        <v>0</v>
      </c>
      <c r="O32" s="14" t="e">
        <f t="shared" si="3"/>
        <v>#DIV/0!</v>
      </c>
      <c r="P32" s="45">
        <f t="shared" si="17"/>
        <v>0</v>
      </c>
      <c r="Q32" s="45">
        <f t="shared" si="17"/>
        <v>0</v>
      </c>
      <c r="R32" s="94" t="e">
        <f t="shared" si="6"/>
        <v>#DIV/0!</v>
      </c>
      <c r="S32" s="45">
        <f t="shared" si="17"/>
        <v>0</v>
      </c>
      <c r="T32" s="45">
        <f t="shared" si="17"/>
        <v>0</v>
      </c>
      <c r="U32" s="45">
        <f t="shared" si="17"/>
        <v>0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45" t="e">
        <f t="shared" si="17"/>
        <v>#DIV/0!</v>
      </c>
      <c r="AB32" s="45">
        <f t="shared" si="17"/>
        <v>0</v>
      </c>
      <c r="AC32" s="45">
        <f t="shared" si="17"/>
        <v>0</v>
      </c>
      <c r="AD32" s="14" t="e">
        <f t="shared" si="7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3">
        <f t="shared" si="13"/>
        <v>0</v>
      </c>
      <c r="AK32" s="3">
        <f t="shared" si="14"/>
        <v>0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0</v>
      </c>
      <c r="AT32" s="45">
        <f t="shared" si="17"/>
        <v>0</v>
      </c>
      <c r="AU32" s="14" t="e">
        <f>AT32/AS32*100</f>
        <v>#DIV/0!</v>
      </c>
      <c r="AV32" s="45">
        <f t="shared" si="17"/>
        <v>0</v>
      </c>
      <c r="AW32" s="45">
        <f t="shared" si="17"/>
        <v>0</v>
      </c>
      <c r="AX32" s="20">
        <f t="shared" si="8"/>
        <v>0</v>
      </c>
      <c r="AY32" s="20">
        <f t="shared" si="9"/>
        <v>0</v>
      </c>
      <c r="AZ32" s="20">
        <f t="shared" si="10"/>
        <v>0</v>
      </c>
    </row>
    <row r="33" spans="1:52" ht="34.5" customHeight="1">
      <c r="A33" s="83"/>
      <c r="B33" s="15" t="s">
        <v>74</v>
      </c>
      <c r="C33" s="2"/>
      <c r="D33" s="3"/>
      <c r="E33" s="3"/>
      <c r="F33" s="14"/>
      <c r="G33" s="93"/>
      <c r="H33" s="93"/>
      <c r="I33" s="28" t="e">
        <f t="shared" si="2"/>
        <v>#DIV/0!</v>
      </c>
      <c r="J33" s="93"/>
      <c r="K33" s="93"/>
      <c r="L33" s="28" t="e">
        <f t="shared" si="5"/>
        <v>#DIV/0!</v>
      </c>
      <c r="M33" s="93">
        <f>D33+G33+J33</f>
        <v>0</v>
      </c>
      <c r="N33" s="93">
        <f>E33+H33+K33</f>
        <v>0</v>
      </c>
      <c r="O33" s="28" t="e">
        <f t="shared" si="3"/>
        <v>#DIV/0!</v>
      </c>
      <c r="P33" s="93"/>
      <c r="Q33" s="93"/>
      <c r="R33" s="28" t="e">
        <f t="shared" si="6"/>
        <v>#DIV/0!</v>
      </c>
      <c r="S33" s="93"/>
      <c r="T33" s="93"/>
      <c r="U33" s="28"/>
      <c r="V33" s="93"/>
      <c r="W33" s="93"/>
      <c r="X33" s="28" t="e">
        <f t="shared" si="4"/>
        <v>#DIV/0!</v>
      </c>
      <c r="Y33" s="93">
        <f aca="true" t="shared" si="18" ref="Y33:Z35">P33+S33+V33</f>
        <v>0</v>
      </c>
      <c r="Z33" s="93">
        <f t="shared" si="18"/>
        <v>0</v>
      </c>
      <c r="AA33" s="28" t="e">
        <f>Z33/Y33*100</f>
        <v>#DIV/0!</v>
      </c>
      <c r="AB33" s="93"/>
      <c r="AC33" s="93"/>
      <c r="AD33" s="28" t="e">
        <f t="shared" si="7"/>
        <v>#DIV/0!</v>
      </c>
      <c r="AE33" s="93"/>
      <c r="AF33" s="93"/>
      <c r="AG33" s="28"/>
      <c r="AH33" s="93"/>
      <c r="AI33" s="93"/>
      <c r="AJ33" s="93">
        <f t="shared" si="13"/>
        <v>0</v>
      </c>
      <c r="AK33" s="93">
        <f t="shared" si="14"/>
        <v>0</v>
      </c>
      <c r="AL33" s="28"/>
      <c r="AM33" s="93"/>
      <c r="AN33" s="93"/>
      <c r="AO33" s="93"/>
      <c r="AP33" s="93"/>
      <c r="AQ33" s="93"/>
      <c r="AR33" s="93"/>
      <c r="AS33" s="93">
        <f aca="true" t="shared" si="19" ref="AS33:AT35">M33+Y33+AJ33+AM33+AO33+AQ33</f>
        <v>0</v>
      </c>
      <c r="AT33" s="93">
        <f t="shared" si="19"/>
        <v>0</v>
      </c>
      <c r="AU33" s="28" t="e">
        <f>AT33/AS33*100</f>
        <v>#DIV/0!</v>
      </c>
      <c r="AV33" s="93">
        <f>AS33-AT33</f>
        <v>0</v>
      </c>
      <c r="AW33" s="113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3"/>
      <c r="B34" s="15" t="s">
        <v>21</v>
      </c>
      <c r="C34" s="2">
        <v>0</v>
      </c>
      <c r="D34" s="3">
        <v>0</v>
      </c>
      <c r="E34" s="3">
        <v>0</v>
      </c>
      <c r="F34" s="28" t="e">
        <f>E34/D34*100</f>
        <v>#DIV/0!</v>
      </c>
      <c r="G34" s="3">
        <v>0</v>
      </c>
      <c r="H34" s="3">
        <v>0</v>
      </c>
      <c r="I34" s="28" t="e">
        <f>H34/G34*100</f>
        <v>#DIV/0!</v>
      </c>
      <c r="J34" s="3"/>
      <c r="K34" s="3"/>
      <c r="L34" s="94" t="e">
        <f t="shared" si="5"/>
        <v>#DIV/0!</v>
      </c>
      <c r="M34" s="3">
        <f aca="true" t="shared" si="20" ref="M34:M44">D34+G34+J34</f>
        <v>0</v>
      </c>
      <c r="N34" s="3">
        <f aca="true" t="shared" si="21" ref="N34:N44">E34+H34+K34</f>
        <v>0</v>
      </c>
      <c r="O34" s="14" t="e">
        <f t="shared" si="3"/>
        <v>#DIV/0!</v>
      </c>
      <c r="P34" s="3"/>
      <c r="Q34" s="3"/>
      <c r="R34" s="94" t="e">
        <f t="shared" si="6"/>
        <v>#DIV/0!</v>
      </c>
      <c r="S34" s="3"/>
      <c r="T34" s="3"/>
      <c r="U34" s="14"/>
      <c r="V34" s="3"/>
      <c r="W34" s="3"/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>Z34/Y34*100</f>
        <v>#DIV/0!</v>
      </c>
      <c r="AB34" s="3"/>
      <c r="AC34" s="3"/>
      <c r="AD34" s="14" t="e">
        <f t="shared" si="7"/>
        <v>#DIV/0!</v>
      </c>
      <c r="AE34" s="3"/>
      <c r="AF34" s="3"/>
      <c r="AG34" s="14"/>
      <c r="AH34" s="3"/>
      <c r="AI34" s="3"/>
      <c r="AJ34" s="3">
        <f t="shared" si="13"/>
        <v>0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28" t="e">
        <f>AT34/AS34*100</f>
        <v>#DIV/0!</v>
      </c>
      <c r="AV34" s="3">
        <f>AS34-AT34</f>
        <v>0</v>
      </c>
      <c r="AW34" s="87">
        <f>C34+AS34-AT34</f>
        <v>0</v>
      </c>
      <c r="AX34" s="20">
        <f t="shared" si="8"/>
        <v>0</v>
      </c>
      <c r="AY34" s="20">
        <f t="shared" si="9"/>
        <v>0</v>
      </c>
      <c r="AZ34" s="20">
        <f t="shared" si="10"/>
        <v>0</v>
      </c>
    </row>
    <row r="35" spans="1:52" ht="34.5" customHeight="1" hidden="1">
      <c r="A35" s="83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4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4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7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3">
        <f t="shared" si="20"/>
        <v>0</v>
      </c>
      <c r="N36" s="93">
        <f t="shared" si="21"/>
        <v>0</v>
      </c>
      <c r="O36" s="28" t="e">
        <f t="shared" si="3"/>
        <v>#DIV/0!</v>
      </c>
      <c r="P36" s="93"/>
      <c r="Q36" s="93"/>
      <c r="R36" s="28" t="e">
        <f t="shared" si="6"/>
        <v>#DIV/0!</v>
      </c>
      <c r="S36" s="93"/>
      <c r="T36" s="93"/>
      <c r="U36" s="28"/>
      <c r="V36" s="93"/>
      <c r="W36" s="93"/>
      <c r="X36" s="28" t="e">
        <f t="shared" si="4"/>
        <v>#DIV/0!</v>
      </c>
      <c r="Y36" s="93"/>
      <c r="Z36" s="93"/>
      <c r="AA36" s="28"/>
      <c r="AB36" s="93"/>
      <c r="AC36" s="93"/>
      <c r="AD36" s="28" t="e">
        <f t="shared" si="7"/>
        <v>#DIV/0!</v>
      </c>
      <c r="AE36" s="93"/>
      <c r="AF36" s="93"/>
      <c r="AG36" s="28"/>
      <c r="AH36" s="93"/>
      <c r="AI36" s="93"/>
      <c r="AJ36" s="93">
        <f t="shared" si="13"/>
        <v>0</v>
      </c>
      <c r="AK36" s="93">
        <f t="shared" si="14"/>
        <v>0</v>
      </c>
      <c r="AL36" s="28" t="e">
        <f>AK36/AJ36*100</f>
        <v>#DIV/0!</v>
      </c>
      <c r="AM36" s="93"/>
      <c r="AN36" s="93"/>
      <c r="AO36" s="93"/>
      <c r="AP36" s="93"/>
      <c r="AQ36" s="93"/>
      <c r="AR36" s="93"/>
      <c r="AS36" s="93"/>
      <c r="AT36" s="3"/>
      <c r="AU36" s="14"/>
      <c r="AV36" s="3"/>
      <c r="AW36" s="87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"/>
        <v>#DIV/0!</v>
      </c>
      <c r="J37" s="3"/>
      <c r="K37" s="3"/>
      <c r="L37" s="94" t="e">
        <f t="shared" si="5"/>
        <v>#DIV/0!</v>
      </c>
      <c r="M37" s="3">
        <f t="shared" si="20"/>
        <v>0</v>
      </c>
      <c r="N37" s="3">
        <f t="shared" si="21"/>
        <v>0</v>
      </c>
      <c r="O37" s="14" t="e">
        <f t="shared" si="3"/>
        <v>#DIV/0!</v>
      </c>
      <c r="P37" s="3"/>
      <c r="Q37" s="3"/>
      <c r="R37" s="28" t="e">
        <f t="shared" si="6"/>
        <v>#DIV/0!</v>
      </c>
      <c r="S37" s="3"/>
      <c r="T37" s="3"/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3">
        <f>AS37-AT37</f>
        <v>0</v>
      </c>
      <c r="AW37" s="87">
        <f>C37+AS37-AT37</f>
        <v>0</v>
      </c>
      <c r="AX37" s="20">
        <f t="shared" si="8"/>
        <v>0</v>
      </c>
      <c r="AY37" s="20">
        <f t="shared" si="9"/>
        <v>0</v>
      </c>
      <c r="AZ37" s="20">
        <f t="shared" si="10"/>
        <v>0</v>
      </c>
    </row>
    <row r="38" spans="1:52" ht="34.5" customHeight="1">
      <c r="A38" s="83">
        <v>27</v>
      </c>
      <c r="B38" s="104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3">
        <f t="shared" si="20"/>
        <v>0</v>
      </c>
      <c r="N38" s="93">
        <f t="shared" si="21"/>
        <v>0</v>
      </c>
      <c r="O38" s="28" t="e">
        <f t="shared" si="3"/>
        <v>#DIV/0!</v>
      </c>
      <c r="P38" s="93"/>
      <c r="Q38" s="93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93">
        <f t="shared" si="13"/>
        <v>0</v>
      </c>
      <c r="AK38" s="93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7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3">
        <v>28</v>
      </c>
      <c r="B39" s="105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"/>
        <v>#DIV/0!</v>
      </c>
      <c r="J39" s="3"/>
      <c r="K39" s="3"/>
      <c r="L39" s="94" t="e">
        <f t="shared" si="5"/>
        <v>#DIV/0!</v>
      </c>
      <c r="M39" s="3">
        <f t="shared" si="20"/>
        <v>0</v>
      </c>
      <c r="N39" s="3">
        <f t="shared" si="21"/>
        <v>0</v>
      </c>
      <c r="O39" s="14" t="e">
        <f t="shared" si="3"/>
        <v>#DIV/0!</v>
      </c>
      <c r="P39" s="3"/>
      <c r="Q39" s="3"/>
      <c r="R39" s="94" t="e">
        <f t="shared" si="6"/>
        <v>#DIV/0!</v>
      </c>
      <c r="S39" s="3"/>
      <c r="T39" s="3"/>
      <c r="U39" s="14"/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0</v>
      </c>
      <c r="Z39" s="3">
        <f t="shared" si="23"/>
        <v>0</v>
      </c>
      <c r="AA39" s="14" t="e">
        <f aca="true" t="shared" si="24" ref="AA39:AA46">Z39/Y39*100</f>
        <v>#DIV/0!</v>
      </c>
      <c r="AB39" s="3"/>
      <c r="AC39" s="3"/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0</v>
      </c>
      <c r="AT39" s="3">
        <f t="shared" si="25"/>
        <v>0</v>
      </c>
      <c r="AU39" s="28" t="e">
        <f aca="true" t="shared" si="26" ref="AU39:AU49">AT39/AS39*100</f>
        <v>#DIV/0!</v>
      </c>
      <c r="AV39" s="3">
        <f aca="true" t="shared" si="27" ref="AV39:AV44">AS39-AT39</f>
        <v>0</v>
      </c>
      <c r="AW39" s="87">
        <f aca="true" t="shared" si="28" ref="AW39:AW44">C39+AS39-AT39</f>
        <v>0</v>
      </c>
      <c r="AX39" s="20">
        <f t="shared" si="8"/>
        <v>0</v>
      </c>
      <c r="AY39" s="20">
        <f t="shared" si="9"/>
        <v>0</v>
      </c>
      <c r="AZ39" s="20">
        <f t="shared" si="10"/>
        <v>0</v>
      </c>
    </row>
    <row r="40" spans="1:52" ht="34.5" customHeight="1">
      <c r="A40" s="83">
        <v>29</v>
      </c>
      <c r="B40" s="105" t="s">
        <v>54</v>
      </c>
      <c r="C40" s="2">
        <v>-111.3</v>
      </c>
      <c r="D40" s="3">
        <v>0</v>
      </c>
      <c r="E40" s="3">
        <v>-111.3</v>
      </c>
      <c r="F40" s="28" t="e">
        <f t="shared" si="1"/>
        <v>#DIV/0!</v>
      </c>
      <c r="G40" s="3">
        <v>0</v>
      </c>
      <c r="H40" s="3">
        <v>0</v>
      </c>
      <c r="I40" s="28" t="e">
        <f t="shared" si="2"/>
        <v>#DIV/0!</v>
      </c>
      <c r="J40" s="3"/>
      <c r="K40" s="3"/>
      <c r="L40" s="94" t="e">
        <f t="shared" si="5"/>
        <v>#DIV/0!</v>
      </c>
      <c r="M40" s="3">
        <f t="shared" si="20"/>
        <v>0</v>
      </c>
      <c r="N40" s="3">
        <f t="shared" si="21"/>
        <v>-111.3</v>
      </c>
      <c r="O40" s="14" t="e">
        <f t="shared" si="3"/>
        <v>#DIV/0!</v>
      </c>
      <c r="P40" s="3"/>
      <c r="Q40" s="3"/>
      <c r="R40" s="94" t="e">
        <f t="shared" si="6"/>
        <v>#DIV/0!</v>
      </c>
      <c r="S40" s="3"/>
      <c r="T40" s="3"/>
      <c r="U40" s="14"/>
      <c r="V40" s="3"/>
      <c r="W40" s="3"/>
      <c r="X40" s="14" t="e">
        <f t="shared" si="22"/>
        <v>#DIV/0!</v>
      </c>
      <c r="Y40" s="3">
        <f t="shared" si="23"/>
        <v>0</v>
      </c>
      <c r="Z40" s="3">
        <f t="shared" si="23"/>
        <v>0</v>
      </c>
      <c r="AA40" s="14" t="e">
        <f t="shared" si="24"/>
        <v>#DIV/0!</v>
      </c>
      <c r="AB40" s="3"/>
      <c r="AC40" s="3"/>
      <c r="AD40" s="14" t="e">
        <f t="shared" si="7"/>
        <v>#DIV/0!</v>
      </c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0</v>
      </c>
      <c r="AT40" s="3">
        <f t="shared" si="25"/>
        <v>-111.3</v>
      </c>
      <c r="AU40" s="28" t="e">
        <f t="shared" si="26"/>
        <v>#DIV/0!</v>
      </c>
      <c r="AV40" s="3">
        <f t="shared" si="27"/>
        <v>111.3</v>
      </c>
      <c r="AW40" s="87">
        <f t="shared" si="28"/>
        <v>0</v>
      </c>
      <c r="AX40" s="20">
        <f t="shared" si="8"/>
        <v>0</v>
      </c>
      <c r="AY40" s="20">
        <f t="shared" si="9"/>
        <v>-111.3</v>
      </c>
      <c r="AZ40" s="20">
        <f t="shared" si="10"/>
        <v>0</v>
      </c>
    </row>
    <row r="41" spans="1:52" ht="34.5" customHeight="1">
      <c r="A41" s="83">
        <v>30</v>
      </c>
      <c r="B41" s="105" t="s">
        <v>55</v>
      </c>
      <c r="C41" s="2">
        <v>0.5</v>
      </c>
      <c r="D41" s="3">
        <v>0</v>
      </c>
      <c r="E41" s="3">
        <v>0</v>
      </c>
      <c r="F41" s="28" t="e">
        <f t="shared" si="1"/>
        <v>#DIV/0!</v>
      </c>
      <c r="G41" s="3">
        <v>0</v>
      </c>
      <c r="H41" s="3">
        <v>0.5</v>
      </c>
      <c r="I41" s="28" t="e">
        <f t="shared" si="2"/>
        <v>#DIV/0!</v>
      </c>
      <c r="J41" s="3"/>
      <c r="K41" s="3"/>
      <c r="L41" s="94" t="e">
        <f t="shared" si="5"/>
        <v>#DIV/0!</v>
      </c>
      <c r="M41" s="3">
        <f t="shared" si="20"/>
        <v>0</v>
      </c>
      <c r="N41" s="3">
        <f t="shared" si="21"/>
        <v>0.5</v>
      </c>
      <c r="O41" s="14" t="e">
        <f t="shared" si="3"/>
        <v>#DIV/0!</v>
      </c>
      <c r="P41" s="3"/>
      <c r="Q41" s="3"/>
      <c r="R41" s="94" t="e">
        <f t="shared" si="6"/>
        <v>#DIV/0!</v>
      </c>
      <c r="S41" s="3"/>
      <c r="T41" s="3"/>
      <c r="U41" s="14"/>
      <c r="V41" s="3"/>
      <c r="W41" s="3"/>
      <c r="X41" s="14" t="e">
        <f t="shared" si="22"/>
        <v>#DIV/0!</v>
      </c>
      <c r="Y41" s="3">
        <f t="shared" si="23"/>
        <v>0</v>
      </c>
      <c r="Z41" s="3">
        <f t="shared" si="23"/>
        <v>0</v>
      </c>
      <c r="AA41" s="14" t="e">
        <f t="shared" si="24"/>
        <v>#DIV/0!</v>
      </c>
      <c r="AB41" s="3"/>
      <c r="AC41" s="3"/>
      <c r="AD41" s="14" t="e">
        <f t="shared" si="7"/>
        <v>#DIV/0!</v>
      </c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14"/>
      <c r="AM41" s="3"/>
      <c r="AN41" s="3"/>
      <c r="AO41" s="3"/>
      <c r="AP41" s="3"/>
      <c r="AQ41" s="3"/>
      <c r="AR41" s="3"/>
      <c r="AS41" s="3">
        <f t="shared" si="25"/>
        <v>0</v>
      </c>
      <c r="AT41" s="3">
        <f t="shared" si="25"/>
        <v>0.5</v>
      </c>
      <c r="AU41" s="28" t="e">
        <f t="shared" si="26"/>
        <v>#DIV/0!</v>
      </c>
      <c r="AV41" s="3">
        <f t="shared" si="27"/>
        <v>-0.5</v>
      </c>
      <c r="AW41" s="87">
        <f t="shared" si="28"/>
        <v>0</v>
      </c>
      <c r="AX41" s="20">
        <f t="shared" si="8"/>
        <v>0</v>
      </c>
      <c r="AY41" s="20">
        <f t="shared" si="9"/>
        <v>0.5</v>
      </c>
      <c r="AZ41" s="20">
        <f t="shared" si="10"/>
        <v>0</v>
      </c>
    </row>
    <row r="42" spans="1:52" ht="34.5" customHeight="1">
      <c r="A42" s="83">
        <v>31</v>
      </c>
      <c r="B42" s="105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3">
        <f t="shared" si="20"/>
        <v>0</v>
      </c>
      <c r="N42" s="93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93">
        <f t="shared" si="13"/>
        <v>0</v>
      </c>
      <c r="AK42" s="93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7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"/>
        <v>#DIV/0!</v>
      </c>
      <c r="J43" s="3"/>
      <c r="K43" s="3"/>
      <c r="L43" s="94" t="e">
        <f t="shared" si="5"/>
        <v>#DIV/0!</v>
      </c>
      <c r="M43" s="3">
        <f t="shared" si="20"/>
        <v>0</v>
      </c>
      <c r="N43" s="3">
        <f t="shared" si="21"/>
        <v>0</v>
      </c>
      <c r="O43" s="14" t="e">
        <f t="shared" si="3"/>
        <v>#DIV/0!</v>
      </c>
      <c r="P43" s="3"/>
      <c r="Q43" s="3"/>
      <c r="R43" s="94" t="e">
        <f t="shared" si="6"/>
        <v>#DIV/0!</v>
      </c>
      <c r="S43" s="3"/>
      <c r="T43" s="3"/>
      <c r="U43" s="14"/>
      <c r="V43" s="3"/>
      <c r="W43" s="3"/>
      <c r="X43" s="14" t="e">
        <f t="shared" si="22"/>
        <v>#DIV/0!</v>
      </c>
      <c r="Y43" s="3">
        <f t="shared" si="23"/>
        <v>0</v>
      </c>
      <c r="Z43" s="3">
        <f t="shared" si="23"/>
        <v>0</v>
      </c>
      <c r="AA43" s="14" t="e">
        <f t="shared" si="24"/>
        <v>#DIV/0!</v>
      </c>
      <c r="AB43" s="3"/>
      <c r="AC43" s="3"/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 t="shared" si="26"/>
        <v>#DIV/0!</v>
      </c>
      <c r="AV43" s="3">
        <f t="shared" si="27"/>
        <v>0</v>
      </c>
      <c r="AW43" s="87">
        <f t="shared" si="28"/>
        <v>0</v>
      </c>
      <c r="AX43" s="20">
        <f t="shared" si="8"/>
        <v>0</v>
      </c>
      <c r="AY43" s="20">
        <f t="shared" si="9"/>
        <v>0</v>
      </c>
      <c r="AZ43" s="20">
        <f t="shared" si="10"/>
        <v>0</v>
      </c>
    </row>
    <row r="44" spans="1:52" ht="34.5" customHeight="1">
      <c r="A44" s="83">
        <v>33</v>
      </c>
      <c r="B44" s="105" t="s">
        <v>58</v>
      </c>
      <c r="C44" s="2">
        <v>0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"/>
        <v>#DIV/0!</v>
      </c>
      <c r="J44" s="3"/>
      <c r="K44" s="3"/>
      <c r="L44" s="94" t="e">
        <f t="shared" si="5"/>
        <v>#DIV/0!</v>
      </c>
      <c r="M44" s="3">
        <f t="shared" si="20"/>
        <v>0</v>
      </c>
      <c r="N44" s="3">
        <f t="shared" si="21"/>
        <v>0</v>
      </c>
      <c r="O44" s="14" t="e">
        <f t="shared" si="3"/>
        <v>#DIV/0!</v>
      </c>
      <c r="P44" s="3"/>
      <c r="Q44" s="3"/>
      <c r="R44" s="28" t="e">
        <f t="shared" si="6"/>
        <v>#DIV/0!</v>
      </c>
      <c r="S44" s="3"/>
      <c r="T44" s="3"/>
      <c r="U44" s="14"/>
      <c r="V44" s="3"/>
      <c r="W44" s="3"/>
      <c r="X44" s="14" t="e">
        <f t="shared" si="22"/>
        <v>#DIV/0!</v>
      </c>
      <c r="Y44" s="3">
        <f t="shared" si="23"/>
        <v>0</v>
      </c>
      <c r="Z44" s="3">
        <f t="shared" si="23"/>
        <v>0</v>
      </c>
      <c r="AA44" s="14" t="e">
        <f t="shared" si="24"/>
        <v>#DIV/0!</v>
      </c>
      <c r="AB44" s="3"/>
      <c r="AC44" s="3"/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 t="shared" si="26"/>
        <v>#DIV/0!</v>
      </c>
      <c r="AV44" s="3">
        <f t="shared" si="27"/>
        <v>0</v>
      </c>
      <c r="AW44" s="87">
        <f t="shared" si="28"/>
        <v>0</v>
      </c>
      <c r="AX44" s="20">
        <f t="shared" si="8"/>
        <v>0</v>
      </c>
      <c r="AY44" s="20">
        <f t="shared" si="9"/>
        <v>0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5">
        <f>C46</f>
        <v>0</v>
      </c>
      <c r="D45" s="45">
        <f>D46</f>
        <v>0</v>
      </c>
      <c r="E45" s="45">
        <f>E46</f>
        <v>0</v>
      </c>
      <c r="F45" s="94" t="e">
        <f t="shared" si="1"/>
        <v>#DIV/0!</v>
      </c>
      <c r="G45" s="45">
        <f>G46</f>
        <v>0</v>
      </c>
      <c r="H45" s="45">
        <f>H46</f>
        <v>0</v>
      </c>
      <c r="I45" s="14" t="e">
        <f t="shared" si="2"/>
        <v>#DIV/0!</v>
      </c>
      <c r="J45" s="45">
        <f>J46</f>
        <v>0</v>
      </c>
      <c r="K45" s="45">
        <f>K46</f>
        <v>0</v>
      </c>
      <c r="L45" s="94" t="e">
        <f t="shared" si="5"/>
        <v>#DIV/0!</v>
      </c>
      <c r="M45" s="45">
        <f>M46</f>
        <v>0</v>
      </c>
      <c r="N45" s="45">
        <f>N46</f>
        <v>0</v>
      </c>
      <c r="O45" s="14" t="e">
        <f t="shared" si="3"/>
        <v>#DIV/0!</v>
      </c>
      <c r="P45" s="45">
        <f>P46</f>
        <v>0</v>
      </c>
      <c r="Q45" s="45">
        <f>Q46</f>
        <v>0</v>
      </c>
      <c r="R45" s="94" t="e">
        <f t="shared" si="6"/>
        <v>#DIV/0!</v>
      </c>
      <c r="S45" s="45">
        <f>S46</f>
        <v>0</v>
      </c>
      <c r="T45" s="45">
        <f>T46</f>
        <v>0</v>
      </c>
      <c r="U45" s="14" t="e">
        <f>T45/S45*100</f>
        <v>#DIV/0!</v>
      </c>
      <c r="V45" s="45">
        <f>V46</f>
        <v>0</v>
      </c>
      <c r="W45" s="45">
        <f>W46</f>
        <v>0</v>
      </c>
      <c r="X45" s="14" t="e">
        <f t="shared" si="22"/>
        <v>#DIV/0!</v>
      </c>
      <c r="Y45" s="45">
        <f>Y46</f>
        <v>0</v>
      </c>
      <c r="Z45" s="45">
        <f>Z46</f>
        <v>0</v>
      </c>
      <c r="AA45" s="14" t="e">
        <f t="shared" si="24"/>
        <v>#DIV/0!</v>
      </c>
      <c r="AB45" s="45">
        <f>AB46</f>
        <v>0</v>
      </c>
      <c r="AC45" s="45">
        <f>AC46</f>
        <v>0</v>
      </c>
      <c r="AD45" s="14" t="e">
        <f t="shared" si="7"/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5">
        <f>AJ46</f>
        <v>0</v>
      </c>
      <c r="AK45" s="45">
        <f>AK46</f>
        <v>0</v>
      </c>
      <c r="AL45" s="14" t="e">
        <f>AK45/AJ45*100</f>
        <v>#DIV/0!</v>
      </c>
      <c r="AM45" s="45">
        <f aca="true" t="shared" si="29" ref="AM45:AT45">AM46</f>
        <v>0</v>
      </c>
      <c r="AN45" s="45">
        <f t="shared" si="29"/>
        <v>0</v>
      </c>
      <c r="AO45" s="45">
        <f t="shared" si="29"/>
        <v>0</v>
      </c>
      <c r="AP45" s="45">
        <f t="shared" si="29"/>
        <v>0</v>
      </c>
      <c r="AQ45" s="45">
        <f t="shared" si="29"/>
        <v>0</v>
      </c>
      <c r="AR45" s="45">
        <f t="shared" si="29"/>
        <v>0</v>
      </c>
      <c r="AS45" s="90">
        <f t="shared" si="29"/>
        <v>0</v>
      </c>
      <c r="AT45" s="90">
        <f t="shared" si="29"/>
        <v>0</v>
      </c>
      <c r="AU45" s="14" t="e">
        <f t="shared" si="26"/>
        <v>#DIV/0!</v>
      </c>
      <c r="AV45" s="46">
        <f>AV46+AV47</f>
        <v>0</v>
      </c>
      <c r="AW45" s="46">
        <f>AW46+AW47</f>
        <v>0</v>
      </c>
      <c r="AX45" s="20">
        <f t="shared" si="8"/>
        <v>0</v>
      </c>
      <c r="AY45" s="20">
        <f t="shared" si="9"/>
        <v>0</v>
      </c>
      <c r="AZ45" s="20">
        <f t="shared" si="10"/>
        <v>0</v>
      </c>
    </row>
    <row r="46" spans="1:52" s="8" customFormat="1" ht="34.5" customHeight="1">
      <c r="A46" s="16"/>
      <c r="B46" s="1" t="s">
        <v>64</v>
      </c>
      <c r="C46" s="2">
        <v>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"/>
        <v>#DIV/0!</v>
      </c>
      <c r="J46" s="3"/>
      <c r="K46" s="3"/>
      <c r="L46" s="94" t="e">
        <f t="shared" si="5"/>
        <v>#DIV/0!</v>
      </c>
      <c r="M46" s="3">
        <f>D46+G46+J46</f>
        <v>0</v>
      </c>
      <c r="N46" s="3">
        <f>E46+H46+K46</f>
        <v>0</v>
      </c>
      <c r="O46" s="14" t="e">
        <f t="shared" si="3"/>
        <v>#DIV/0!</v>
      </c>
      <c r="P46" s="3"/>
      <c r="Q46" s="3"/>
      <c r="R46" s="94" t="e">
        <f t="shared" si="6"/>
        <v>#DIV/0!</v>
      </c>
      <c r="S46" s="3"/>
      <c r="T46" s="3"/>
      <c r="U46" s="14"/>
      <c r="V46" s="3"/>
      <c r="W46" s="3"/>
      <c r="X46" s="14" t="e">
        <f t="shared" si="22"/>
        <v>#DIV/0!</v>
      </c>
      <c r="Y46" s="3">
        <f>P46+S46+V46</f>
        <v>0</v>
      </c>
      <c r="Z46" s="3">
        <f>Q46+T46+W46</f>
        <v>0</v>
      </c>
      <c r="AA46" s="14" t="e">
        <f t="shared" si="24"/>
        <v>#DIV/0!</v>
      </c>
      <c r="AB46" s="3"/>
      <c r="AC46" s="3"/>
      <c r="AD46" s="14" t="e">
        <f t="shared" si="7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>M46+Y46+AJ46+AM46+AO46+AQ46</f>
        <v>0</v>
      </c>
      <c r="AT46" s="3">
        <f>N46+Z46+AK46+AN46+AP46+AR46</f>
        <v>0</v>
      </c>
      <c r="AU46" s="28" t="e">
        <f t="shared" si="26"/>
        <v>#DIV/0!</v>
      </c>
      <c r="AV46" s="3">
        <f>AS46-AT46</f>
        <v>0</v>
      </c>
      <c r="AW46" s="87">
        <f>C46+AS46-AT46</f>
        <v>0</v>
      </c>
      <c r="AX46" s="20">
        <f t="shared" si="8"/>
        <v>0</v>
      </c>
      <c r="AY46" s="20">
        <f t="shared" si="9"/>
        <v>0</v>
      </c>
      <c r="AZ46" s="20">
        <f t="shared" si="10"/>
        <v>0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93">
        <f>D47+G47+J47</f>
        <v>0</v>
      </c>
      <c r="N47" s="93">
        <f>E47+H47+K47</f>
        <v>0</v>
      </c>
      <c r="O47" s="28" t="e">
        <f t="shared" si="3"/>
        <v>#DIV/0!</v>
      </c>
      <c r="P47" s="93"/>
      <c r="Q47" s="21"/>
      <c r="R47" s="28" t="e">
        <f t="shared" si="6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87"/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" t="s">
        <v>101</v>
      </c>
      <c r="C48" s="2"/>
      <c r="D48" s="21"/>
      <c r="E48" s="21"/>
      <c r="F48" s="14"/>
      <c r="G48" s="21"/>
      <c r="H48" s="21"/>
      <c r="I48" s="28"/>
      <c r="J48" s="21"/>
      <c r="K48" s="21"/>
      <c r="L48" s="28"/>
      <c r="M48" s="93"/>
      <c r="N48" s="93"/>
      <c r="O48" s="28"/>
      <c r="P48" s="93"/>
      <c r="Q48" s="21"/>
      <c r="R48" s="28"/>
      <c r="S48" s="21"/>
      <c r="T48" s="21"/>
      <c r="U48" s="36"/>
      <c r="V48" s="21"/>
      <c r="W48" s="21"/>
      <c r="X48" s="36"/>
      <c r="Y48" s="36"/>
      <c r="Z48" s="36"/>
      <c r="AA48" s="14"/>
      <c r="AB48" s="21"/>
      <c r="AC48" s="21"/>
      <c r="AD48" s="28"/>
      <c r="AE48" s="21"/>
      <c r="AF48" s="21"/>
      <c r="AG48" s="36"/>
      <c r="AH48" s="21"/>
      <c r="AI48" s="21"/>
      <c r="AJ48" s="36"/>
      <c r="AK48" s="36"/>
      <c r="AL48" s="14"/>
      <c r="AM48" s="21"/>
      <c r="AN48" s="21"/>
      <c r="AO48" s="21"/>
      <c r="AP48" s="21"/>
      <c r="AQ48" s="21"/>
      <c r="AR48" s="21"/>
      <c r="AS48" s="21"/>
      <c r="AT48" s="21"/>
      <c r="AU48" s="14"/>
      <c r="AV48" s="21"/>
      <c r="AW48" s="87"/>
      <c r="AX48" s="20"/>
      <c r="AY48" s="20"/>
      <c r="AZ48" s="20"/>
    </row>
    <row r="49" spans="1:52" s="8" customFormat="1" ht="34.5" customHeight="1">
      <c r="A49" s="16"/>
      <c r="B49" s="16" t="s">
        <v>60</v>
      </c>
      <c r="C49" s="45">
        <f>C7+C45</f>
        <v>-232.5</v>
      </c>
      <c r="D49" s="45">
        <f>D7+D45</f>
        <v>743.5</v>
      </c>
      <c r="E49" s="45">
        <f>E7+E45</f>
        <v>626.9000000000001</v>
      </c>
      <c r="F49" s="94">
        <f t="shared" si="1"/>
        <v>84.31741761936786</v>
      </c>
      <c r="G49" s="45">
        <f>G7+G45</f>
        <v>683</v>
      </c>
      <c r="H49" s="45">
        <f>H7+H45</f>
        <v>683.5</v>
      </c>
      <c r="I49" s="14">
        <f t="shared" si="2"/>
        <v>100.0732064421669</v>
      </c>
      <c r="J49" s="45">
        <f>J7+J45</f>
        <v>0</v>
      </c>
      <c r="K49" s="45">
        <f>K7+K45</f>
        <v>0</v>
      </c>
      <c r="L49" s="94" t="e">
        <f t="shared" si="5"/>
        <v>#DIV/0!</v>
      </c>
      <c r="M49" s="45">
        <f>M7+M45</f>
        <v>1426.5</v>
      </c>
      <c r="N49" s="45">
        <f>N7+N45</f>
        <v>1310.4</v>
      </c>
      <c r="O49" s="14">
        <f t="shared" si="3"/>
        <v>91.86119873817036</v>
      </c>
      <c r="P49" s="45">
        <f>P7+P45</f>
        <v>0</v>
      </c>
      <c r="Q49" s="45">
        <f>Q7+Q45</f>
        <v>0</v>
      </c>
      <c r="R49" s="94" t="e">
        <f t="shared" si="6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14" t="e">
        <f>Z49/Y49*100</f>
        <v>#DIV/0!</v>
      </c>
      <c r="AB49" s="45">
        <f>AB7+AB45</f>
        <v>0</v>
      </c>
      <c r="AC49" s="45">
        <f>AC7+AC45</f>
        <v>0</v>
      </c>
      <c r="AD49" s="14" t="e">
        <f t="shared" si="7"/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0" ref="AM49:AT49">AM7+AM45</f>
        <v>0</v>
      </c>
      <c r="AN49" s="45">
        <f t="shared" si="30"/>
        <v>0</v>
      </c>
      <c r="AO49" s="45">
        <f t="shared" si="30"/>
        <v>0</v>
      </c>
      <c r="AP49" s="45">
        <f t="shared" si="30"/>
        <v>0</v>
      </c>
      <c r="AQ49" s="45">
        <f t="shared" si="30"/>
        <v>0</v>
      </c>
      <c r="AR49" s="45">
        <f t="shared" si="30"/>
        <v>0</v>
      </c>
      <c r="AS49" s="45">
        <f t="shared" si="30"/>
        <v>1426.5</v>
      </c>
      <c r="AT49" s="45">
        <f t="shared" si="30"/>
        <v>1310.4</v>
      </c>
      <c r="AU49" s="14">
        <f t="shared" si="26"/>
        <v>91.86119873817036</v>
      </c>
      <c r="AV49" s="45">
        <f>AV7+AV45</f>
        <v>116.1</v>
      </c>
      <c r="AW49" s="45">
        <f>AW7+AW45</f>
        <v>-116.4</v>
      </c>
      <c r="AX49" s="20">
        <f t="shared" si="8"/>
        <v>1426.5</v>
      </c>
      <c r="AY49" s="20">
        <f t="shared" si="9"/>
        <v>1310.4</v>
      </c>
      <c r="AZ49" s="20">
        <f t="shared" si="10"/>
        <v>-116.40000000000009</v>
      </c>
    </row>
    <row r="50" spans="1:49" s="8" customFormat="1" ht="24.75" customHeight="1" hidden="1">
      <c r="A50" s="72"/>
      <c r="B50" s="72"/>
      <c r="C50" s="73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4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8"/>
    </row>
    <row r="51" spans="1:49" s="8" customFormat="1" ht="18.75" customHeight="1" hidden="1">
      <c r="A51" s="16"/>
      <c r="B51" s="8" t="s">
        <v>11</v>
      </c>
      <c r="C51" s="73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4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8"/>
    </row>
    <row r="52" spans="1:49" s="8" customFormat="1" ht="6.75" customHeight="1" hidden="1">
      <c r="A52" s="72"/>
      <c r="C52" s="73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4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8"/>
    </row>
    <row r="53" spans="1:49" s="8" customFormat="1" ht="18.75" customHeight="1" hidden="1">
      <c r="A53" s="16"/>
      <c r="B53" s="8" t="s">
        <v>12</v>
      </c>
      <c r="C53" s="73"/>
      <c r="D53" s="17"/>
      <c r="E53" s="17"/>
      <c r="F53" s="17"/>
      <c r="G53" s="17"/>
      <c r="H53" s="17"/>
      <c r="I53" s="14" t="e">
        <f t="shared" si="2"/>
        <v>#DIV/0!</v>
      </c>
      <c r="J53" s="17"/>
      <c r="K53" s="17"/>
      <c r="L53" s="94" t="e">
        <f t="shared" si="5"/>
        <v>#DIV/0!</v>
      </c>
      <c r="M53" s="17"/>
      <c r="N53" s="17"/>
      <c r="O53" s="14" t="e">
        <f t="shared" si="3"/>
        <v>#DIV/0!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 t="e">
        <f>Z53/Y53*100</f>
        <v>#DIV/0!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4" t="e">
        <f>AK53/AJ53*100</f>
        <v>#DIV/0!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88"/>
    </row>
    <row r="54" spans="1:49" s="116" customFormat="1" ht="61.5" customHeight="1">
      <c r="A54" s="239" t="s">
        <v>66</v>
      </c>
      <c r="B54" s="239"/>
      <c r="C54" s="239"/>
      <c r="D54" s="122"/>
      <c r="E54" s="122"/>
      <c r="F54" s="123"/>
      <c r="G54" s="122"/>
      <c r="H54" s="122"/>
      <c r="I54" s="123"/>
      <c r="J54" s="122"/>
      <c r="K54" s="122"/>
      <c r="L54" s="123"/>
      <c r="M54" s="123"/>
      <c r="N54" s="123"/>
      <c r="O54" s="33"/>
      <c r="P54" s="122"/>
      <c r="Q54" s="122"/>
      <c r="R54" s="123"/>
      <c r="S54" s="122"/>
      <c r="T54" s="122"/>
      <c r="U54" s="123"/>
      <c r="V54" s="123"/>
      <c r="W54" s="123"/>
      <c r="X54" s="123"/>
      <c r="Y54" s="123"/>
      <c r="Z54" s="123"/>
      <c r="AA54" s="3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33"/>
      <c r="AM54" s="123"/>
      <c r="AN54" s="123"/>
      <c r="AO54" s="123"/>
      <c r="AP54" s="123"/>
      <c r="AQ54" s="123"/>
      <c r="AR54" s="123"/>
      <c r="AS54" s="122"/>
      <c r="AT54" s="122"/>
      <c r="AU54" s="123"/>
      <c r="AV54" s="122"/>
      <c r="AW54" s="118" t="s">
        <v>67</v>
      </c>
    </row>
    <row r="55" spans="1:54" ht="73.5" customHeight="1" hidden="1">
      <c r="A55" s="249" t="s">
        <v>17</v>
      </c>
      <c r="B55" s="249"/>
      <c r="C55" s="249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54" t="s">
        <v>16</v>
      </c>
      <c r="AX55" s="31"/>
      <c r="AY55" s="31"/>
      <c r="AZ55" s="31"/>
      <c r="BA55" s="52"/>
      <c r="BB55" s="54" t="s">
        <v>16</v>
      </c>
    </row>
    <row r="56" spans="1:49" s="61" customFormat="1" ht="42.75" customHeight="1">
      <c r="A56" s="56"/>
      <c r="B56" s="243" t="s">
        <v>19</v>
      </c>
      <c r="C56" s="243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9"/>
      <c r="AT56" s="59"/>
      <c r="AU56" s="58"/>
      <c r="AV56" s="59"/>
      <c r="AW56" s="60" t="s">
        <v>18</v>
      </c>
    </row>
    <row r="57" spans="3:49" ht="40.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89"/>
    </row>
    <row r="58" spans="3:49" ht="40.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3"/>
      <c r="AW58" s="89"/>
    </row>
    <row r="59" spans="2:49" ht="19.5" customHeight="1">
      <c r="B59" s="5" t="s">
        <v>7</v>
      </c>
      <c r="C59" s="70">
        <v>41.3</v>
      </c>
      <c r="D59" s="3">
        <v>94.8</v>
      </c>
      <c r="E59" s="3">
        <v>128.8</v>
      </c>
      <c r="F59" s="14"/>
      <c r="G59" s="3">
        <v>32.5</v>
      </c>
      <c r="H59" s="3">
        <v>0</v>
      </c>
      <c r="I59" s="14"/>
      <c r="J59" s="3">
        <v>32.5</v>
      </c>
      <c r="K59" s="3">
        <v>0</v>
      </c>
      <c r="L59" s="14"/>
      <c r="M59" s="14"/>
      <c r="N59" s="14"/>
      <c r="O59" s="14"/>
      <c r="P59" s="3">
        <v>32.5</v>
      </c>
      <c r="Q59" s="3">
        <v>0</v>
      </c>
      <c r="R59" s="14"/>
      <c r="S59" s="3">
        <v>32.5</v>
      </c>
      <c r="T59" s="3">
        <v>0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2"/>
      <c r="AF59" s="62"/>
      <c r="AG59" s="62"/>
      <c r="AH59" s="62"/>
      <c r="AI59" s="62"/>
      <c r="AJ59" s="14"/>
      <c r="AK59" s="14"/>
      <c r="AL59" s="14"/>
      <c r="AM59" s="62"/>
      <c r="AN59" s="62"/>
      <c r="AO59" s="62"/>
      <c r="AP59" s="62"/>
      <c r="AQ59" s="62"/>
      <c r="AR59" s="62"/>
      <c r="AS59" s="3"/>
      <c r="AT59" s="3"/>
      <c r="AU59" s="14"/>
      <c r="AV59" s="27"/>
      <c r="AW59" s="87">
        <f>C59+D59-E59</f>
        <v>7.299999999999983</v>
      </c>
    </row>
    <row r="60" spans="2:49" ht="18.75">
      <c r="B60" s="5" t="s">
        <v>8</v>
      </c>
      <c r="C60" s="63">
        <v>60</v>
      </c>
      <c r="D60" s="31">
        <v>196.2</v>
      </c>
      <c r="E60" s="31">
        <v>238.1</v>
      </c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87">
        <f>C60+D60-E60</f>
        <v>18.099999999999994</v>
      </c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89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89"/>
    </row>
    <row r="63" spans="3:49" ht="18.75">
      <c r="C63" s="63"/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89"/>
    </row>
    <row r="64" spans="2:49" ht="18.75">
      <c r="B64" s="5" t="s">
        <v>9</v>
      </c>
      <c r="C64" s="63">
        <f>C9+C17+C20+C26+C38+C40+C42</f>
        <v>-111.3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89">
        <f>AW9+AW17+AW20+AW26+AW38+AW40+AW42</f>
        <v>0</v>
      </c>
    </row>
    <row r="65" spans="2:49" ht="18.75">
      <c r="B65" s="5" t="s">
        <v>10</v>
      </c>
      <c r="C65" s="63">
        <f>C11+C13+C14+C16+C18+C19+C25</f>
        <v>0</v>
      </c>
      <c r="D65" s="31"/>
      <c r="E65" s="31"/>
      <c r="F65" s="52"/>
      <c r="G65" s="31"/>
      <c r="H65" s="31"/>
      <c r="I65" s="52"/>
      <c r="J65" s="31"/>
      <c r="K65" s="31"/>
      <c r="L65" s="52"/>
      <c r="M65" s="52"/>
      <c r="N65" s="52"/>
      <c r="O65" s="52"/>
      <c r="P65" s="31"/>
      <c r="Q65" s="31"/>
      <c r="R65" s="52"/>
      <c r="S65" s="31"/>
      <c r="T65" s="31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62"/>
      <c r="AF65" s="62"/>
      <c r="AG65" s="62"/>
      <c r="AH65" s="62"/>
      <c r="AI65" s="62"/>
      <c r="AJ65" s="52"/>
      <c r="AK65" s="52"/>
      <c r="AL65" s="52"/>
      <c r="AM65" s="62"/>
      <c r="AN65" s="62"/>
      <c r="AO65" s="62"/>
      <c r="AP65" s="62"/>
      <c r="AQ65" s="62"/>
      <c r="AR65" s="62"/>
      <c r="AS65" s="31"/>
      <c r="AT65" s="31"/>
      <c r="AU65" s="52"/>
      <c r="AV65" s="27"/>
      <c r="AW65" s="89">
        <f>AW11+AW13+AW14+AW16+AW18+AW19+AW25</f>
        <v>0</v>
      </c>
    </row>
    <row r="66" spans="3:49" ht="18.75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89"/>
    </row>
    <row r="67" spans="3:49" ht="18.75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89"/>
    </row>
    <row r="68" spans="3:49" ht="18.75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89"/>
    </row>
    <row r="69" spans="3:49" ht="18.75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89"/>
    </row>
    <row r="70" spans="3:49" ht="18.75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89"/>
    </row>
    <row r="71" spans="3:49" ht="18.75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89"/>
    </row>
    <row r="72" spans="3:49" ht="18.75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89"/>
    </row>
    <row r="73" spans="3:49" ht="18.75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89"/>
    </row>
    <row r="74" spans="3:49" ht="18.75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89"/>
    </row>
    <row r="75" spans="3:49" ht="18.75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89"/>
    </row>
    <row r="76" spans="3:49" ht="18.75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89"/>
    </row>
    <row r="77" spans="3:49" ht="18.75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89"/>
    </row>
    <row r="78" spans="3:49" ht="18.75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89"/>
    </row>
    <row r="79" spans="3:49" ht="18.75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89"/>
    </row>
    <row r="80" spans="3:49" ht="18.75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89"/>
    </row>
    <row r="81" spans="3:49" ht="18.75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89"/>
    </row>
    <row r="82" spans="3:49" ht="18.75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89"/>
    </row>
    <row r="83" spans="3:49" ht="18.75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89"/>
    </row>
    <row r="84" spans="3:49" ht="18.75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89"/>
    </row>
    <row r="85" spans="3:49" ht="18.75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89"/>
    </row>
    <row r="86" spans="3:49" ht="18.75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89"/>
    </row>
    <row r="87" spans="3:49" ht="18.75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89"/>
    </row>
    <row r="88" spans="3:49" ht="18.75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89"/>
    </row>
    <row r="89" spans="3:49" ht="18.75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89"/>
    </row>
    <row r="90" spans="3:49" ht="18.75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89"/>
    </row>
    <row r="91" spans="3:49" ht="18.75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89"/>
    </row>
    <row r="92" spans="3:49" ht="18.75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89"/>
    </row>
    <row r="93" spans="3:49" ht="18.75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89"/>
    </row>
    <row r="94" spans="3:49" ht="18.75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89"/>
    </row>
    <row r="95" spans="3:49" ht="18.75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89"/>
    </row>
    <row r="96" spans="3:49" ht="18.75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89"/>
    </row>
    <row r="97" spans="3:49" ht="18.75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89"/>
    </row>
    <row r="98" spans="3:49" ht="18.75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89"/>
    </row>
    <row r="99" spans="3:49" ht="18.75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89"/>
    </row>
    <row r="100" spans="3:49" ht="18.75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89"/>
    </row>
    <row r="101" spans="3:49" ht="18.75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89"/>
    </row>
    <row r="102" spans="3:49" ht="18.75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89"/>
    </row>
    <row r="103" spans="3:49" ht="18.75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89"/>
    </row>
    <row r="104" spans="3:49" ht="18.75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89"/>
    </row>
    <row r="105" spans="3:49" ht="18.75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89"/>
    </row>
    <row r="106" spans="3:49" ht="18.75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J106" s="62"/>
      <c r="AK106" s="62"/>
      <c r="AL106" s="62"/>
      <c r="AS106" s="27"/>
      <c r="AT106" s="27"/>
      <c r="AU106" s="62"/>
      <c r="AW106" s="89"/>
    </row>
  </sheetData>
  <sheetProtection/>
  <mergeCells count="24">
    <mergeCell ref="B4:C4"/>
    <mergeCell ref="AV5:AV6"/>
    <mergeCell ref="P5:R5"/>
    <mergeCell ref="V5:X5"/>
    <mergeCell ref="M5:O5"/>
    <mergeCell ref="AB5:AD5"/>
    <mergeCell ref="AS5:AU5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A55:C55"/>
    <mergeCell ref="J5:L5"/>
    <mergeCell ref="B56:C56"/>
    <mergeCell ref="D5:F5"/>
    <mergeCell ref="G5:I5"/>
    <mergeCell ref="S5:U5"/>
    <mergeCell ref="A54:C54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AT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B5" sqref="BB5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3.253906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42" t="s">
        <v>97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</row>
    <row r="3" spans="1:49" s="30" customFormat="1" ht="60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</row>
    <row r="4" spans="2:49" ht="34.5" customHeight="1">
      <c r="B4" s="238"/>
      <c r="C4" s="238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35" t="s">
        <v>68</v>
      </c>
      <c r="E5" s="236"/>
      <c r="F5" s="237"/>
      <c r="G5" s="232" t="s">
        <v>70</v>
      </c>
      <c r="H5" s="233"/>
      <c r="I5" s="234"/>
      <c r="J5" s="245" t="s">
        <v>71</v>
      </c>
      <c r="K5" s="246"/>
      <c r="L5" s="247"/>
      <c r="M5" s="232" t="s">
        <v>73</v>
      </c>
      <c r="N5" s="233"/>
      <c r="O5" s="234"/>
      <c r="P5" s="232" t="s">
        <v>72</v>
      </c>
      <c r="Q5" s="233"/>
      <c r="R5" s="234"/>
      <c r="S5" s="245" t="s">
        <v>75</v>
      </c>
      <c r="T5" s="246"/>
      <c r="U5" s="247"/>
      <c r="V5" s="245" t="s">
        <v>76</v>
      </c>
      <c r="W5" s="246"/>
      <c r="X5" s="247"/>
      <c r="Y5" s="232" t="s">
        <v>77</v>
      </c>
      <c r="Z5" s="233"/>
      <c r="AA5" s="234"/>
      <c r="AB5" s="232" t="s">
        <v>78</v>
      </c>
      <c r="AC5" s="233"/>
      <c r="AD5" s="234"/>
      <c r="AE5" s="232" t="s">
        <v>79</v>
      </c>
      <c r="AF5" s="233"/>
      <c r="AG5" s="234"/>
      <c r="AH5" s="232" t="s">
        <v>80</v>
      </c>
      <c r="AI5" s="234"/>
      <c r="AJ5" s="232" t="s">
        <v>81</v>
      </c>
      <c r="AK5" s="233"/>
      <c r="AL5" s="234"/>
      <c r="AM5" s="232" t="s">
        <v>82</v>
      </c>
      <c r="AN5" s="234"/>
      <c r="AO5" s="232" t="s">
        <v>83</v>
      </c>
      <c r="AP5" s="234"/>
      <c r="AQ5" s="232" t="s">
        <v>84</v>
      </c>
      <c r="AR5" s="234"/>
      <c r="AS5" s="235" t="s">
        <v>87</v>
      </c>
      <c r="AT5" s="236"/>
      <c r="AU5" s="237"/>
      <c r="AV5" s="240" t="s">
        <v>91</v>
      </c>
      <c r="AW5" s="240" t="s">
        <v>92</v>
      </c>
    </row>
    <row r="6" spans="1:49" ht="65.2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41"/>
      <c r="AW6" s="241"/>
    </row>
    <row r="7" spans="1:52" s="110" customFormat="1" ht="34.5" customHeight="1">
      <c r="A7" s="107"/>
      <c r="B7" s="108" t="s">
        <v>62</v>
      </c>
      <c r="C7" s="94">
        <f aca="true" t="shared" si="0" ref="C7:AR7">SUM(C8:C44)-C33-C34-C35-C36</f>
        <v>-4030.9</v>
      </c>
      <c r="D7" s="94">
        <f t="shared" si="0"/>
        <v>7745.699999999998</v>
      </c>
      <c r="E7" s="94">
        <f t="shared" si="0"/>
        <v>41.800000000000004</v>
      </c>
      <c r="F7" s="94">
        <f aca="true" t="shared" si="1" ref="F7:F21">E7/D7*100</f>
        <v>0.5396542597828475</v>
      </c>
      <c r="G7" s="94">
        <f t="shared" si="0"/>
        <v>8073.299999999999</v>
      </c>
      <c r="H7" s="94">
        <f t="shared" si="0"/>
        <v>3091.5</v>
      </c>
      <c r="I7" s="94">
        <f aca="true" t="shared" si="2" ref="I7:I49">H7/G7*100</f>
        <v>38.29289138270596</v>
      </c>
      <c r="J7" s="94">
        <f t="shared" si="0"/>
        <v>0</v>
      </c>
      <c r="K7" s="94">
        <f t="shared" si="0"/>
        <v>0</v>
      </c>
      <c r="L7" s="94" t="e">
        <f>K7/J7*100</f>
        <v>#DIV/0!</v>
      </c>
      <c r="M7" s="94">
        <f t="shared" si="0"/>
        <v>15819</v>
      </c>
      <c r="N7" s="94">
        <f t="shared" si="0"/>
        <v>3133.2999999999993</v>
      </c>
      <c r="O7" s="94">
        <f>N7/M7*100</f>
        <v>19.80719388077628</v>
      </c>
      <c r="P7" s="94">
        <f t="shared" si="0"/>
        <v>0</v>
      </c>
      <c r="Q7" s="94">
        <f t="shared" si="0"/>
        <v>0</v>
      </c>
      <c r="R7" s="94" t="e">
        <f aca="true" t="shared" si="3" ref="R7:R49">Q7/P7*100</f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94" t="e">
        <f>Z7/Y7*100</f>
        <v>#DIV/0!</v>
      </c>
      <c r="AB7" s="94">
        <f t="shared" si="0"/>
        <v>0</v>
      </c>
      <c r="AC7" s="94">
        <f t="shared" si="0"/>
        <v>0</v>
      </c>
      <c r="AD7" s="9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15819</v>
      </c>
      <c r="AT7" s="94">
        <f>SUM(AT8:AT44)-AT33-AT34-AT35-AT36</f>
        <v>3133.2999999999993</v>
      </c>
      <c r="AU7" s="94">
        <f>AT7/AS7*100</f>
        <v>19.80719388077628</v>
      </c>
      <c r="AV7" s="94">
        <f>SUM(AV8:AV44)-AV33-AV34-AV35-AV36</f>
        <v>12685.7</v>
      </c>
      <c r="AW7" s="94">
        <f>SUM(AW8:AW44)-AW33-AW34-AW35-AW36</f>
        <v>8654.799999999997</v>
      </c>
      <c r="AX7" s="20">
        <f>M7+Y7+AJ7+AM7+AO7+AQ7</f>
        <v>15819</v>
      </c>
      <c r="AY7" s="20">
        <f>N7+Z7+AK7+AN7+AP7+AR7</f>
        <v>3133.2999999999993</v>
      </c>
      <c r="AZ7" s="20">
        <f>C7+AX7-AY7</f>
        <v>8654.800000000001</v>
      </c>
    </row>
    <row r="8" spans="1:52" s="40" customFormat="1" ht="34.5" customHeight="1">
      <c r="A8" s="6">
        <v>1</v>
      </c>
      <c r="B8" s="1" t="s">
        <v>27</v>
      </c>
      <c r="C8" s="2">
        <v>-260.8</v>
      </c>
      <c r="D8" s="3">
        <v>338.8</v>
      </c>
      <c r="E8" s="3">
        <v>9</v>
      </c>
      <c r="F8" s="14">
        <f t="shared" si="1"/>
        <v>2.656434474616293</v>
      </c>
      <c r="G8" s="3">
        <v>297.9</v>
      </c>
      <c r="H8" s="3">
        <v>222.3</v>
      </c>
      <c r="I8" s="94">
        <f t="shared" si="2"/>
        <v>74.6223564954683</v>
      </c>
      <c r="J8" s="3"/>
      <c r="K8" s="3"/>
      <c r="L8" s="94" t="e">
        <f aca="true" t="shared" si="4" ref="L8:L49">K8/J8*100</f>
        <v>#DIV/0!</v>
      </c>
      <c r="M8" s="3">
        <f>D8+G8+J8</f>
        <v>636.7</v>
      </c>
      <c r="N8" s="3">
        <f>E8+H8+K8</f>
        <v>231.3</v>
      </c>
      <c r="O8" s="94">
        <f aca="true" t="shared" si="5" ref="O8:O49">N8/M8*100</f>
        <v>36.32794094550024</v>
      </c>
      <c r="P8" s="3"/>
      <c r="Q8" s="3"/>
      <c r="R8" s="94" t="e">
        <f t="shared" si="3"/>
        <v>#DIV/0!</v>
      </c>
      <c r="S8" s="3"/>
      <c r="T8" s="3"/>
      <c r="U8" s="14"/>
      <c r="V8" s="3"/>
      <c r="W8" s="3"/>
      <c r="X8" s="14"/>
      <c r="Y8" s="45">
        <f>P8+S8+V8</f>
        <v>0</v>
      </c>
      <c r="Z8" s="45">
        <f>Q8+T8+W8</f>
        <v>0</v>
      </c>
      <c r="AA8" s="94" t="e">
        <f aca="true" t="shared" si="6" ref="AA8:AA49">Z8/Y8*100</f>
        <v>#DIV/0!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636.7</v>
      </c>
      <c r="AT8" s="3">
        <f>N8+Z8+AK8+AN8+AP8+AR8</f>
        <v>231.3</v>
      </c>
      <c r="AU8" s="14">
        <f>AT8/AS8*100</f>
        <v>36.32794094550024</v>
      </c>
      <c r="AV8" s="14">
        <f>AS8-AT8</f>
        <v>405.40000000000003</v>
      </c>
      <c r="AW8" s="4">
        <f>C8+AS8-AT8</f>
        <v>144.60000000000002</v>
      </c>
      <c r="AX8" s="20">
        <f aca="true" t="shared" si="7" ref="AX8:AX48">M8+Y8+AJ8+AM8+AO8+AQ8</f>
        <v>636.7</v>
      </c>
      <c r="AY8" s="20">
        <f aca="true" t="shared" si="8" ref="AY8:AY48">N8+Z8+AK8+AN8+AP8+AR8</f>
        <v>231.3</v>
      </c>
      <c r="AZ8" s="20">
        <f aca="true" t="shared" si="9" ref="AZ8:AZ48">C8+AX8-AY8</f>
        <v>144.60000000000002</v>
      </c>
    </row>
    <row r="9" spans="1:52" s="40" customFormat="1" ht="34.5" customHeight="1">
      <c r="A9" s="6">
        <v>2</v>
      </c>
      <c r="B9" s="32" t="s">
        <v>28</v>
      </c>
      <c r="C9" s="2">
        <v>-472.8</v>
      </c>
      <c r="D9" s="3">
        <v>354.8</v>
      </c>
      <c r="E9" s="3">
        <v>0</v>
      </c>
      <c r="F9" s="14">
        <f t="shared" si="1"/>
        <v>0</v>
      </c>
      <c r="G9" s="3">
        <v>333.8</v>
      </c>
      <c r="H9" s="3">
        <v>1.5</v>
      </c>
      <c r="I9" s="94">
        <f t="shared" si="2"/>
        <v>0.4493708807669263</v>
      </c>
      <c r="J9" s="3"/>
      <c r="K9" s="3"/>
      <c r="L9" s="94" t="e">
        <f t="shared" si="4"/>
        <v>#DIV/0!</v>
      </c>
      <c r="M9" s="3">
        <f aca="true" t="shared" si="10" ref="M9:M31">D9+G9+J9</f>
        <v>688.6</v>
      </c>
      <c r="N9" s="3">
        <f aca="true" t="shared" si="11" ref="N9:N31">E9+H9+K9</f>
        <v>1.5</v>
      </c>
      <c r="O9" s="94">
        <f t="shared" si="5"/>
        <v>0.21783328492593668</v>
      </c>
      <c r="P9" s="3"/>
      <c r="Q9" s="3"/>
      <c r="R9" s="94" t="e">
        <f t="shared" si="3"/>
        <v>#DIV/0!</v>
      </c>
      <c r="S9" s="3"/>
      <c r="T9" s="3"/>
      <c r="U9" s="14"/>
      <c r="V9" s="3"/>
      <c r="W9" s="3"/>
      <c r="X9" s="14"/>
      <c r="Y9" s="45">
        <f aca="true" t="shared" si="12" ref="Y9:Y44">P9+S9+V9</f>
        <v>0</v>
      </c>
      <c r="Z9" s="45">
        <f aca="true" t="shared" si="13" ref="Z9:Z44">Q9+T9+W9</f>
        <v>0</v>
      </c>
      <c r="AA9" s="94" t="e">
        <f t="shared" si="6"/>
        <v>#DIV/0!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688.6</v>
      </c>
      <c r="AT9" s="3">
        <f aca="true" t="shared" si="17" ref="AT9:AT44">N9+Z9+AK9+AN9+AP9+AR9</f>
        <v>1.5</v>
      </c>
      <c r="AU9" s="14">
        <f>AT9/AS9*100</f>
        <v>0.21783328492593668</v>
      </c>
      <c r="AV9" s="14">
        <f aca="true" t="shared" si="18" ref="AV9:AV44">AS9-AT9</f>
        <v>687.1</v>
      </c>
      <c r="AW9" s="4">
        <f aca="true" t="shared" si="19" ref="AW9:AW44">C9+AS9-AT9</f>
        <v>214.3</v>
      </c>
      <c r="AX9" s="20">
        <f t="shared" si="7"/>
        <v>688.6</v>
      </c>
      <c r="AY9" s="20">
        <f t="shared" si="8"/>
        <v>1.5</v>
      </c>
      <c r="AZ9" s="20">
        <f t="shared" si="9"/>
        <v>214.3</v>
      </c>
    </row>
    <row r="10" spans="1:52" s="40" customFormat="1" ht="34.5" customHeight="1">
      <c r="A10" s="6">
        <v>3</v>
      </c>
      <c r="B10" s="15" t="s">
        <v>29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3">
        <f t="shared" si="10"/>
        <v>0</v>
      </c>
      <c r="N10" s="93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3"/>
      <c r="T10" s="93"/>
      <c r="U10" s="28"/>
      <c r="V10" s="93"/>
      <c r="W10" s="93"/>
      <c r="X10" s="28"/>
      <c r="Y10" s="99">
        <f t="shared" si="12"/>
        <v>0</v>
      </c>
      <c r="Z10" s="99">
        <f t="shared" si="13"/>
        <v>0</v>
      </c>
      <c r="AA10" s="94"/>
      <c r="AB10" s="93"/>
      <c r="AC10" s="93"/>
      <c r="AD10" s="28"/>
      <c r="AE10" s="93"/>
      <c r="AF10" s="93"/>
      <c r="AG10" s="28"/>
      <c r="AH10" s="93"/>
      <c r="AI10" s="93"/>
      <c r="AJ10" s="93"/>
      <c r="AK10" s="93"/>
      <c r="AL10" s="28"/>
      <c r="AM10" s="93"/>
      <c r="AN10" s="93"/>
      <c r="AO10" s="93"/>
      <c r="AP10" s="93"/>
      <c r="AQ10" s="93"/>
      <c r="AR10" s="93"/>
      <c r="AS10" s="93">
        <f t="shared" si="16"/>
        <v>0</v>
      </c>
      <c r="AT10" s="93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30</v>
      </c>
      <c r="C11" s="2">
        <f>-57.3+(-87)</f>
        <v>-144.3</v>
      </c>
      <c r="D11" s="3">
        <f>68.3+145</f>
        <v>213.3</v>
      </c>
      <c r="E11" s="3">
        <v>0</v>
      </c>
      <c r="F11" s="14">
        <f t="shared" si="1"/>
        <v>0</v>
      </c>
      <c r="G11" s="3">
        <f>134+65.8</f>
        <v>199.8</v>
      </c>
      <c r="H11" s="3">
        <v>11</v>
      </c>
      <c r="I11" s="94">
        <f t="shared" si="2"/>
        <v>5.505505505505505</v>
      </c>
      <c r="J11" s="3"/>
      <c r="K11" s="3"/>
      <c r="L11" s="94" t="e">
        <f t="shared" si="4"/>
        <v>#DIV/0!</v>
      </c>
      <c r="M11" s="3">
        <f t="shared" si="10"/>
        <v>413.1</v>
      </c>
      <c r="N11" s="3">
        <f t="shared" si="11"/>
        <v>11</v>
      </c>
      <c r="O11" s="94">
        <f t="shared" si="5"/>
        <v>2.662793512466715</v>
      </c>
      <c r="P11" s="3"/>
      <c r="Q11" s="3"/>
      <c r="R11" s="94" t="e">
        <f t="shared" si="3"/>
        <v>#DIV/0!</v>
      </c>
      <c r="S11" s="3"/>
      <c r="T11" s="3"/>
      <c r="U11" s="28" t="e">
        <f aca="true" t="shared" si="20" ref="U11:U19">T11/S11*100</f>
        <v>#DIV/0!</v>
      </c>
      <c r="V11" s="3"/>
      <c r="W11" s="3"/>
      <c r="X11" s="28"/>
      <c r="Y11" s="45">
        <f t="shared" si="12"/>
        <v>0</v>
      </c>
      <c r="Z11" s="45">
        <f t="shared" si="13"/>
        <v>0</v>
      </c>
      <c r="AA11" s="94" t="e">
        <f t="shared" si="6"/>
        <v>#DIV/0!</v>
      </c>
      <c r="AB11" s="3"/>
      <c r="AC11" s="3"/>
      <c r="AD11" s="28"/>
      <c r="AE11" s="3"/>
      <c r="AF11" s="3"/>
      <c r="AG11" s="28"/>
      <c r="AH11" s="3"/>
      <c r="AI11" s="41"/>
      <c r="AJ11" s="3">
        <f t="shared" si="14"/>
        <v>0</v>
      </c>
      <c r="AK11" s="3">
        <f t="shared" si="15"/>
        <v>0</v>
      </c>
      <c r="AL11" s="14" t="e">
        <f aca="true" t="shared" si="21" ref="AL11:AL28">AK11/AJ11*100</f>
        <v>#DIV/0!</v>
      </c>
      <c r="AM11" s="3"/>
      <c r="AN11" s="3"/>
      <c r="AO11" s="3"/>
      <c r="AP11" s="3"/>
      <c r="AQ11" s="3"/>
      <c r="AR11" s="3"/>
      <c r="AS11" s="3">
        <f t="shared" si="16"/>
        <v>413.1</v>
      </c>
      <c r="AT11" s="3">
        <f t="shared" si="17"/>
        <v>11</v>
      </c>
      <c r="AU11" s="14">
        <f>AT11/AS11*100</f>
        <v>2.662793512466715</v>
      </c>
      <c r="AV11" s="14">
        <f t="shared" si="18"/>
        <v>402.1</v>
      </c>
      <c r="AW11" s="4">
        <f t="shared" si="19"/>
        <v>257.8</v>
      </c>
      <c r="AX11" s="20">
        <f t="shared" si="7"/>
        <v>413.1</v>
      </c>
      <c r="AY11" s="20">
        <f t="shared" si="8"/>
        <v>11</v>
      </c>
      <c r="AZ11" s="20">
        <f t="shared" si="9"/>
        <v>257.8</v>
      </c>
    </row>
    <row r="12" spans="1:52" s="40" customFormat="1" ht="34.5" customHeight="1">
      <c r="A12" s="6">
        <v>5</v>
      </c>
      <c r="B12" s="1" t="s">
        <v>31</v>
      </c>
      <c r="C12" s="2">
        <v>-97.2</v>
      </c>
      <c r="D12" s="3">
        <v>265</v>
      </c>
      <c r="E12" s="3">
        <v>0</v>
      </c>
      <c r="F12" s="14">
        <f t="shared" si="1"/>
        <v>0</v>
      </c>
      <c r="G12" s="3">
        <v>244</v>
      </c>
      <c r="H12" s="3">
        <v>105.3</v>
      </c>
      <c r="I12" s="94">
        <f t="shared" si="2"/>
        <v>43.15573770491803</v>
      </c>
      <c r="J12" s="3"/>
      <c r="K12" s="3"/>
      <c r="L12" s="94" t="e">
        <f t="shared" si="4"/>
        <v>#DIV/0!</v>
      </c>
      <c r="M12" s="3">
        <f t="shared" si="10"/>
        <v>509</v>
      </c>
      <c r="N12" s="3">
        <f t="shared" si="11"/>
        <v>105.3</v>
      </c>
      <c r="O12" s="94">
        <f t="shared" si="5"/>
        <v>20.687622789783887</v>
      </c>
      <c r="P12" s="3"/>
      <c r="Q12" s="3"/>
      <c r="R12" s="94" t="e">
        <f t="shared" si="3"/>
        <v>#DIV/0!</v>
      </c>
      <c r="S12" s="3"/>
      <c r="T12" s="3"/>
      <c r="U12" s="14"/>
      <c r="V12" s="3"/>
      <c r="W12" s="3"/>
      <c r="X12" s="14"/>
      <c r="Y12" s="45">
        <f t="shared" si="12"/>
        <v>0</v>
      </c>
      <c r="Z12" s="45">
        <f t="shared" si="13"/>
        <v>0</v>
      </c>
      <c r="AA12" s="94" t="e">
        <f t="shared" si="6"/>
        <v>#DIV/0!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1"/>
        <v>#DIV/0!</v>
      </c>
      <c r="AM12" s="3"/>
      <c r="AN12" s="3"/>
      <c r="AO12" s="3"/>
      <c r="AP12" s="3"/>
      <c r="AQ12" s="3"/>
      <c r="AR12" s="3"/>
      <c r="AS12" s="3">
        <f t="shared" si="16"/>
        <v>509</v>
      </c>
      <c r="AT12" s="3">
        <f t="shared" si="17"/>
        <v>105.3</v>
      </c>
      <c r="AU12" s="14">
        <f>AT12/AS12*100</f>
        <v>20.687622789783887</v>
      </c>
      <c r="AV12" s="14">
        <f t="shared" si="18"/>
        <v>403.7</v>
      </c>
      <c r="AW12" s="4">
        <f t="shared" si="19"/>
        <v>306.5</v>
      </c>
      <c r="AX12" s="20">
        <f t="shared" si="7"/>
        <v>509</v>
      </c>
      <c r="AY12" s="20">
        <f t="shared" si="8"/>
        <v>105.3</v>
      </c>
      <c r="AZ12" s="20">
        <f t="shared" si="9"/>
        <v>306.5</v>
      </c>
    </row>
    <row r="13" spans="1:52" s="40" customFormat="1" ht="34.5" customHeight="1">
      <c r="A13" s="6">
        <v>6</v>
      </c>
      <c r="B13" s="1" t="s">
        <v>32</v>
      </c>
      <c r="C13" s="2">
        <v>-292.9</v>
      </c>
      <c r="D13" s="3">
        <v>172.5</v>
      </c>
      <c r="E13" s="3">
        <v>0</v>
      </c>
      <c r="F13" s="14">
        <f t="shared" si="1"/>
        <v>0</v>
      </c>
      <c r="G13" s="3">
        <v>143.9</v>
      </c>
      <c r="H13" s="3">
        <v>52.6</v>
      </c>
      <c r="I13" s="94">
        <f t="shared" si="2"/>
        <v>36.55316191799861</v>
      </c>
      <c r="J13" s="3"/>
      <c r="K13" s="3"/>
      <c r="L13" s="94" t="e">
        <f t="shared" si="4"/>
        <v>#DIV/0!</v>
      </c>
      <c r="M13" s="3">
        <f t="shared" si="10"/>
        <v>316.4</v>
      </c>
      <c r="N13" s="3">
        <f t="shared" si="11"/>
        <v>52.6</v>
      </c>
      <c r="O13" s="94">
        <f t="shared" si="5"/>
        <v>16.624525916561318</v>
      </c>
      <c r="P13" s="3"/>
      <c r="Q13" s="3"/>
      <c r="R13" s="94" t="e">
        <f t="shared" si="3"/>
        <v>#DIV/0!</v>
      </c>
      <c r="S13" s="3"/>
      <c r="T13" s="3"/>
      <c r="U13" s="14"/>
      <c r="V13" s="3"/>
      <c r="W13" s="3"/>
      <c r="X13" s="14"/>
      <c r="Y13" s="45">
        <f t="shared" si="12"/>
        <v>0</v>
      </c>
      <c r="Z13" s="45">
        <f t="shared" si="13"/>
        <v>0</v>
      </c>
      <c r="AA13" s="94" t="e">
        <f t="shared" si="6"/>
        <v>#DIV/0!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28" t="e">
        <f t="shared" si="21"/>
        <v>#DIV/0!</v>
      </c>
      <c r="AM13" s="3"/>
      <c r="AN13" s="3"/>
      <c r="AO13" s="3"/>
      <c r="AP13" s="3"/>
      <c r="AQ13" s="3"/>
      <c r="AR13" s="3"/>
      <c r="AS13" s="3">
        <f t="shared" si="16"/>
        <v>316.4</v>
      </c>
      <c r="AT13" s="3">
        <f t="shared" si="17"/>
        <v>52.6</v>
      </c>
      <c r="AU13" s="14">
        <f>AT13/AS13*100</f>
        <v>16.624525916561318</v>
      </c>
      <c r="AV13" s="14">
        <f t="shared" si="18"/>
        <v>263.79999999999995</v>
      </c>
      <c r="AW13" s="4">
        <f t="shared" si="19"/>
        <v>-29.1</v>
      </c>
      <c r="AX13" s="20">
        <f t="shared" si="7"/>
        <v>316.4</v>
      </c>
      <c r="AY13" s="20">
        <f t="shared" si="8"/>
        <v>52.6</v>
      </c>
      <c r="AZ13" s="20">
        <f t="shared" si="9"/>
        <v>-29.1</v>
      </c>
    </row>
    <row r="14" spans="1:52" s="40" customFormat="1" ht="34.5" customHeight="1">
      <c r="A14" s="6">
        <v>7</v>
      </c>
      <c r="B14" s="1" t="s">
        <v>63</v>
      </c>
      <c r="C14" s="2">
        <v>0</v>
      </c>
      <c r="D14" s="3">
        <v>129.1</v>
      </c>
      <c r="E14" s="3">
        <v>0</v>
      </c>
      <c r="F14" s="14">
        <f t="shared" si="1"/>
        <v>0</v>
      </c>
      <c r="G14" s="41">
        <v>126.4</v>
      </c>
      <c r="H14" s="41">
        <v>23.4</v>
      </c>
      <c r="I14" s="94">
        <f t="shared" si="2"/>
        <v>18.5126582278481</v>
      </c>
      <c r="J14" s="41"/>
      <c r="K14" s="41"/>
      <c r="L14" s="94" t="e">
        <f t="shared" si="4"/>
        <v>#DIV/0!</v>
      </c>
      <c r="M14" s="3">
        <f t="shared" si="10"/>
        <v>255.5</v>
      </c>
      <c r="N14" s="3">
        <f t="shared" si="11"/>
        <v>23.4</v>
      </c>
      <c r="O14" s="94">
        <f t="shared" si="5"/>
        <v>9.158512720156557</v>
      </c>
      <c r="P14" s="41"/>
      <c r="Q14" s="41"/>
      <c r="R14" s="94" t="e">
        <f t="shared" si="3"/>
        <v>#DIV/0!</v>
      </c>
      <c r="S14" s="41"/>
      <c r="T14" s="41"/>
      <c r="U14" s="14"/>
      <c r="V14" s="41"/>
      <c r="W14" s="41"/>
      <c r="X14" s="14"/>
      <c r="Y14" s="45">
        <f t="shared" si="12"/>
        <v>0</v>
      </c>
      <c r="Z14" s="45">
        <f t="shared" si="13"/>
        <v>0</v>
      </c>
      <c r="AA14" s="94" t="e">
        <f t="shared" si="6"/>
        <v>#DIV/0!</v>
      </c>
      <c r="AB14" s="41"/>
      <c r="AC14" s="41"/>
      <c r="AD14" s="14"/>
      <c r="AE14" s="41"/>
      <c r="AF14" s="41"/>
      <c r="AG14" s="33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1"/>
        <v>#DIV/0!</v>
      </c>
      <c r="AM14" s="41"/>
      <c r="AN14" s="41"/>
      <c r="AO14" s="41"/>
      <c r="AP14" s="41"/>
      <c r="AQ14" s="41"/>
      <c r="AR14" s="41"/>
      <c r="AS14" s="3">
        <f t="shared" si="16"/>
        <v>255.5</v>
      </c>
      <c r="AT14" s="3">
        <f t="shared" si="17"/>
        <v>23.4</v>
      </c>
      <c r="AU14" s="14">
        <f aca="true" t="shared" si="22" ref="AU14:AU22">AT14/AS14*100</f>
        <v>9.158512720156557</v>
      </c>
      <c r="AV14" s="14">
        <f t="shared" si="18"/>
        <v>232.1</v>
      </c>
      <c r="AW14" s="4">
        <f t="shared" si="19"/>
        <v>232.1</v>
      </c>
      <c r="AX14" s="20">
        <f t="shared" si="7"/>
        <v>255.5</v>
      </c>
      <c r="AY14" s="20">
        <f t="shared" si="8"/>
        <v>23.4</v>
      </c>
      <c r="AZ14" s="20">
        <f t="shared" si="9"/>
        <v>232.1</v>
      </c>
    </row>
    <row r="15" spans="1:52" s="40" customFormat="1" ht="34.5" customHeight="1">
      <c r="A15" s="6">
        <v>8</v>
      </c>
      <c r="B15" s="1" t="s">
        <v>33</v>
      </c>
      <c r="C15" s="2">
        <v>-56.3</v>
      </c>
      <c r="D15" s="3">
        <v>739.2</v>
      </c>
      <c r="E15" s="3">
        <v>0</v>
      </c>
      <c r="F15" s="14">
        <f t="shared" si="1"/>
        <v>0</v>
      </c>
      <c r="G15" s="3">
        <v>655.7</v>
      </c>
      <c r="H15" s="3">
        <v>495.9</v>
      </c>
      <c r="I15" s="94">
        <f t="shared" si="2"/>
        <v>75.6290986731737</v>
      </c>
      <c r="J15" s="3"/>
      <c r="K15" s="3"/>
      <c r="L15" s="94" t="e">
        <f t="shared" si="4"/>
        <v>#DIV/0!</v>
      </c>
      <c r="M15" s="3">
        <f t="shared" si="10"/>
        <v>1394.9</v>
      </c>
      <c r="N15" s="3">
        <f t="shared" si="11"/>
        <v>495.9</v>
      </c>
      <c r="O15" s="94">
        <f t="shared" si="5"/>
        <v>35.55093555093555</v>
      </c>
      <c r="P15" s="3"/>
      <c r="Q15" s="3"/>
      <c r="R15" s="94" t="e">
        <f t="shared" si="3"/>
        <v>#DIV/0!</v>
      </c>
      <c r="S15" s="3"/>
      <c r="T15" s="3"/>
      <c r="U15" s="14"/>
      <c r="V15" s="3"/>
      <c r="W15" s="3"/>
      <c r="X15" s="14"/>
      <c r="Y15" s="45">
        <f t="shared" si="12"/>
        <v>0</v>
      </c>
      <c r="Z15" s="45">
        <f t="shared" si="13"/>
        <v>0</v>
      </c>
      <c r="AA15" s="94" t="e">
        <f t="shared" si="6"/>
        <v>#DIV/0!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/>
      <c r="AN15" s="3"/>
      <c r="AO15" s="3"/>
      <c r="AP15" s="3"/>
      <c r="AQ15" s="3"/>
      <c r="AR15" s="3"/>
      <c r="AS15" s="3">
        <f t="shared" si="16"/>
        <v>1394.9</v>
      </c>
      <c r="AT15" s="3">
        <f t="shared" si="17"/>
        <v>495.9</v>
      </c>
      <c r="AU15" s="14">
        <f t="shared" si="22"/>
        <v>35.55093555093555</v>
      </c>
      <c r="AV15" s="14">
        <f t="shared" si="18"/>
        <v>899.0000000000001</v>
      </c>
      <c r="AW15" s="4">
        <f t="shared" si="19"/>
        <v>842.7000000000002</v>
      </c>
      <c r="AX15" s="20">
        <f t="shared" si="7"/>
        <v>1394.9</v>
      </c>
      <c r="AY15" s="20">
        <f t="shared" si="8"/>
        <v>495.9</v>
      </c>
      <c r="AZ15" s="20">
        <f t="shared" si="9"/>
        <v>842.7000000000002</v>
      </c>
    </row>
    <row r="16" spans="1:52" s="40" customFormat="1" ht="34.5" customHeight="1">
      <c r="A16" s="6">
        <v>9</v>
      </c>
      <c r="B16" s="1" t="s">
        <v>34</v>
      </c>
      <c r="C16" s="2">
        <v>0</v>
      </c>
      <c r="D16" s="3">
        <v>-39.5</v>
      </c>
      <c r="E16" s="3">
        <v>0</v>
      </c>
      <c r="F16" s="14">
        <f t="shared" si="1"/>
        <v>0</v>
      </c>
      <c r="G16" s="3">
        <v>45.8</v>
      </c>
      <c r="H16" s="3">
        <v>3.5</v>
      </c>
      <c r="I16" s="94">
        <f t="shared" si="2"/>
        <v>7.641921397379914</v>
      </c>
      <c r="J16" s="3"/>
      <c r="K16" s="3"/>
      <c r="L16" s="94" t="e">
        <f t="shared" si="4"/>
        <v>#DIV/0!</v>
      </c>
      <c r="M16" s="3">
        <f t="shared" si="10"/>
        <v>6.299999999999997</v>
      </c>
      <c r="N16" s="3">
        <f t="shared" si="11"/>
        <v>3.5</v>
      </c>
      <c r="O16" s="94">
        <f t="shared" si="5"/>
        <v>55.55555555555558</v>
      </c>
      <c r="P16" s="3"/>
      <c r="Q16" s="3"/>
      <c r="R16" s="94" t="e">
        <f t="shared" si="3"/>
        <v>#DIV/0!</v>
      </c>
      <c r="S16" s="3"/>
      <c r="T16" s="3"/>
      <c r="U16" s="28" t="e">
        <f t="shared" si="20"/>
        <v>#DIV/0!</v>
      </c>
      <c r="V16" s="3"/>
      <c r="W16" s="3"/>
      <c r="X16" s="28"/>
      <c r="Y16" s="45">
        <f t="shared" si="12"/>
        <v>0</v>
      </c>
      <c r="Z16" s="45">
        <f t="shared" si="13"/>
        <v>0</v>
      </c>
      <c r="AA16" s="94" t="e">
        <f t="shared" si="6"/>
        <v>#DIV/0!</v>
      </c>
      <c r="AB16" s="3"/>
      <c r="AC16" s="3"/>
      <c r="AD16" s="28"/>
      <c r="AE16" s="3"/>
      <c r="AF16" s="3"/>
      <c r="AG16" s="28"/>
      <c r="AH16" s="3"/>
      <c r="AI16" s="3"/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/>
      <c r="AN16" s="3"/>
      <c r="AO16" s="3"/>
      <c r="AP16" s="3"/>
      <c r="AQ16" s="3"/>
      <c r="AR16" s="3"/>
      <c r="AS16" s="3">
        <f t="shared" si="16"/>
        <v>6.299999999999997</v>
      </c>
      <c r="AT16" s="3">
        <f t="shared" si="17"/>
        <v>3.5</v>
      </c>
      <c r="AU16" s="14">
        <f t="shared" si="22"/>
        <v>55.55555555555558</v>
      </c>
      <c r="AV16" s="14">
        <f t="shared" si="18"/>
        <v>2.799999999999997</v>
      </c>
      <c r="AW16" s="4">
        <f t="shared" si="19"/>
        <v>2.799999999999997</v>
      </c>
      <c r="AX16" s="20">
        <f t="shared" si="7"/>
        <v>6.299999999999997</v>
      </c>
      <c r="AY16" s="20">
        <f t="shared" si="8"/>
        <v>3.5</v>
      </c>
      <c r="AZ16" s="20">
        <f t="shared" si="9"/>
        <v>2.799999999999997</v>
      </c>
    </row>
    <row r="17" spans="1:52" s="40" customFormat="1" ht="34.5" customHeight="1">
      <c r="A17" s="6">
        <v>10</v>
      </c>
      <c r="B17" s="15" t="s">
        <v>35</v>
      </c>
      <c r="C17" s="2"/>
      <c r="D17" s="9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4"/>
        <v>#DIV/0!</v>
      </c>
      <c r="M17" s="93">
        <f t="shared" si="10"/>
        <v>0</v>
      </c>
      <c r="N17" s="93">
        <f t="shared" si="11"/>
        <v>0</v>
      </c>
      <c r="O17" s="28" t="e">
        <f t="shared" si="5"/>
        <v>#DIV/0!</v>
      </c>
      <c r="P17" s="93"/>
      <c r="Q17" s="93"/>
      <c r="R17" s="28" t="e">
        <f t="shared" si="3"/>
        <v>#DIV/0!</v>
      </c>
      <c r="S17" s="93"/>
      <c r="T17" s="93"/>
      <c r="U17" s="28"/>
      <c r="V17" s="93"/>
      <c r="W17" s="93"/>
      <c r="X17" s="28"/>
      <c r="Y17" s="99">
        <f t="shared" si="12"/>
        <v>0</v>
      </c>
      <c r="Z17" s="99">
        <f t="shared" si="13"/>
        <v>0</v>
      </c>
      <c r="AA17" s="94"/>
      <c r="AB17" s="93"/>
      <c r="AC17" s="93"/>
      <c r="AD17" s="28"/>
      <c r="AE17" s="93"/>
      <c r="AF17" s="93"/>
      <c r="AG17" s="28"/>
      <c r="AH17" s="93"/>
      <c r="AI17" s="93"/>
      <c r="AJ17" s="93">
        <f t="shared" si="14"/>
        <v>0</v>
      </c>
      <c r="AK17" s="93">
        <f t="shared" si="15"/>
        <v>0</v>
      </c>
      <c r="AL17" s="28" t="e">
        <f t="shared" si="21"/>
        <v>#DIV/0!</v>
      </c>
      <c r="AM17" s="93"/>
      <c r="AN17" s="93"/>
      <c r="AO17" s="93"/>
      <c r="AP17" s="93"/>
      <c r="AQ17" s="93"/>
      <c r="AR17" s="93"/>
      <c r="AS17" s="93">
        <f t="shared" si="16"/>
        <v>0</v>
      </c>
      <c r="AT17" s="93">
        <f t="shared" si="17"/>
        <v>0</v>
      </c>
      <c r="AU17" s="28" t="e">
        <f t="shared" si="22"/>
        <v>#DIV/0!</v>
      </c>
      <c r="AV17" s="28">
        <f t="shared" si="18"/>
        <v>0</v>
      </c>
      <c r="AW17" s="99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36</v>
      </c>
      <c r="C18" s="2">
        <v>5.1</v>
      </c>
      <c r="D18" s="3">
        <v>-6.6</v>
      </c>
      <c r="E18" s="3">
        <v>0</v>
      </c>
      <c r="F18" s="14">
        <f t="shared" si="1"/>
        <v>0</v>
      </c>
      <c r="G18" s="3">
        <v>135.1</v>
      </c>
      <c r="H18" s="3">
        <v>42.6</v>
      </c>
      <c r="I18" s="94">
        <f t="shared" si="2"/>
        <v>31.532198371576612</v>
      </c>
      <c r="J18" s="3"/>
      <c r="K18" s="3"/>
      <c r="L18" s="94" t="e">
        <f t="shared" si="4"/>
        <v>#DIV/0!</v>
      </c>
      <c r="M18" s="3">
        <f t="shared" si="10"/>
        <v>128.5</v>
      </c>
      <c r="N18" s="3">
        <f t="shared" si="11"/>
        <v>42.6</v>
      </c>
      <c r="O18" s="94">
        <f t="shared" si="5"/>
        <v>33.15175097276264</v>
      </c>
      <c r="P18" s="3"/>
      <c r="Q18" s="3"/>
      <c r="R18" s="94" t="e">
        <f t="shared" si="3"/>
        <v>#DIV/0!</v>
      </c>
      <c r="S18" s="3"/>
      <c r="T18" s="3"/>
      <c r="U18" s="28" t="e">
        <f t="shared" si="20"/>
        <v>#DIV/0!</v>
      </c>
      <c r="V18" s="3"/>
      <c r="W18" s="3"/>
      <c r="X18" s="28"/>
      <c r="Y18" s="45">
        <f t="shared" si="12"/>
        <v>0</v>
      </c>
      <c r="Z18" s="45">
        <f t="shared" si="13"/>
        <v>0</v>
      </c>
      <c r="AA18" s="94" t="e">
        <f t="shared" si="6"/>
        <v>#DIV/0!</v>
      </c>
      <c r="AB18" s="3"/>
      <c r="AC18" s="3"/>
      <c r="AD18" s="28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28" t="e">
        <f t="shared" si="21"/>
        <v>#DIV/0!</v>
      </c>
      <c r="AM18" s="3"/>
      <c r="AN18" s="3"/>
      <c r="AO18" s="3"/>
      <c r="AP18" s="3"/>
      <c r="AQ18" s="3"/>
      <c r="AR18" s="3"/>
      <c r="AS18" s="3">
        <f t="shared" si="16"/>
        <v>128.5</v>
      </c>
      <c r="AT18" s="3">
        <f t="shared" si="17"/>
        <v>42.6</v>
      </c>
      <c r="AU18" s="14">
        <f t="shared" si="22"/>
        <v>33.15175097276264</v>
      </c>
      <c r="AV18" s="14">
        <f t="shared" si="18"/>
        <v>85.9</v>
      </c>
      <c r="AW18" s="4">
        <f t="shared" si="19"/>
        <v>91</v>
      </c>
      <c r="AX18" s="20">
        <f t="shared" si="7"/>
        <v>128.5</v>
      </c>
      <c r="AY18" s="20">
        <f t="shared" si="8"/>
        <v>42.6</v>
      </c>
      <c r="AZ18" s="20">
        <f t="shared" si="9"/>
        <v>91</v>
      </c>
    </row>
    <row r="19" spans="1:52" s="40" customFormat="1" ht="34.5" customHeight="1">
      <c r="A19" s="6">
        <v>12</v>
      </c>
      <c r="B19" s="1" t="s">
        <v>37</v>
      </c>
      <c r="C19" s="2">
        <v>-2.6</v>
      </c>
      <c r="D19" s="3">
        <v>122</v>
      </c>
      <c r="E19" s="3">
        <v>0</v>
      </c>
      <c r="F19" s="28">
        <f t="shared" si="1"/>
        <v>0</v>
      </c>
      <c r="G19" s="3">
        <v>196.5</v>
      </c>
      <c r="H19" s="3">
        <v>94.7</v>
      </c>
      <c r="I19" s="94">
        <f t="shared" si="2"/>
        <v>48.19338422391858</v>
      </c>
      <c r="J19" s="3"/>
      <c r="K19" s="3"/>
      <c r="L19" s="94" t="e">
        <f t="shared" si="4"/>
        <v>#DIV/0!</v>
      </c>
      <c r="M19" s="3">
        <f t="shared" si="10"/>
        <v>318.5</v>
      </c>
      <c r="N19" s="3">
        <f t="shared" si="11"/>
        <v>94.7</v>
      </c>
      <c r="O19" s="94">
        <f t="shared" si="5"/>
        <v>29.733124018838303</v>
      </c>
      <c r="P19" s="3"/>
      <c r="Q19" s="3"/>
      <c r="R19" s="94" t="e">
        <f t="shared" si="3"/>
        <v>#DIV/0!</v>
      </c>
      <c r="S19" s="3"/>
      <c r="T19" s="3"/>
      <c r="U19" s="28" t="e">
        <f t="shared" si="20"/>
        <v>#DIV/0!</v>
      </c>
      <c r="V19" s="3"/>
      <c r="W19" s="3"/>
      <c r="X19" s="28"/>
      <c r="Y19" s="45">
        <f t="shared" si="12"/>
        <v>0</v>
      </c>
      <c r="Z19" s="45">
        <f t="shared" si="13"/>
        <v>0</v>
      </c>
      <c r="AA19" s="94" t="e">
        <f t="shared" si="6"/>
        <v>#DIV/0!</v>
      </c>
      <c r="AB19" s="3"/>
      <c r="AC19" s="3"/>
      <c r="AD19" s="28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t="shared" si="21"/>
        <v>#DIV/0!</v>
      </c>
      <c r="AM19" s="3"/>
      <c r="AN19" s="3"/>
      <c r="AO19" s="3"/>
      <c r="AP19" s="3"/>
      <c r="AQ19" s="3"/>
      <c r="AR19" s="3"/>
      <c r="AS19" s="3">
        <f t="shared" si="16"/>
        <v>318.5</v>
      </c>
      <c r="AT19" s="3">
        <f t="shared" si="17"/>
        <v>94.7</v>
      </c>
      <c r="AU19" s="28">
        <f t="shared" si="22"/>
        <v>29.733124018838303</v>
      </c>
      <c r="AV19" s="14">
        <f t="shared" si="18"/>
        <v>223.8</v>
      </c>
      <c r="AW19" s="4">
        <f t="shared" si="19"/>
        <v>221.2</v>
      </c>
      <c r="AX19" s="20">
        <f t="shared" si="7"/>
        <v>318.5</v>
      </c>
      <c r="AY19" s="20">
        <f t="shared" si="8"/>
        <v>94.7</v>
      </c>
      <c r="AZ19" s="20">
        <f t="shared" si="9"/>
        <v>221.2</v>
      </c>
    </row>
    <row r="20" spans="1:52" s="40" customFormat="1" ht="34.5" customHeight="1">
      <c r="A20" s="6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3">
        <f t="shared" si="10"/>
        <v>0</v>
      </c>
      <c r="N20" s="93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3"/>
      <c r="T20" s="93"/>
      <c r="U20" s="28"/>
      <c r="V20" s="93"/>
      <c r="W20" s="93"/>
      <c r="X20" s="28"/>
      <c r="Y20" s="99">
        <f t="shared" si="12"/>
        <v>0</v>
      </c>
      <c r="Z20" s="99">
        <f t="shared" si="13"/>
        <v>0</v>
      </c>
      <c r="AA20" s="94"/>
      <c r="AB20" s="93"/>
      <c r="AC20" s="93"/>
      <c r="AD20" s="28"/>
      <c r="AE20" s="93"/>
      <c r="AF20" s="93"/>
      <c r="AG20" s="28"/>
      <c r="AH20" s="93"/>
      <c r="AI20" s="93"/>
      <c r="AJ20" s="93"/>
      <c r="AK20" s="93"/>
      <c r="AL20" s="28" t="e">
        <f t="shared" si="21"/>
        <v>#DIV/0!</v>
      </c>
      <c r="AM20" s="93"/>
      <c r="AN20" s="93"/>
      <c r="AO20" s="93"/>
      <c r="AP20" s="93"/>
      <c r="AQ20" s="93"/>
      <c r="AR20" s="93"/>
      <c r="AS20" s="93">
        <f t="shared" si="16"/>
        <v>0</v>
      </c>
      <c r="AT20" s="93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3">
        <f t="shared" si="10"/>
        <v>0</v>
      </c>
      <c r="N21" s="93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3"/>
      <c r="T21" s="93"/>
      <c r="U21" s="28"/>
      <c r="V21" s="93"/>
      <c r="W21" s="93"/>
      <c r="X21" s="28"/>
      <c r="Y21" s="99">
        <f t="shared" si="12"/>
        <v>0</v>
      </c>
      <c r="Z21" s="99">
        <f t="shared" si="13"/>
        <v>0</v>
      </c>
      <c r="AA21" s="94"/>
      <c r="AB21" s="93"/>
      <c r="AC21" s="93"/>
      <c r="AD21" s="28"/>
      <c r="AE21" s="93"/>
      <c r="AF21" s="93"/>
      <c r="AG21" s="28"/>
      <c r="AH21" s="93"/>
      <c r="AI21" s="93"/>
      <c r="AJ21" s="93"/>
      <c r="AK21" s="93"/>
      <c r="AL21" s="28" t="e">
        <f t="shared" si="21"/>
        <v>#DIV/0!</v>
      </c>
      <c r="AM21" s="93"/>
      <c r="AN21" s="93"/>
      <c r="AO21" s="93"/>
      <c r="AP21" s="93"/>
      <c r="AQ21" s="93"/>
      <c r="AR21" s="93"/>
      <c r="AS21" s="93">
        <f t="shared" si="16"/>
        <v>0</v>
      </c>
      <c r="AT21" s="93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40</v>
      </c>
      <c r="C22" s="2">
        <v>-173.5</v>
      </c>
      <c r="D22" s="3">
        <v>114</v>
      </c>
      <c r="E22" s="3">
        <v>7.8</v>
      </c>
      <c r="F22" s="14">
        <f>E22/D22*100</f>
        <v>6.842105263157896</v>
      </c>
      <c r="G22" s="41">
        <v>133.2</v>
      </c>
      <c r="H22" s="41">
        <v>24.5</v>
      </c>
      <c r="I22" s="94">
        <f t="shared" si="2"/>
        <v>18.393393393393396</v>
      </c>
      <c r="J22" s="41"/>
      <c r="K22" s="41"/>
      <c r="L22" s="94" t="e">
        <f t="shared" si="4"/>
        <v>#DIV/0!</v>
      </c>
      <c r="M22" s="3">
        <f t="shared" si="10"/>
        <v>247.2</v>
      </c>
      <c r="N22" s="3">
        <f t="shared" si="11"/>
        <v>32.3</v>
      </c>
      <c r="O22" s="94">
        <f t="shared" si="5"/>
        <v>13.066343042071196</v>
      </c>
      <c r="P22" s="41"/>
      <c r="Q22" s="41"/>
      <c r="R22" s="94" t="e">
        <f t="shared" si="3"/>
        <v>#DIV/0!</v>
      </c>
      <c r="S22" s="41"/>
      <c r="T22" s="41"/>
      <c r="U22" s="28" t="e">
        <f>T22/S22*100</f>
        <v>#DIV/0!</v>
      </c>
      <c r="V22" s="41"/>
      <c r="W22" s="41"/>
      <c r="X22" s="28"/>
      <c r="Y22" s="45">
        <f t="shared" si="12"/>
        <v>0</v>
      </c>
      <c r="Z22" s="45">
        <f t="shared" si="13"/>
        <v>0</v>
      </c>
      <c r="AA22" s="94" t="e">
        <f t="shared" si="6"/>
        <v>#DIV/0!</v>
      </c>
      <c r="AB22" s="41"/>
      <c r="AC22" s="41"/>
      <c r="AD22" s="28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28" t="e">
        <f t="shared" si="21"/>
        <v>#DIV/0!</v>
      </c>
      <c r="AM22" s="3"/>
      <c r="AN22" s="3"/>
      <c r="AO22" s="3"/>
      <c r="AP22" s="3"/>
      <c r="AQ22" s="3"/>
      <c r="AR22" s="3"/>
      <c r="AS22" s="3">
        <f t="shared" si="16"/>
        <v>247.2</v>
      </c>
      <c r="AT22" s="3">
        <f t="shared" si="17"/>
        <v>32.3</v>
      </c>
      <c r="AU22" s="14">
        <f t="shared" si="22"/>
        <v>13.066343042071196</v>
      </c>
      <c r="AV22" s="14">
        <f t="shared" si="18"/>
        <v>214.89999999999998</v>
      </c>
      <c r="AW22" s="4">
        <f t="shared" si="19"/>
        <v>41.39999999999999</v>
      </c>
      <c r="AX22" s="20">
        <f t="shared" si="7"/>
        <v>247.2</v>
      </c>
      <c r="AY22" s="20">
        <f t="shared" si="8"/>
        <v>32.3</v>
      </c>
      <c r="AZ22" s="20">
        <f t="shared" si="9"/>
        <v>41.39999999999999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3">
        <f t="shared" si="10"/>
        <v>0</v>
      </c>
      <c r="N23" s="93">
        <f t="shared" si="11"/>
        <v>0</v>
      </c>
      <c r="O23" s="28" t="e">
        <f t="shared" si="5"/>
        <v>#DIV/0!</v>
      </c>
      <c r="P23" s="130"/>
      <c r="Q23" s="130"/>
      <c r="R23" s="28" t="e">
        <f t="shared" si="3"/>
        <v>#DIV/0!</v>
      </c>
      <c r="S23" s="130"/>
      <c r="T23" s="130"/>
      <c r="U23" s="130"/>
      <c r="V23" s="130"/>
      <c r="W23" s="130"/>
      <c r="X23" s="130"/>
      <c r="Y23" s="99">
        <f t="shared" si="12"/>
        <v>0</v>
      </c>
      <c r="Z23" s="99">
        <f t="shared" si="13"/>
        <v>0</v>
      </c>
      <c r="AA23" s="28" t="e">
        <f t="shared" si="6"/>
        <v>#DIV/0!</v>
      </c>
      <c r="AB23" s="130"/>
      <c r="AC23" s="130"/>
      <c r="AD23" s="130"/>
      <c r="AE23" s="91"/>
      <c r="AF23" s="91"/>
      <c r="AG23" s="91"/>
      <c r="AH23" s="91"/>
      <c r="AI23" s="91"/>
      <c r="AJ23" s="93"/>
      <c r="AK23" s="93"/>
      <c r="AL23" s="28" t="e">
        <f t="shared" si="21"/>
        <v>#DIV/0!</v>
      </c>
      <c r="AM23" s="91"/>
      <c r="AN23" s="91"/>
      <c r="AO23" s="91"/>
      <c r="AP23" s="91"/>
      <c r="AQ23" s="91"/>
      <c r="AR23" s="91"/>
      <c r="AS23" s="93">
        <f t="shared" si="16"/>
        <v>0</v>
      </c>
      <c r="AT23" s="93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42</v>
      </c>
      <c r="C24" s="2">
        <v>-205.2</v>
      </c>
      <c r="D24" s="3">
        <v>347</v>
      </c>
      <c r="E24" s="3">
        <v>13.4</v>
      </c>
      <c r="F24" s="14">
        <f>E24/D24*100</f>
        <v>3.8616714697406342</v>
      </c>
      <c r="G24" s="3">
        <v>297.5</v>
      </c>
      <c r="H24" s="3">
        <v>110.9</v>
      </c>
      <c r="I24" s="94">
        <f t="shared" si="2"/>
        <v>37.27731092436975</v>
      </c>
      <c r="J24" s="3"/>
      <c r="K24" s="3"/>
      <c r="L24" s="94" t="e">
        <f t="shared" si="4"/>
        <v>#DIV/0!</v>
      </c>
      <c r="M24" s="3">
        <f t="shared" si="10"/>
        <v>644.5</v>
      </c>
      <c r="N24" s="3">
        <f t="shared" si="11"/>
        <v>124.30000000000001</v>
      </c>
      <c r="O24" s="94">
        <f t="shared" si="5"/>
        <v>19.286268425135766</v>
      </c>
      <c r="P24" s="3"/>
      <c r="Q24" s="3"/>
      <c r="R24" s="94" t="e">
        <f t="shared" si="3"/>
        <v>#DIV/0!</v>
      </c>
      <c r="S24" s="3"/>
      <c r="T24" s="3"/>
      <c r="U24" s="28" t="e">
        <f>T24/S24*100</f>
        <v>#DIV/0!</v>
      </c>
      <c r="V24" s="3"/>
      <c r="W24" s="3"/>
      <c r="X24" s="28"/>
      <c r="Y24" s="45">
        <f t="shared" si="12"/>
        <v>0</v>
      </c>
      <c r="Z24" s="45">
        <f t="shared" si="13"/>
        <v>0</v>
      </c>
      <c r="AA24" s="94" t="e">
        <f t="shared" si="6"/>
        <v>#DIV/0!</v>
      </c>
      <c r="AB24" s="3"/>
      <c r="AC24" s="3"/>
      <c r="AD24" s="28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1"/>
        <v>#DIV/0!</v>
      </c>
      <c r="AM24" s="3"/>
      <c r="AN24" s="3"/>
      <c r="AO24" s="3"/>
      <c r="AP24" s="3"/>
      <c r="AQ24" s="3"/>
      <c r="AR24" s="3"/>
      <c r="AS24" s="3">
        <f t="shared" si="16"/>
        <v>644.5</v>
      </c>
      <c r="AT24" s="3">
        <f t="shared" si="17"/>
        <v>124.30000000000001</v>
      </c>
      <c r="AU24" s="14">
        <f>AT24/AS24*100</f>
        <v>19.286268425135766</v>
      </c>
      <c r="AV24" s="14">
        <f t="shared" si="18"/>
        <v>520.2</v>
      </c>
      <c r="AW24" s="4">
        <f t="shared" si="19"/>
        <v>315</v>
      </c>
      <c r="AX24" s="20">
        <f t="shared" si="7"/>
        <v>644.5</v>
      </c>
      <c r="AY24" s="20">
        <f t="shared" si="8"/>
        <v>124.30000000000001</v>
      </c>
      <c r="AZ24" s="20">
        <f t="shared" si="9"/>
        <v>315</v>
      </c>
    </row>
    <row r="25" spans="1:52" s="40" customFormat="1" ht="34.5" customHeight="1">
      <c r="A25" s="6">
        <v>18</v>
      </c>
      <c r="B25" s="1" t="s">
        <v>43</v>
      </c>
      <c r="C25" s="2">
        <v>0</v>
      </c>
      <c r="D25" s="3">
        <v>269.1</v>
      </c>
      <c r="E25" s="3">
        <v>5.4</v>
      </c>
      <c r="F25" s="14">
        <f>E25/D25*100</f>
        <v>2.0066889632107023</v>
      </c>
      <c r="G25" s="41">
        <v>201.7</v>
      </c>
      <c r="H25" s="41">
        <v>181.4</v>
      </c>
      <c r="I25" s="94">
        <f t="shared" si="2"/>
        <v>89.93554784333169</v>
      </c>
      <c r="J25" s="41"/>
      <c r="K25" s="41"/>
      <c r="L25" s="94" t="e">
        <f t="shared" si="4"/>
        <v>#DIV/0!</v>
      </c>
      <c r="M25" s="3">
        <f t="shared" si="10"/>
        <v>470.8</v>
      </c>
      <c r="N25" s="3">
        <f t="shared" si="11"/>
        <v>186.8</v>
      </c>
      <c r="O25" s="94">
        <f t="shared" si="5"/>
        <v>39.67714528462192</v>
      </c>
      <c r="P25" s="41"/>
      <c r="Q25" s="41"/>
      <c r="R25" s="94" t="e">
        <f t="shared" si="3"/>
        <v>#DIV/0!</v>
      </c>
      <c r="S25" s="41"/>
      <c r="T25" s="41"/>
      <c r="U25" s="28" t="e">
        <f>T25/S25*100</f>
        <v>#DIV/0!</v>
      </c>
      <c r="V25" s="41"/>
      <c r="W25" s="41"/>
      <c r="X25" s="28"/>
      <c r="Y25" s="45">
        <f t="shared" si="12"/>
        <v>0</v>
      </c>
      <c r="Z25" s="45">
        <f t="shared" si="13"/>
        <v>0</v>
      </c>
      <c r="AA25" s="94" t="e">
        <f t="shared" si="6"/>
        <v>#DIV/0!</v>
      </c>
      <c r="AB25" s="41"/>
      <c r="AC25" s="41"/>
      <c r="AD25" s="28"/>
      <c r="AE25" s="3"/>
      <c r="AF25" s="3"/>
      <c r="AG25" s="14"/>
      <c r="AH25" s="3"/>
      <c r="AI25" s="3"/>
      <c r="AJ25" s="3">
        <f t="shared" si="14"/>
        <v>0</v>
      </c>
      <c r="AK25" s="3">
        <f t="shared" si="15"/>
        <v>0</v>
      </c>
      <c r="AL25" s="28" t="e">
        <f t="shared" si="21"/>
        <v>#DIV/0!</v>
      </c>
      <c r="AM25" s="3"/>
      <c r="AN25" s="3"/>
      <c r="AO25" s="3"/>
      <c r="AP25" s="3"/>
      <c r="AQ25" s="3"/>
      <c r="AR25" s="3"/>
      <c r="AS25" s="3">
        <f t="shared" si="16"/>
        <v>470.8</v>
      </c>
      <c r="AT25" s="3">
        <f t="shared" si="17"/>
        <v>186.8</v>
      </c>
      <c r="AU25" s="14">
        <f>AT25/AS25*100</f>
        <v>39.67714528462192</v>
      </c>
      <c r="AV25" s="14">
        <f t="shared" si="18"/>
        <v>284</v>
      </c>
      <c r="AW25" s="4">
        <f t="shared" si="19"/>
        <v>284</v>
      </c>
      <c r="AX25" s="20">
        <f t="shared" si="7"/>
        <v>470.8</v>
      </c>
      <c r="AY25" s="20">
        <f t="shared" si="8"/>
        <v>186.8</v>
      </c>
      <c r="AZ25" s="20">
        <f t="shared" si="9"/>
        <v>284</v>
      </c>
    </row>
    <row r="26" spans="1:52" ht="34.5" customHeight="1">
      <c r="A26" s="6">
        <v>19</v>
      </c>
      <c r="B26" s="15" t="s">
        <v>44</v>
      </c>
      <c r="C26" s="114"/>
      <c r="D26" s="93"/>
      <c r="E26" s="93"/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3">
        <f t="shared" si="10"/>
        <v>0</v>
      </c>
      <c r="N26" s="93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3"/>
      <c r="T26" s="93"/>
      <c r="U26" s="28"/>
      <c r="V26" s="93"/>
      <c r="W26" s="93"/>
      <c r="X26" s="28"/>
      <c r="Y26" s="99">
        <f t="shared" si="12"/>
        <v>0</v>
      </c>
      <c r="Z26" s="99">
        <f t="shared" si="13"/>
        <v>0</v>
      </c>
      <c r="AA26" s="28" t="e">
        <f t="shared" si="6"/>
        <v>#DIV/0!</v>
      </c>
      <c r="AB26" s="93"/>
      <c r="AC26" s="93"/>
      <c r="AD26" s="28"/>
      <c r="AE26" s="93"/>
      <c r="AF26" s="93"/>
      <c r="AG26" s="28"/>
      <c r="AH26" s="93"/>
      <c r="AI26" s="93"/>
      <c r="AJ26" s="93"/>
      <c r="AK26" s="93"/>
      <c r="AL26" s="28" t="e">
        <f t="shared" si="21"/>
        <v>#DIV/0!</v>
      </c>
      <c r="AM26" s="93"/>
      <c r="AN26" s="93"/>
      <c r="AO26" s="93"/>
      <c r="AP26" s="93"/>
      <c r="AQ26" s="93"/>
      <c r="AR26" s="93"/>
      <c r="AS26" s="93">
        <f t="shared" si="16"/>
        <v>0</v>
      </c>
      <c r="AT26" s="93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45</v>
      </c>
      <c r="C27" s="2">
        <v>-6.4</v>
      </c>
      <c r="D27" s="3">
        <v>5.1</v>
      </c>
      <c r="E27" s="3">
        <v>0</v>
      </c>
      <c r="F27" s="14">
        <f>E27/D27*100</f>
        <v>0</v>
      </c>
      <c r="G27" s="3">
        <v>22.6</v>
      </c>
      <c r="H27" s="3">
        <v>5.1</v>
      </c>
      <c r="I27" s="94">
        <f t="shared" si="2"/>
        <v>22.566371681415927</v>
      </c>
      <c r="J27" s="3"/>
      <c r="K27" s="3"/>
      <c r="L27" s="94" t="e">
        <f t="shared" si="4"/>
        <v>#DIV/0!</v>
      </c>
      <c r="M27" s="3">
        <f t="shared" si="10"/>
        <v>27.700000000000003</v>
      </c>
      <c r="N27" s="3">
        <f t="shared" si="11"/>
        <v>5.1</v>
      </c>
      <c r="O27" s="94">
        <f t="shared" si="5"/>
        <v>18.411552346570396</v>
      </c>
      <c r="P27" s="3"/>
      <c r="Q27" s="3"/>
      <c r="R27" s="94" t="e">
        <f t="shared" si="3"/>
        <v>#DIV/0!</v>
      </c>
      <c r="S27" s="3"/>
      <c r="T27" s="3"/>
      <c r="U27" s="14"/>
      <c r="V27" s="3"/>
      <c r="W27" s="3"/>
      <c r="X27" s="14"/>
      <c r="Y27" s="45">
        <f t="shared" si="12"/>
        <v>0</v>
      </c>
      <c r="Z27" s="45">
        <f t="shared" si="13"/>
        <v>0</v>
      </c>
      <c r="AA27" s="94" t="e">
        <f t="shared" si="6"/>
        <v>#DIV/0!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1"/>
        <v>#DIV/0!</v>
      </c>
      <c r="AM27" s="3"/>
      <c r="AN27" s="3"/>
      <c r="AO27" s="3"/>
      <c r="AP27" s="3"/>
      <c r="AQ27" s="3"/>
      <c r="AR27" s="3"/>
      <c r="AS27" s="3">
        <f t="shared" si="16"/>
        <v>27.700000000000003</v>
      </c>
      <c r="AT27" s="3">
        <f t="shared" si="17"/>
        <v>5.1</v>
      </c>
      <c r="AU27" s="14">
        <f>AT27/AS27*100</f>
        <v>18.411552346570396</v>
      </c>
      <c r="AV27" s="14">
        <f t="shared" si="18"/>
        <v>22.6</v>
      </c>
      <c r="AW27" s="4">
        <f t="shared" si="19"/>
        <v>16.200000000000003</v>
      </c>
      <c r="AX27" s="20">
        <f t="shared" si="7"/>
        <v>27.700000000000003</v>
      </c>
      <c r="AY27" s="20">
        <f t="shared" si="8"/>
        <v>5.1</v>
      </c>
      <c r="AZ27" s="20">
        <f t="shared" si="9"/>
        <v>16.200000000000003</v>
      </c>
    </row>
    <row r="28" spans="1:52" s="40" customFormat="1" ht="34.5" customHeight="1">
      <c r="A28" s="6">
        <v>21</v>
      </c>
      <c r="B28" s="101" t="s">
        <v>46</v>
      </c>
      <c r="C28" s="2">
        <v>49.5</v>
      </c>
      <c r="D28" s="3">
        <v>313</v>
      </c>
      <c r="E28" s="3">
        <v>0</v>
      </c>
      <c r="F28" s="14">
        <f>E28/D28*100</f>
        <v>0</v>
      </c>
      <c r="G28" s="41">
        <v>286.4</v>
      </c>
      <c r="H28" s="41">
        <v>269.1</v>
      </c>
      <c r="I28" s="94">
        <f t="shared" si="2"/>
        <v>93.95949720670393</v>
      </c>
      <c r="J28" s="41"/>
      <c r="K28" s="41"/>
      <c r="L28" s="94" t="e">
        <f t="shared" si="4"/>
        <v>#DIV/0!</v>
      </c>
      <c r="M28" s="3">
        <f t="shared" si="10"/>
        <v>599.4</v>
      </c>
      <c r="N28" s="3">
        <f t="shared" si="11"/>
        <v>269.1</v>
      </c>
      <c r="O28" s="94">
        <f t="shared" si="5"/>
        <v>44.8948948948949</v>
      </c>
      <c r="P28" s="41"/>
      <c r="Q28" s="41"/>
      <c r="R28" s="94" t="e">
        <f t="shared" si="3"/>
        <v>#DIV/0!</v>
      </c>
      <c r="S28" s="41"/>
      <c r="T28" s="41"/>
      <c r="U28" s="14"/>
      <c r="V28" s="41"/>
      <c r="W28" s="41"/>
      <c r="X28" s="14"/>
      <c r="Y28" s="45">
        <f t="shared" si="12"/>
        <v>0</v>
      </c>
      <c r="Z28" s="45">
        <f t="shared" si="13"/>
        <v>0</v>
      </c>
      <c r="AA28" s="94" t="e">
        <f t="shared" si="6"/>
        <v>#DIV/0!</v>
      </c>
      <c r="AB28" s="41"/>
      <c r="AC28" s="41"/>
      <c r="AD28" s="14"/>
      <c r="AE28" s="3"/>
      <c r="AF28" s="3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1"/>
        <v>#DIV/0!</v>
      </c>
      <c r="AM28" s="41"/>
      <c r="AN28" s="41"/>
      <c r="AO28" s="41"/>
      <c r="AP28" s="41"/>
      <c r="AQ28" s="41"/>
      <c r="AR28" s="41"/>
      <c r="AS28" s="3">
        <f t="shared" si="16"/>
        <v>599.4</v>
      </c>
      <c r="AT28" s="3">
        <f t="shared" si="17"/>
        <v>269.1</v>
      </c>
      <c r="AU28" s="14">
        <f>AT28/AS28*100</f>
        <v>44.8948948948949</v>
      </c>
      <c r="AV28" s="14">
        <f t="shared" si="18"/>
        <v>330.29999999999995</v>
      </c>
      <c r="AW28" s="4">
        <f t="shared" si="19"/>
        <v>379.79999999999995</v>
      </c>
      <c r="AX28" s="20">
        <f t="shared" si="7"/>
        <v>599.4</v>
      </c>
      <c r="AY28" s="20">
        <f t="shared" si="8"/>
        <v>269.1</v>
      </c>
      <c r="AZ28" s="20">
        <f t="shared" si="9"/>
        <v>379.79999999999995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3">
        <f t="shared" si="10"/>
        <v>0</v>
      </c>
      <c r="N29" s="93">
        <f t="shared" si="11"/>
        <v>0</v>
      </c>
      <c r="O29" s="28" t="e">
        <f t="shared" si="5"/>
        <v>#DIV/0!</v>
      </c>
      <c r="P29" s="92"/>
      <c r="Q29" s="92"/>
      <c r="R29" s="28" t="e">
        <f t="shared" si="3"/>
        <v>#DIV/0!</v>
      </c>
      <c r="S29" s="92"/>
      <c r="T29" s="92"/>
      <c r="U29" s="92"/>
      <c r="V29" s="92"/>
      <c r="W29" s="92"/>
      <c r="X29" s="92"/>
      <c r="Y29" s="99">
        <f t="shared" si="12"/>
        <v>0</v>
      </c>
      <c r="Z29" s="99">
        <f t="shared" si="13"/>
        <v>0</v>
      </c>
      <c r="AA29" s="94"/>
      <c r="AB29" s="92"/>
      <c r="AC29" s="92"/>
      <c r="AD29" s="92"/>
      <c r="AE29" s="92"/>
      <c r="AF29" s="92"/>
      <c r="AG29" s="92"/>
      <c r="AH29" s="92"/>
      <c r="AI29" s="92"/>
      <c r="AJ29" s="93"/>
      <c r="AK29" s="93"/>
      <c r="AL29" s="28"/>
      <c r="AM29" s="92"/>
      <c r="AN29" s="92"/>
      <c r="AO29" s="92"/>
      <c r="AP29" s="92"/>
      <c r="AQ29" s="92"/>
      <c r="AR29" s="92"/>
      <c r="AS29" s="93">
        <f t="shared" si="16"/>
        <v>0</v>
      </c>
      <c r="AT29" s="93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48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3">
        <f t="shared" si="10"/>
        <v>0</v>
      </c>
      <c r="N30" s="93">
        <f t="shared" si="11"/>
        <v>0</v>
      </c>
      <c r="O30" s="28" t="e">
        <f t="shared" si="5"/>
        <v>#DIV/0!</v>
      </c>
      <c r="P30" s="129"/>
      <c r="Q30" s="129"/>
      <c r="R30" s="28" t="e">
        <f t="shared" si="3"/>
        <v>#DIV/0!</v>
      </c>
      <c r="S30" s="129"/>
      <c r="T30" s="129"/>
      <c r="U30" s="129"/>
      <c r="V30" s="129"/>
      <c r="W30" s="129"/>
      <c r="X30" s="129"/>
      <c r="Y30" s="99">
        <f t="shared" si="12"/>
        <v>0</v>
      </c>
      <c r="Z30" s="99">
        <f t="shared" si="13"/>
        <v>0</v>
      </c>
      <c r="AA30" s="94"/>
      <c r="AB30" s="129"/>
      <c r="AC30" s="129"/>
      <c r="AD30" s="129"/>
      <c r="AE30" s="92"/>
      <c r="AF30" s="92"/>
      <c r="AG30" s="92"/>
      <c r="AH30" s="92"/>
      <c r="AI30" s="92"/>
      <c r="AJ30" s="93"/>
      <c r="AK30" s="93"/>
      <c r="AL30" s="28"/>
      <c r="AM30" s="92"/>
      <c r="AN30" s="92"/>
      <c r="AO30" s="92"/>
      <c r="AP30" s="92"/>
      <c r="AQ30" s="92"/>
      <c r="AR30" s="92"/>
      <c r="AS30" s="93">
        <f t="shared" si="16"/>
        <v>0</v>
      </c>
      <c r="AT30" s="93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3">
        <f t="shared" si="10"/>
        <v>0</v>
      </c>
      <c r="N31" s="93">
        <f t="shared" si="11"/>
        <v>0</v>
      </c>
      <c r="O31" s="28" t="e">
        <f t="shared" si="5"/>
        <v>#DIV/0!</v>
      </c>
      <c r="P31" s="92"/>
      <c r="Q31" s="92"/>
      <c r="R31" s="28" t="e">
        <f t="shared" si="3"/>
        <v>#DIV/0!</v>
      </c>
      <c r="S31" s="92"/>
      <c r="T31" s="92"/>
      <c r="U31" s="92"/>
      <c r="V31" s="92"/>
      <c r="W31" s="92"/>
      <c r="X31" s="92"/>
      <c r="Y31" s="99">
        <f t="shared" si="12"/>
        <v>0</v>
      </c>
      <c r="Z31" s="99">
        <f t="shared" si="13"/>
        <v>0</v>
      </c>
      <c r="AA31" s="94"/>
      <c r="AB31" s="92"/>
      <c r="AC31" s="92"/>
      <c r="AD31" s="92"/>
      <c r="AE31" s="92"/>
      <c r="AF31" s="92"/>
      <c r="AG31" s="92"/>
      <c r="AH31" s="92"/>
      <c r="AI31" s="92"/>
      <c r="AJ31" s="93"/>
      <c r="AK31" s="93"/>
      <c r="AL31" s="28"/>
      <c r="AM31" s="92"/>
      <c r="AN31" s="92"/>
      <c r="AO31" s="92"/>
      <c r="AP31" s="92"/>
      <c r="AQ31" s="92"/>
      <c r="AR31" s="92"/>
      <c r="AS31" s="93">
        <f t="shared" si="16"/>
        <v>0</v>
      </c>
      <c r="AT31" s="93">
        <f t="shared" si="17"/>
        <v>0</v>
      </c>
      <c r="AU31" s="92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50</v>
      </c>
      <c r="C32" s="45">
        <f aca="true" t="shared" si="23" ref="C32:N32">C33+C34+C35+C36</f>
        <v>-15</v>
      </c>
      <c r="D32" s="45">
        <f t="shared" si="23"/>
        <v>761</v>
      </c>
      <c r="E32" s="45">
        <f t="shared" si="23"/>
        <v>0</v>
      </c>
      <c r="F32" s="14">
        <f aca="true" t="shared" si="24" ref="F32:F49">E32/D32*100</f>
        <v>0</v>
      </c>
      <c r="G32" s="45">
        <f t="shared" si="23"/>
        <v>772.4</v>
      </c>
      <c r="H32" s="45">
        <f t="shared" si="23"/>
        <v>646.5</v>
      </c>
      <c r="I32" s="94">
        <f t="shared" si="2"/>
        <v>83.70015535991713</v>
      </c>
      <c r="J32" s="45">
        <f t="shared" si="23"/>
        <v>0</v>
      </c>
      <c r="K32" s="45">
        <f t="shared" si="23"/>
        <v>0</v>
      </c>
      <c r="L32" s="94" t="e">
        <f t="shared" si="4"/>
        <v>#DIV/0!</v>
      </c>
      <c r="M32" s="45">
        <f t="shared" si="23"/>
        <v>1533.3999999999999</v>
      </c>
      <c r="N32" s="45">
        <f t="shared" si="23"/>
        <v>646.5</v>
      </c>
      <c r="O32" s="94">
        <f t="shared" si="5"/>
        <v>42.1612103821573</v>
      </c>
      <c r="P32" s="45">
        <f aca="true" t="shared" si="25" ref="P32:AR32">P33+P34+P35+P36</f>
        <v>0</v>
      </c>
      <c r="Q32" s="45">
        <f t="shared" si="25"/>
        <v>0</v>
      </c>
      <c r="R32" s="94" t="e">
        <f t="shared" si="3"/>
        <v>#DIV/0!</v>
      </c>
      <c r="S32" s="45">
        <f t="shared" si="25"/>
        <v>0</v>
      </c>
      <c r="T32" s="45">
        <f t="shared" si="25"/>
        <v>0</v>
      </c>
      <c r="U32" s="45" t="e">
        <f t="shared" si="25"/>
        <v>#DIV/0!</v>
      </c>
      <c r="V32" s="45">
        <f t="shared" si="25"/>
        <v>0</v>
      </c>
      <c r="W32" s="45">
        <f t="shared" si="25"/>
        <v>0</v>
      </c>
      <c r="X32" s="45" t="e">
        <f t="shared" si="25"/>
        <v>#DIV/0!</v>
      </c>
      <c r="Y32" s="45">
        <f t="shared" si="12"/>
        <v>0</v>
      </c>
      <c r="Z32" s="45">
        <f t="shared" si="13"/>
        <v>0</v>
      </c>
      <c r="AA32" s="94" t="e">
        <f t="shared" si="6"/>
        <v>#DIV/0!</v>
      </c>
      <c r="AB32" s="45">
        <f t="shared" si="25"/>
        <v>0</v>
      </c>
      <c r="AC32" s="45">
        <f t="shared" si="25"/>
        <v>0</v>
      </c>
      <c r="AD32" s="99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0</v>
      </c>
      <c r="AJ32" s="45">
        <f t="shared" si="25"/>
        <v>0</v>
      </c>
      <c r="AK32" s="45">
        <f t="shared" si="25"/>
        <v>0</v>
      </c>
      <c r="AL32" s="45" t="e">
        <f t="shared" si="25"/>
        <v>#DIV/0!</v>
      </c>
      <c r="AM32" s="45">
        <f t="shared" si="25"/>
        <v>0</v>
      </c>
      <c r="AN32" s="45">
        <f t="shared" si="25"/>
        <v>0</v>
      </c>
      <c r="AO32" s="45">
        <f t="shared" si="25"/>
        <v>0</v>
      </c>
      <c r="AP32" s="45">
        <f t="shared" si="25"/>
        <v>0</v>
      </c>
      <c r="AQ32" s="45">
        <f t="shared" si="25"/>
        <v>0</v>
      </c>
      <c r="AR32" s="45">
        <f t="shared" si="25"/>
        <v>0</v>
      </c>
      <c r="AS32" s="3">
        <f t="shared" si="16"/>
        <v>1533.3999999999999</v>
      </c>
      <c r="AT32" s="3">
        <f t="shared" si="17"/>
        <v>646.5</v>
      </c>
      <c r="AU32" s="14">
        <f>AT32/AS32*100</f>
        <v>42.1612103821573</v>
      </c>
      <c r="AV32" s="45">
        <f>AV33+AV34+AV35+AV36</f>
        <v>886.8999999999997</v>
      </c>
      <c r="AW32" s="45">
        <f>AW33+AW34+AW35+AW36</f>
        <v>871.8999999999999</v>
      </c>
      <c r="AX32" s="20">
        <f t="shared" si="7"/>
        <v>1533.3999999999999</v>
      </c>
      <c r="AY32" s="20">
        <f t="shared" si="8"/>
        <v>646.5</v>
      </c>
      <c r="AZ32" s="20">
        <f t="shared" si="9"/>
        <v>871.8999999999999</v>
      </c>
    </row>
    <row r="33" spans="1:52" s="40" customFormat="1" ht="34.5" customHeight="1">
      <c r="A33" s="6"/>
      <c r="B33" s="15" t="s">
        <v>74</v>
      </c>
      <c r="C33" s="2">
        <v>-13.4</v>
      </c>
      <c r="D33" s="3">
        <v>40.2</v>
      </c>
      <c r="E33" s="3">
        <v>0</v>
      </c>
      <c r="F33" s="14">
        <f t="shared" si="24"/>
        <v>0</v>
      </c>
      <c r="G33" s="3">
        <v>37</v>
      </c>
      <c r="H33" s="3">
        <v>26.8</v>
      </c>
      <c r="I33" s="94">
        <f t="shared" si="2"/>
        <v>72.43243243243244</v>
      </c>
      <c r="J33" s="3"/>
      <c r="K33" s="3"/>
      <c r="L33" s="94" t="e">
        <f t="shared" si="4"/>
        <v>#DIV/0!</v>
      </c>
      <c r="M33" s="3">
        <f>D33+G33+J33</f>
        <v>77.2</v>
      </c>
      <c r="N33" s="3">
        <f>E33+H33+K33</f>
        <v>26.8</v>
      </c>
      <c r="O33" s="94">
        <f t="shared" si="5"/>
        <v>34.715025906735754</v>
      </c>
      <c r="P33" s="3"/>
      <c r="Q33" s="3"/>
      <c r="R33" s="94" t="e">
        <f t="shared" si="3"/>
        <v>#DIV/0!</v>
      </c>
      <c r="S33" s="3"/>
      <c r="T33" s="3"/>
      <c r="U33" s="14"/>
      <c r="V33" s="3"/>
      <c r="W33" s="3"/>
      <c r="X33" s="14"/>
      <c r="Y33" s="45">
        <f t="shared" si="12"/>
        <v>0</v>
      </c>
      <c r="Z33" s="45">
        <f t="shared" si="13"/>
        <v>0</v>
      </c>
      <c r="AA33" s="94" t="e">
        <f t="shared" si="6"/>
        <v>#DIV/0!</v>
      </c>
      <c r="AB33" s="3"/>
      <c r="AC33" s="3"/>
      <c r="AD33" s="14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aca="true" t="shared" si="26" ref="AL33:AL47">AK33/AJ33*100</f>
        <v>#DIV/0!</v>
      </c>
      <c r="AM33" s="3"/>
      <c r="AN33" s="3"/>
      <c r="AO33" s="3"/>
      <c r="AP33" s="3"/>
      <c r="AQ33" s="3"/>
      <c r="AR33" s="3"/>
      <c r="AS33" s="3">
        <f t="shared" si="16"/>
        <v>77.2</v>
      </c>
      <c r="AT33" s="3">
        <f t="shared" si="17"/>
        <v>26.8</v>
      </c>
      <c r="AU33" s="14">
        <f>AT33/AS33*100</f>
        <v>34.715025906735754</v>
      </c>
      <c r="AV33" s="14">
        <f t="shared" si="18"/>
        <v>50.400000000000006</v>
      </c>
      <c r="AW33" s="4">
        <f t="shared" si="19"/>
        <v>37</v>
      </c>
      <c r="AX33" s="20">
        <f t="shared" si="7"/>
        <v>77.2</v>
      </c>
      <c r="AY33" s="20">
        <f t="shared" si="8"/>
        <v>26.8</v>
      </c>
      <c r="AZ33" s="20">
        <f t="shared" si="9"/>
        <v>37</v>
      </c>
    </row>
    <row r="34" spans="1:52" s="40" customFormat="1" ht="34.5" customHeight="1">
      <c r="A34" s="6"/>
      <c r="B34" s="15" t="s">
        <v>21</v>
      </c>
      <c r="C34" s="2">
        <v>-1.6</v>
      </c>
      <c r="D34" s="3">
        <v>720.8</v>
      </c>
      <c r="E34" s="3">
        <v>0</v>
      </c>
      <c r="F34" s="14">
        <f>E34/D34*100</f>
        <v>0</v>
      </c>
      <c r="G34" s="3">
        <v>735.4</v>
      </c>
      <c r="H34" s="3">
        <v>619.7</v>
      </c>
      <c r="I34" s="94">
        <f t="shared" si="2"/>
        <v>84.26706554256188</v>
      </c>
      <c r="J34" s="3"/>
      <c r="K34" s="3"/>
      <c r="L34" s="94" t="e">
        <f t="shared" si="4"/>
        <v>#DIV/0!</v>
      </c>
      <c r="M34" s="3">
        <f aca="true" t="shared" si="27" ref="M34:M44">D34+G34+J34</f>
        <v>1456.1999999999998</v>
      </c>
      <c r="N34" s="3">
        <f aca="true" t="shared" si="28" ref="N34:N44">E34+H34+K34</f>
        <v>619.7</v>
      </c>
      <c r="O34" s="94">
        <f t="shared" si="5"/>
        <v>42.55596758686994</v>
      </c>
      <c r="P34" s="3"/>
      <c r="Q34" s="3"/>
      <c r="R34" s="28" t="e">
        <f t="shared" si="3"/>
        <v>#DIV/0!</v>
      </c>
      <c r="S34" s="3"/>
      <c r="T34" s="3"/>
      <c r="U34" s="14"/>
      <c r="V34" s="3"/>
      <c r="W34" s="3"/>
      <c r="X34" s="14"/>
      <c r="Y34" s="45">
        <f t="shared" si="12"/>
        <v>0</v>
      </c>
      <c r="Z34" s="45">
        <f t="shared" si="13"/>
        <v>0</v>
      </c>
      <c r="AA34" s="28" t="e">
        <f t="shared" si="6"/>
        <v>#DIV/0!</v>
      </c>
      <c r="AB34" s="3"/>
      <c r="AC34" s="3"/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6"/>
        <v>1456.1999999999998</v>
      </c>
      <c r="AT34" s="3">
        <f>N34+Z34+AK34+AN34+AP34+AR34</f>
        <v>619.7</v>
      </c>
      <c r="AU34" s="14">
        <f>AT34/AS34*100</f>
        <v>42.55596758686994</v>
      </c>
      <c r="AV34" s="14">
        <f>AS34-AT34</f>
        <v>836.4999999999998</v>
      </c>
      <c r="AW34" s="4">
        <f>C34+AS34-AT34</f>
        <v>834.8999999999999</v>
      </c>
      <c r="AX34" s="20">
        <f t="shared" si="7"/>
        <v>1456.1999999999998</v>
      </c>
      <c r="AY34" s="20">
        <f t="shared" si="8"/>
        <v>619.7</v>
      </c>
      <c r="AZ34" s="20">
        <f t="shared" si="9"/>
        <v>834.8999999999999</v>
      </c>
    </row>
    <row r="35" spans="1:52" s="40" customFormat="1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94" t="e">
        <f t="shared" si="2"/>
        <v>#DIV/0!</v>
      </c>
      <c r="J35" s="3"/>
      <c r="K35" s="3"/>
      <c r="L35" s="94" t="e">
        <f t="shared" si="4"/>
        <v>#DIV/0!</v>
      </c>
      <c r="M35" s="3">
        <f t="shared" si="27"/>
        <v>0</v>
      </c>
      <c r="N35" s="3">
        <f t="shared" si="28"/>
        <v>0</v>
      </c>
      <c r="O35" s="94" t="e">
        <f t="shared" si="5"/>
        <v>#DIV/0!</v>
      </c>
      <c r="P35" s="3"/>
      <c r="Q35" s="3"/>
      <c r="R35" s="94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3">
        <f t="shared" si="27"/>
        <v>0</v>
      </c>
      <c r="N36" s="93">
        <f t="shared" si="28"/>
        <v>0</v>
      </c>
      <c r="O36" s="28" t="e">
        <f t="shared" si="5"/>
        <v>#DIV/0!</v>
      </c>
      <c r="P36" s="93"/>
      <c r="Q36" s="93"/>
      <c r="R36" s="28" t="e">
        <f t="shared" si="3"/>
        <v>#DIV/0!</v>
      </c>
      <c r="S36" s="93"/>
      <c r="T36" s="93"/>
      <c r="U36" s="28" t="e">
        <f>T36/S36*100</f>
        <v>#DIV/0!</v>
      </c>
      <c r="V36" s="93"/>
      <c r="W36" s="93"/>
      <c r="X36" s="28" t="e">
        <f>W36/V36*100</f>
        <v>#DIV/0!</v>
      </c>
      <c r="Y36" s="99">
        <f t="shared" si="12"/>
        <v>0</v>
      </c>
      <c r="Z36" s="99">
        <f t="shared" si="13"/>
        <v>0</v>
      </c>
      <c r="AA36" s="28" t="e">
        <f t="shared" si="6"/>
        <v>#DIV/0!</v>
      </c>
      <c r="AB36" s="93"/>
      <c r="AC36" s="93"/>
      <c r="AD36" s="28" t="e">
        <f>AC36/AB36*100</f>
        <v>#DIV/0!</v>
      </c>
      <c r="AE36" s="93"/>
      <c r="AF36" s="93"/>
      <c r="AG36" s="28"/>
      <c r="AH36" s="93"/>
      <c r="AI36" s="93"/>
      <c r="AJ36" s="93"/>
      <c r="AK36" s="93"/>
      <c r="AL36" s="28" t="e">
        <f t="shared" si="26"/>
        <v>#DIV/0!</v>
      </c>
      <c r="AM36" s="93"/>
      <c r="AN36" s="93"/>
      <c r="AO36" s="93"/>
      <c r="AP36" s="93"/>
      <c r="AQ36" s="93"/>
      <c r="AR36" s="93"/>
      <c r="AS36" s="93">
        <f t="shared" si="16"/>
        <v>0</v>
      </c>
      <c r="AT36" s="93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51</v>
      </c>
      <c r="C37" s="2">
        <v>0</v>
      </c>
      <c r="D37" s="3">
        <v>183</v>
      </c>
      <c r="E37" s="3">
        <v>0</v>
      </c>
      <c r="F37" s="14">
        <f t="shared" si="24"/>
        <v>0</v>
      </c>
      <c r="G37" s="3">
        <v>165.5</v>
      </c>
      <c r="H37" s="3">
        <v>183</v>
      </c>
      <c r="I37" s="94">
        <f t="shared" si="2"/>
        <v>110.5740181268882</v>
      </c>
      <c r="J37" s="3"/>
      <c r="K37" s="3"/>
      <c r="L37" s="28"/>
      <c r="M37" s="3">
        <f t="shared" si="27"/>
        <v>348.5</v>
      </c>
      <c r="N37" s="3">
        <f t="shared" si="28"/>
        <v>183</v>
      </c>
      <c r="O37" s="94">
        <f t="shared" si="5"/>
        <v>52.51076040172167</v>
      </c>
      <c r="P37" s="93"/>
      <c r="Q37" s="93"/>
      <c r="R37" s="28"/>
      <c r="S37" s="93"/>
      <c r="T37" s="93"/>
      <c r="U37" s="28"/>
      <c r="V37" s="93"/>
      <c r="W37" s="93"/>
      <c r="X37" s="28"/>
      <c r="Y37" s="99"/>
      <c r="Z37" s="99"/>
      <c r="AA37" s="28"/>
      <c r="AB37" s="93"/>
      <c r="AC37" s="93"/>
      <c r="AD37" s="28"/>
      <c r="AE37" s="93"/>
      <c r="AF37" s="93"/>
      <c r="AG37" s="28"/>
      <c r="AH37" s="93"/>
      <c r="AI37" s="93"/>
      <c r="AJ37" s="93"/>
      <c r="AK37" s="93"/>
      <c r="AL37" s="28"/>
      <c r="AM37" s="93"/>
      <c r="AN37" s="93"/>
      <c r="AO37" s="93"/>
      <c r="AP37" s="93"/>
      <c r="AQ37" s="93"/>
      <c r="AR37" s="93"/>
      <c r="AS37" s="3">
        <f t="shared" si="16"/>
        <v>348.5</v>
      </c>
      <c r="AT37" s="3">
        <f t="shared" si="17"/>
        <v>183</v>
      </c>
      <c r="AU37" s="28">
        <f aca="true" t="shared" si="29" ref="AU37:AU48">AT37/AS37*100</f>
        <v>52.51076040172167</v>
      </c>
      <c r="AV37" s="14">
        <f t="shared" si="18"/>
        <v>165.5</v>
      </c>
      <c r="AW37" s="4">
        <f t="shared" si="19"/>
        <v>165.5</v>
      </c>
      <c r="AX37" s="20">
        <f t="shared" si="7"/>
        <v>348.5</v>
      </c>
      <c r="AY37" s="20">
        <f t="shared" si="8"/>
        <v>183</v>
      </c>
      <c r="AZ37" s="20">
        <f t="shared" si="9"/>
        <v>165.5</v>
      </c>
    </row>
    <row r="38" spans="1:52" s="40" customFormat="1" ht="34.5" customHeight="1">
      <c r="A38" s="6">
        <v>27</v>
      </c>
      <c r="B38" s="104" t="s">
        <v>52</v>
      </c>
      <c r="C38" s="2">
        <v>-150.8</v>
      </c>
      <c r="D38" s="3">
        <v>203.8</v>
      </c>
      <c r="E38" s="3">
        <v>0</v>
      </c>
      <c r="F38" s="14">
        <f t="shared" si="24"/>
        <v>0</v>
      </c>
      <c r="G38" s="3">
        <v>191.4</v>
      </c>
      <c r="H38" s="3">
        <v>48.2</v>
      </c>
      <c r="I38" s="94">
        <f t="shared" si="2"/>
        <v>25.182863113897596</v>
      </c>
      <c r="J38" s="3"/>
      <c r="K38" s="3"/>
      <c r="L38" s="94" t="e">
        <f t="shared" si="4"/>
        <v>#DIV/0!</v>
      </c>
      <c r="M38" s="3">
        <f t="shared" si="27"/>
        <v>395.20000000000005</v>
      </c>
      <c r="N38" s="3">
        <f t="shared" si="28"/>
        <v>48.2</v>
      </c>
      <c r="O38" s="94">
        <f t="shared" si="5"/>
        <v>12.196356275303643</v>
      </c>
      <c r="P38" s="3"/>
      <c r="Q38" s="3"/>
      <c r="R38" s="94" t="e">
        <f t="shared" si="3"/>
        <v>#DIV/0!</v>
      </c>
      <c r="S38" s="3"/>
      <c r="T38" s="3"/>
      <c r="U38" s="14"/>
      <c r="V38" s="3"/>
      <c r="W38" s="3"/>
      <c r="X38" s="14"/>
      <c r="Y38" s="45">
        <f t="shared" si="12"/>
        <v>0</v>
      </c>
      <c r="Z38" s="45">
        <f t="shared" si="13"/>
        <v>0</v>
      </c>
      <c r="AA38" s="94" t="e">
        <f t="shared" si="6"/>
        <v>#DIV/0!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6"/>
        <v>395.20000000000005</v>
      </c>
      <c r="AT38" s="3">
        <f t="shared" si="17"/>
        <v>48.2</v>
      </c>
      <c r="AU38" s="14">
        <f t="shared" si="29"/>
        <v>12.196356275303643</v>
      </c>
      <c r="AV38" s="14">
        <f t="shared" si="18"/>
        <v>347.00000000000006</v>
      </c>
      <c r="AW38" s="4">
        <f t="shared" si="19"/>
        <v>196.20000000000005</v>
      </c>
      <c r="AX38" s="20">
        <f t="shared" si="7"/>
        <v>395.20000000000005</v>
      </c>
      <c r="AY38" s="20">
        <f t="shared" si="8"/>
        <v>48.2</v>
      </c>
      <c r="AZ38" s="20">
        <f t="shared" si="9"/>
        <v>196.20000000000005</v>
      </c>
    </row>
    <row r="39" spans="1:52" s="40" customFormat="1" ht="34.5" customHeight="1">
      <c r="A39" s="6">
        <v>28</v>
      </c>
      <c r="B39" s="105" t="s">
        <v>53</v>
      </c>
      <c r="C39" s="2">
        <v>-392.3</v>
      </c>
      <c r="D39" s="3">
        <v>289.5</v>
      </c>
      <c r="E39" s="3">
        <v>0</v>
      </c>
      <c r="F39" s="14">
        <f t="shared" si="24"/>
        <v>0</v>
      </c>
      <c r="G39" s="3">
        <v>281.9</v>
      </c>
      <c r="H39" s="3">
        <v>47.9</v>
      </c>
      <c r="I39" s="94">
        <f t="shared" si="2"/>
        <v>16.991841078396597</v>
      </c>
      <c r="J39" s="3"/>
      <c r="K39" s="3"/>
      <c r="L39" s="94" t="e">
        <f t="shared" si="4"/>
        <v>#DIV/0!</v>
      </c>
      <c r="M39" s="3">
        <f t="shared" si="27"/>
        <v>571.4</v>
      </c>
      <c r="N39" s="3">
        <f t="shared" si="28"/>
        <v>47.9</v>
      </c>
      <c r="O39" s="94">
        <f t="shared" si="5"/>
        <v>8.382919145957297</v>
      </c>
      <c r="P39" s="3"/>
      <c r="Q39" s="3"/>
      <c r="R39" s="94" t="e">
        <f t="shared" si="3"/>
        <v>#DIV/0!</v>
      </c>
      <c r="S39" s="3"/>
      <c r="T39" s="3"/>
      <c r="U39" s="14"/>
      <c r="V39" s="3"/>
      <c r="W39" s="3"/>
      <c r="X39" s="14"/>
      <c r="Y39" s="45">
        <f t="shared" si="12"/>
        <v>0</v>
      </c>
      <c r="Z39" s="45">
        <f t="shared" si="13"/>
        <v>0</v>
      </c>
      <c r="AA39" s="94" t="e">
        <f t="shared" si="6"/>
        <v>#DIV/0!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6"/>
        <v>#DIV/0!</v>
      </c>
      <c r="AM39" s="3"/>
      <c r="AN39" s="3"/>
      <c r="AO39" s="3"/>
      <c r="AP39" s="3"/>
      <c r="AQ39" s="3"/>
      <c r="AR39" s="3"/>
      <c r="AS39" s="3">
        <f t="shared" si="16"/>
        <v>571.4</v>
      </c>
      <c r="AT39" s="3">
        <f t="shared" si="17"/>
        <v>47.9</v>
      </c>
      <c r="AU39" s="14">
        <f t="shared" si="29"/>
        <v>8.382919145957297</v>
      </c>
      <c r="AV39" s="14">
        <f t="shared" si="18"/>
        <v>523.5</v>
      </c>
      <c r="AW39" s="4">
        <f t="shared" si="19"/>
        <v>131.19999999999996</v>
      </c>
      <c r="AX39" s="20">
        <f t="shared" si="7"/>
        <v>571.4</v>
      </c>
      <c r="AY39" s="20">
        <f t="shared" si="8"/>
        <v>47.9</v>
      </c>
      <c r="AZ39" s="20">
        <f t="shared" si="9"/>
        <v>131.19999999999996</v>
      </c>
    </row>
    <row r="40" spans="1:52" s="40" customFormat="1" ht="34.5" customHeight="1">
      <c r="A40" s="6">
        <v>29</v>
      </c>
      <c r="B40" s="105" t="s">
        <v>54</v>
      </c>
      <c r="C40" s="2">
        <v>-394.5</v>
      </c>
      <c r="D40" s="3">
        <v>471.7</v>
      </c>
      <c r="E40" s="3">
        <v>0</v>
      </c>
      <c r="F40" s="14">
        <f t="shared" si="24"/>
        <v>0</v>
      </c>
      <c r="G40" s="3">
        <v>986.8</v>
      </c>
      <c r="H40" s="3">
        <v>183</v>
      </c>
      <c r="I40" s="94">
        <f t="shared" si="2"/>
        <v>18.544791244426428</v>
      </c>
      <c r="J40" s="3"/>
      <c r="K40" s="3"/>
      <c r="L40" s="94" t="e">
        <f t="shared" si="4"/>
        <v>#DIV/0!</v>
      </c>
      <c r="M40" s="3">
        <f t="shared" si="27"/>
        <v>1458.5</v>
      </c>
      <c r="N40" s="3">
        <f t="shared" si="28"/>
        <v>183</v>
      </c>
      <c r="O40" s="94">
        <f t="shared" si="5"/>
        <v>12.547137470003427</v>
      </c>
      <c r="P40" s="3"/>
      <c r="Q40" s="3"/>
      <c r="R40" s="94" t="e">
        <f t="shared" si="3"/>
        <v>#DIV/0!</v>
      </c>
      <c r="S40" s="3"/>
      <c r="T40" s="3"/>
      <c r="U40" s="14"/>
      <c r="V40" s="3"/>
      <c r="W40" s="3"/>
      <c r="X40" s="14"/>
      <c r="Y40" s="45">
        <f t="shared" si="12"/>
        <v>0</v>
      </c>
      <c r="Z40" s="45">
        <f t="shared" si="13"/>
        <v>0</v>
      </c>
      <c r="AA40" s="94" t="e">
        <f t="shared" si="6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6"/>
        <v>1458.5</v>
      </c>
      <c r="AT40" s="3">
        <f t="shared" si="17"/>
        <v>183</v>
      </c>
      <c r="AU40" s="14">
        <f t="shared" si="29"/>
        <v>12.547137470003427</v>
      </c>
      <c r="AV40" s="14">
        <f t="shared" si="18"/>
        <v>1275.5</v>
      </c>
      <c r="AW40" s="4">
        <f t="shared" si="19"/>
        <v>881</v>
      </c>
      <c r="AX40" s="20">
        <f t="shared" si="7"/>
        <v>1458.5</v>
      </c>
      <c r="AY40" s="20">
        <f t="shared" si="8"/>
        <v>183</v>
      </c>
      <c r="AZ40" s="20">
        <f t="shared" si="9"/>
        <v>881</v>
      </c>
    </row>
    <row r="41" spans="1:52" ht="34.5" customHeight="1">
      <c r="A41" s="6">
        <v>30</v>
      </c>
      <c r="B41" s="105" t="s">
        <v>55</v>
      </c>
      <c r="C41" s="2">
        <v>-658.4</v>
      </c>
      <c r="D41" s="3">
        <v>1033.5</v>
      </c>
      <c r="E41" s="3">
        <v>0</v>
      </c>
      <c r="F41" s="96">
        <f t="shared" si="24"/>
        <v>0</v>
      </c>
      <c r="G41" s="3">
        <v>1067.5</v>
      </c>
      <c r="H41" s="3">
        <v>174</v>
      </c>
      <c r="I41" s="94">
        <f t="shared" si="2"/>
        <v>16.29976580796253</v>
      </c>
      <c r="J41" s="3"/>
      <c r="K41" s="3"/>
      <c r="L41" s="94" t="e">
        <f t="shared" si="4"/>
        <v>#DIV/0!</v>
      </c>
      <c r="M41" s="3">
        <f t="shared" si="27"/>
        <v>2101</v>
      </c>
      <c r="N41" s="3">
        <f t="shared" si="28"/>
        <v>174</v>
      </c>
      <c r="O41" s="94">
        <f t="shared" si="5"/>
        <v>8.281770585435506</v>
      </c>
      <c r="P41" s="3"/>
      <c r="Q41" s="3"/>
      <c r="R41" s="94" t="e">
        <f t="shared" si="3"/>
        <v>#DIV/0!</v>
      </c>
      <c r="S41" s="3"/>
      <c r="T41" s="3"/>
      <c r="U41" s="28" t="e">
        <f>T41/S41*100</f>
        <v>#DIV/0!</v>
      </c>
      <c r="V41" s="3"/>
      <c r="W41" s="3"/>
      <c r="X41" s="28"/>
      <c r="Y41" s="45">
        <f t="shared" si="12"/>
        <v>0</v>
      </c>
      <c r="Z41" s="45">
        <f t="shared" si="13"/>
        <v>0</v>
      </c>
      <c r="AA41" s="94" t="e">
        <f t="shared" si="6"/>
        <v>#DIV/0!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6"/>
        <v>2101</v>
      </c>
      <c r="AT41" s="3">
        <f t="shared" si="17"/>
        <v>174</v>
      </c>
      <c r="AU41" s="96">
        <f t="shared" si="29"/>
        <v>8.281770585435506</v>
      </c>
      <c r="AV41" s="14">
        <f t="shared" si="18"/>
        <v>1927</v>
      </c>
      <c r="AW41" s="4">
        <f t="shared" si="19"/>
        <v>1268.6</v>
      </c>
      <c r="AX41" s="20">
        <f t="shared" si="7"/>
        <v>2101</v>
      </c>
      <c r="AY41" s="20">
        <f t="shared" si="8"/>
        <v>174</v>
      </c>
      <c r="AZ41" s="20">
        <f t="shared" si="9"/>
        <v>1268.6</v>
      </c>
    </row>
    <row r="42" spans="1:52" ht="34.5" customHeight="1">
      <c r="A42" s="6">
        <v>31</v>
      </c>
      <c r="B42" s="105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94" t="e">
        <f t="shared" si="2"/>
        <v>#DIV/0!</v>
      </c>
      <c r="J42" s="3"/>
      <c r="K42" s="3"/>
      <c r="L42" s="28" t="e">
        <f t="shared" si="4"/>
        <v>#DIV/0!</v>
      </c>
      <c r="M42" s="93">
        <f t="shared" si="27"/>
        <v>0</v>
      </c>
      <c r="N42" s="93">
        <f t="shared" si="28"/>
        <v>0</v>
      </c>
      <c r="O42" s="28" t="e">
        <f t="shared" si="5"/>
        <v>#DIV/0!</v>
      </c>
      <c r="P42" s="93"/>
      <c r="Q42" s="93"/>
      <c r="R42" s="28" t="e">
        <f t="shared" si="3"/>
        <v>#DIV/0!</v>
      </c>
      <c r="S42" s="93"/>
      <c r="T42" s="93"/>
      <c r="U42" s="28"/>
      <c r="V42" s="93"/>
      <c r="W42" s="93"/>
      <c r="X42" s="28"/>
      <c r="Y42" s="99">
        <f t="shared" si="12"/>
        <v>0</v>
      </c>
      <c r="Z42" s="99">
        <f t="shared" si="13"/>
        <v>0</v>
      </c>
      <c r="AA42" s="28" t="e">
        <f t="shared" si="6"/>
        <v>#DIV/0!</v>
      </c>
      <c r="AB42" s="93"/>
      <c r="AC42" s="93"/>
      <c r="AD42" s="28"/>
      <c r="AE42" s="93"/>
      <c r="AF42" s="93"/>
      <c r="AG42" s="28"/>
      <c r="AH42" s="93"/>
      <c r="AI42" s="93"/>
      <c r="AJ42" s="93"/>
      <c r="AK42" s="93"/>
      <c r="AL42" s="28"/>
      <c r="AM42" s="93"/>
      <c r="AN42" s="93"/>
      <c r="AO42" s="93"/>
      <c r="AP42" s="93"/>
      <c r="AQ42" s="93"/>
      <c r="AR42" s="93"/>
      <c r="AS42" s="93">
        <f t="shared" si="16"/>
        <v>0</v>
      </c>
      <c r="AT42" s="93">
        <f t="shared" si="17"/>
        <v>0</v>
      </c>
      <c r="AU42" s="28"/>
      <c r="AV42" s="28">
        <f t="shared" si="18"/>
        <v>0</v>
      </c>
      <c r="AW42" s="99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57</v>
      </c>
      <c r="C43" s="2">
        <v>-449.4</v>
      </c>
      <c r="D43" s="3">
        <v>555.7</v>
      </c>
      <c r="E43" s="3">
        <v>0</v>
      </c>
      <c r="F43" s="14">
        <f t="shared" si="24"/>
        <v>0</v>
      </c>
      <c r="G43" s="3">
        <v>433.3</v>
      </c>
      <c r="H43" s="3">
        <v>41.8</v>
      </c>
      <c r="I43" s="94">
        <f t="shared" si="2"/>
        <v>9.646895915070388</v>
      </c>
      <c r="J43" s="3"/>
      <c r="K43" s="3"/>
      <c r="L43" s="94" t="e">
        <f t="shared" si="4"/>
        <v>#DIV/0!</v>
      </c>
      <c r="M43" s="3">
        <f t="shared" si="27"/>
        <v>989</v>
      </c>
      <c r="N43" s="3">
        <f t="shared" si="28"/>
        <v>41.8</v>
      </c>
      <c r="O43" s="94">
        <f t="shared" si="5"/>
        <v>4.22649140546006</v>
      </c>
      <c r="P43" s="3"/>
      <c r="Q43" s="3"/>
      <c r="R43" s="94" t="e">
        <f t="shared" si="3"/>
        <v>#DIV/0!</v>
      </c>
      <c r="S43" s="3"/>
      <c r="T43" s="3"/>
      <c r="U43" s="28" t="e">
        <f>T43/S43*100</f>
        <v>#DIV/0!</v>
      </c>
      <c r="V43" s="3"/>
      <c r="W43" s="3"/>
      <c r="X43" s="28"/>
      <c r="Y43" s="45">
        <f t="shared" si="12"/>
        <v>0</v>
      </c>
      <c r="Z43" s="45">
        <f t="shared" si="13"/>
        <v>0</v>
      </c>
      <c r="AA43" s="94" t="e">
        <f t="shared" si="6"/>
        <v>#DIV/0!</v>
      </c>
      <c r="AB43" s="3"/>
      <c r="AC43" s="3"/>
      <c r="AD43" s="28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6"/>
        <v>989</v>
      </c>
      <c r="AT43" s="3">
        <f t="shared" si="17"/>
        <v>41.8</v>
      </c>
      <c r="AU43" s="14">
        <f t="shared" si="29"/>
        <v>4.22649140546006</v>
      </c>
      <c r="AV43" s="14">
        <f t="shared" si="18"/>
        <v>947.2</v>
      </c>
      <c r="AW43" s="4">
        <f t="shared" si="19"/>
        <v>497.8</v>
      </c>
      <c r="AX43" s="20">
        <f t="shared" si="7"/>
        <v>989</v>
      </c>
      <c r="AY43" s="20">
        <f t="shared" si="8"/>
        <v>41.8</v>
      </c>
      <c r="AZ43" s="20">
        <f t="shared" si="9"/>
        <v>497.8</v>
      </c>
    </row>
    <row r="44" spans="1:52" s="40" customFormat="1" ht="34.5" customHeight="1">
      <c r="A44" s="6">
        <v>33</v>
      </c>
      <c r="B44" s="105" t="s">
        <v>58</v>
      </c>
      <c r="C44" s="2">
        <v>-313.1</v>
      </c>
      <c r="D44" s="3">
        <v>910.7</v>
      </c>
      <c r="E44" s="3">
        <v>6.2</v>
      </c>
      <c r="F44" s="14">
        <f t="shared" si="24"/>
        <v>0.6807949928626331</v>
      </c>
      <c r="G44" s="3">
        <v>854.2</v>
      </c>
      <c r="H44" s="3">
        <v>123.3</v>
      </c>
      <c r="I44" s="94">
        <f t="shared" si="2"/>
        <v>14.434558651369702</v>
      </c>
      <c r="J44" s="3"/>
      <c r="K44" s="3"/>
      <c r="L44" s="94" t="e">
        <f t="shared" si="4"/>
        <v>#DIV/0!</v>
      </c>
      <c r="M44" s="3">
        <f t="shared" si="27"/>
        <v>1764.9</v>
      </c>
      <c r="N44" s="3">
        <f t="shared" si="28"/>
        <v>129.5</v>
      </c>
      <c r="O44" s="94">
        <f t="shared" si="5"/>
        <v>7.337526205450734</v>
      </c>
      <c r="P44" s="3"/>
      <c r="Q44" s="3"/>
      <c r="R44" s="94" t="e">
        <f t="shared" si="3"/>
        <v>#DIV/0!</v>
      </c>
      <c r="S44" s="3"/>
      <c r="T44" s="3"/>
      <c r="U44" s="14"/>
      <c r="V44" s="3"/>
      <c r="W44" s="3"/>
      <c r="X44" s="14"/>
      <c r="Y44" s="45">
        <f t="shared" si="12"/>
        <v>0</v>
      </c>
      <c r="Z44" s="45">
        <f t="shared" si="13"/>
        <v>0</v>
      </c>
      <c r="AA44" s="94" t="e">
        <f t="shared" si="6"/>
        <v>#DIV/0!</v>
      </c>
      <c r="AB44" s="3"/>
      <c r="AC44" s="3"/>
      <c r="AD44" s="9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6"/>
        <v>#DIV/0!</v>
      </c>
      <c r="AM44" s="3"/>
      <c r="AN44" s="3"/>
      <c r="AO44" s="3"/>
      <c r="AP44" s="3"/>
      <c r="AQ44" s="3"/>
      <c r="AR44" s="3"/>
      <c r="AS44" s="3">
        <f t="shared" si="16"/>
        <v>1764.9</v>
      </c>
      <c r="AT44" s="3">
        <f t="shared" si="17"/>
        <v>129.5</v>
      </c>
      <c r="AU44" s="14">
        <f t="shared" si="29"/>
        <v>7.337526205450734</v>
      </c>
      <c r="AV44" s="14">
        <f t="shared" si="18"/>
        <v>1635.4</v>
      </c>
      <c r="AW44" s="4">
        <f t="shared" si="19"/>
        <v>1322.3000000000002</v>
      </c>
      <c r="AX44" s="20">
        <f t="shared" si="7"/>
        <v>1764.9</v>
      </c>
      <c r="AY44" s="20">
        <f t="shared" si="8"/>
        <v>129.5</v>
      </c>
      <c r="AZ44" s="20">
        <f t="shared" si="9"/>
        <v>1322.3000000000002</v>
      </c>
    </row>
    <row r="45" spans="1:52" s="110" customFormat="1" ht="34.5" customHeight="1">
      <c r="A45" s="111">
        <v>34</v>
      </c>
      <c r="B45" s="112" t="s">
        <v>59</v>
      </c>
      <c r="C45" s="102">
        <f>C46+C47+C48</f>
        <v>-11530</v>
      </c>
      <c r="D45" s="102">
        <f>D46+D47+D48</f>
        <v>69651.4</v>
      </c>
      <c r="E45" s="102">
        <f>E46+E47+E48</f>
        <v>521</v>
      </c>
      <c r="F45" s="94">
        <f t="shared" si="24"/>
        <v>0.7480108081101027</v>
      </c>
      <c r="G45" s="102">
        <f>G46+G47+G48</f>
        <v>76472.3</v>
      </c>
      <c r="H45" s="102">
        <f>H46+H47+H48</f>
        <v>51312.8</v>
      </c>
      <c r="I45" s="94">
        <f t="shared" si="2"/>
        <v>67.099851841778</v>
      </c>
      <c r="J45" s="102">
        <f>J46+J47</f>
        <v>0</v>
      </c>
      <c r="K45" s="102">
        <f>K46+K47</f>
        <v>0</v>
      </c>
      <c r="L45" s="94" t="e">
        <f t="shared" si="4"/>
        <v>#DIV/0!</v>
      </c>
      <c r="M45" s="102">
        <f>M46+M47</f>
        <v>146042</v>
      </c>
      <c r="N45" s="102">
        <f>N46+N47</f>
        <v>51743.8</v>
      </c>
      <c r="O45" s="94">
        <f t="shared" si="5"/>
        <v>35.430766491831115</v>
      </c>
      <c r="P45" s="102">
        <f>P46+P47</f>
        <v>0</v>
      </c>
      <c r="Q45" s="102">
        <f>Q46+Q47</f>
        <v>0</v>
      </c>
      <c r="R45" s="94" t="e">
        <f t="shared" si="3"/>
        <v>#DIV/0!</v>
      </c>
      <c r="S45" s="102">
        <f>S46+S47</f>
        <v>0</v>
      </c>
      <c r="T45" s="102">
        <f>T46+T47</f>
        <v>0</v>
      </c>
      <c r="U45" s="94" t="e">
        <f>T45/S45*100</f>
        <v>#DIV/0!</v>
      </c>
      <c r="V45" s="102">
        <f>V46+V47</f>
        <v>0</v>
      </c>
      <c r="W45" s="102">
        <f>W46+W47</f>
        <v>0</v>
      </c>
      <c r="X45" s="94" t="e">
        <f>W45/V45*100</f>
        <v>#DIV/0!</v>
      </c>
      <c r="Y45" s="102">
        <f>Y46+Y47</f>
        <v>0</v>
      </c>
      <c r="Z45" s="102">
        <f>Z46+Z47</f>
        <v>0</v>
      </c>
      <c r="AA45" s="94" t="e">
        <f t="shared" si="6"/>
        <v>#DIV/0!</v>
      </c>
      <c r="AB45" s="102">
        <f>AB46+AB47</f>
        <v>0</v>
      </c>
      <c r="AC45" s="102">
        <f>AC46+AC47</f>
        <v>0</v>
      </c>
      <c r="AD45" s="94" t="e">
        <f>AC45/AB45*100</f>
        <v>#DIV/0!</v>
      </c>
      <c r="AE45" s="102">
        <f>AE46+AE47</f>
        <v>0</v>
      </c>
      <c r="AF45" s="102">
        <f>AF46+AF47</f>
        <v>0</v>
      </c>
      <c r="AG45" s="94" t="e">
        <f>AF45/AE45*100</f>
        <v>#DIV/0!</v>
      </c>
      <c r="AH45" s="102">
        <f>AH46+AH47</f>
        <v>0</v>
      </c>
      <c r="AI45" s="102">
        <f>AI46+AI47</f>
        <v>0</v>
      </c>
      <c r="AJ45" s="102">
        <f>AJ46+AJ47</f>
        <v>0</v>
      </c>
      <c r="AK45" s="102">
        <f>AK46+AK47</f>
        <v>0</v>
      </c>
      <c r="AL45" s="94" t="e">
        <f t="shared" si="26"/>
        <v>#DIV/0!</v>
      </c>
      <c r="AM45" s="102">
        <f>AM46+AM47</f>
        <v>0</v>
      </c>
      <c r="AN45" s="102">
        <f>AN46+AN47</f>
        <v>0</v>
      </c>
      <c r="AO45" s="102">
        <f>AO46+AO47</f>
        <v>0</v>
      </c>
      <c r="AP45" s="102">
        <f>AP46+AP47</f>
        <v>0</v>
      </c>
      <c r="AQ45" s="102">
        <f>AQ46+AQ47</f>
        <v>0</v>
      </c>
      <c r="AR45" s="102">
        <f>AR46+AR47</f>
        <v>0</v>
      </c>
      <c r="AS45" s="102">
        <f>AS46+AS47+AS48</f>
        <v>146123.7</v>
      </c>
      <c r="AT45" s="102">
        <f>AT46+AT47+AT48</f>
        <v>51833.8</v>
      </c>
      <c r="AU45" s="94">
        <f t="shared" si="29"/>
        <v>35.47254825876979</v>
      </c>
      <c r="AV45" s="102">
        <f>AV46+AV47+AV48</f>
        <v>94289.9</v>
      </c>
      <c r="AW45" s="102">
        <f>AW46+AW47+AW48</f>
        <v>82759.9</v>
      </c>
      <c r="AX45" s="20">
        <f>AX46+AX47+AX48</f>
        <v>146123.7</v>
      </c>
      <c r="AY45" s="20">
        <f>AY46+AY47+AY48</f>
        <v>51833.8</v>
      </c>
      <c r="AZ45" s="20">
        <f>AZ46+AZ47+AZ48</f>
        <v>82759.9</v>
      </c>
    </row>
    <row r="46" spans="1:52" s="47" customFormat="1" ht="34.5" customHeight="1">
      <c r="A46" s="38"/>
      <c r="B46" s="1" t="s">
        <v>64</v>
      </c>
      <c r="C46" s="2">
        <v>-11530</v>
      </c>
      <c r="D46" s="3">
        <v>68903</v>
      </c>
      <c r="E46" s="3">
        <v>521</v>
      </c>
      <c r="F46" s="14">
        <f t="shared" si="24"/>
        <v>0.7561354367734351</v>
      </c>
      <c r="G46" s="3">
        <v>75247</v>
      </c>
      <c r="H46" s="3">
        <v>50240</v>
      </c>
      <c r="I46" s="94">
        <f t="shared" si="2"/>
        <v>66.76678139992292</v>
      </c>
      <c r="J46" s="3"/>
      <c r="K46" s="3"/>
      <c r="L46" s="94" t="e">
        <f t="shared" si="4"/>
        <v>#DIV/0!</v>
      </c>
      <c r="M46" s="3">
        <f aca="true" t="shared" si="30" ref="M46:N48">D46+G46+J46</f>
        <v>144150</v>
      </c>
      <c r="N46" s="3">
        <f t="shared" si="30"/>
        <v>50761</v>
      </c>
      <c r="O46" s="94">
        <f t="shared" si="5"/>
        <v>35.21401318071453</v>
      </c>
      <c r="P46" s="3"/>
      <c r="Q46" s="3"/>
      <c r="R46" s="94" t="e">
        <f t="shared" si="3"/>
        <v>#DIV/0!</v>
      </c>
      <c r="S46" s="3"/>
      <c r="T46" s="3"/>
      <c r="U46" s="14" t="e">
        <f>T46/S46*100</f>
        <v>#DIV/0!</v>
      </c>
      <c r="V46" s="3"/>
      <c r="W46" s="3"/>
      <c r="X46" s="14"/>
      <c r="Y46" s="3">
        <f>P46+S46+V46</f>
        <v>0</v>
      </c>
      <c r="Z46" s="3">
        <f>Q46+T46+W46</f>
        <v>0</v>
      </c>
      <c r="AA46" s="94" t="e">
        <f t="shared" si="6"/>
        <v>#DIV/0!</v>
      </c>
      <c r="AB46" s="3"/>
      <c r="AC46" s="3"/>
      <c r="AD46" s="94" t="e">
        <f>AC46/AB46*100</f>
        <v>#DIV/0!</v>
      </c>
      <c r="AE46" s="3"/>
      <c r="AF46" s="3"/>
      <c r="AG46" s="28"/>
      <c r="AH46" s="3"/>
      <c r="AI46" s="3"/>
      <c r="AJ46" s="3">
        <f>AB46+AE46+AH46</f>
        <v>0</v>
      </c>
      <c r="AK46" s="3">
        <f>AC46+AF46+AI46</f>
        <v>0</v>
      </c>
      <c r="AL46" s="14" t="e">
        <f t="shared" si="26"/>
        <v>#DIV/0!</v>
      </c>
      <c r="AM46" s="3"/>
      <c r="AN46" s="3"/>
      <c r="AO46" s="3"/>
      <c r="AP46" s="3"/>
      <c r="AQ46" s="3"/>
      <c r="AR46" s="3"/>
      <c r="AS46" s="3">
        <f aca="true" t="shared" si="31" ref="AS46:AT48">M46+Y46+AJ46+AM46+AO46+AQ46</f>
        <v>144150</v>
      </c>
      <c r="AT46" s="3">
        <f t="shared" si="31"/>
        <v>50761</v>
      </c>
      <c r="AU46" s="14">
        <f t="shared" si="29"/>
        <v>35.21401318071453</v>
      </c>
      <c r="AV46" s="14">
        <f>AS46-AT46</f>
        <v>93389</v>
      </c>
      <c r="AW46" s="4">
        <f>C46+AS46-AT46</f>
        <v>81859</v>
      </c>
      <c r="AX46" s="20">
        <f t="shared" si="7"/>
        <v>144150</v>
      </c>
      <c r="AY46" s="20">
        <f t="shared" si="8"/>
        <v>50761</v>
      </c>
      <c r="AZ46" s="20">
        <f t="shared" si="9"/>
        <v>81859</v>
      </c>
    </row>
    <row r="47" spans="1:52" s="8" customFormat="1" ht="34.5" customHeight="1">
      <c r="A47" s="38"/>
      <c r="B47" s="1" t="s">
        <v>65</v>
      </c>
      <c r="C47" s="2">
        <v>0</v>
      </c>
      <c r="D47" s="3">
        <v>748.4</v>
      </c>
      <c r="E47" s="3">
        <v>0</v>
      </c>
      <c r="F47" s="14">
        <f t="shared" si="24"/>
        <v>0</v>
      </c>
      <c r="G47" s="41">
        <v>1143.6</v>
      </c>
      <c r="H47" s="41">
        <v>982.8</v>
      </c>
      <c r="I47" s="94">
        <f t="shared" si="2"/>
        <v>85.93913955928647</v>
      </c>
      <c r="J47" s="41"/>
      <c r="K47" s="41"/>
      <c r="L47" s="94" t="e">
        <f t="shared" si="4"/>
        <v>#DIV/0!</v>
      </c>
      <c r="M47" s="3">
        <f t="shared" si="30"/>
        <v>1892</v>
      </c>
      <c r="N47" s="3">
        <f t="shared" si="30"/>
        <v>982.8</v>
      </c>
      <c r="O47" s="94">
        <f t="shared" si="5"/>
        <v>51.945031712473565</v>
      </c>
      <c r="P47" s="41"/>
      <c r="Q47" s="41"/>
      <c r="R47" s="94" t="e">
        <f t="shared" si="3"/>
        <v>#DIV/0!</v>
      </c>
      <c r="S47" s="41"/>
      <c r="T47" s="41"/>
      <c r="U47" s="14" t="e">
        <f>T47/S47*100</f>
        <v>#DIV/0!</v>
      </c>
      <c r="V47" s="41"/>
      <c r="W47" s="41"/>
      <c r="X47" s="14"/>
      <c r="Y47" s="3">
        <f>P47+S47+V47</f>
        <v>0</v>
      </c>
      <c r="Z47" s="3">
        <f>Q47+T47+W47</f>
        <v>0</v>
      </c>
      <c r="AA47" s="94" t="e">
        <f t="shared" si="6"/>
        <v>#DIV/0!</v>
      </c>
      <c r="AB47" s="41"/>
      <c r="AC47" s="41"/>
      <c r="AD47" s="94" t="e">
        <f>AC47/AB47*100</f>
        <v>#DIV/0!</v>
      </c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6"/>
        <v>#DIV/0!</v>
      </c>
      <c r="AM47" s="41"/>
      <c r="AN47" s="41"/>
      <c r="AO47" s="41"/>
      <c r="AP47" s="41"/>
      <c r="AQ47" s="41"/>
      <c r="AR47" s="41"/>
      <c r="AS47" s="3">
        <f t="shared" si="31"/>
        <v>1892</v>
      </c>
      <c r="AT47" s="3">
        <f t="shared" si="31"/>
        <v>982.8</v>
      </c>
      <c r="AU47" s="14">
        <f t="shared" si="29"/>
        <v>51.945031712473565</v>
      </c>
      <c r="AV47" s="14">
        <f>AS47-AT47</f>
        <v>909.2</v>
      </c>
      <c r="AW47" s="4">
        <f>C47+AS47-AT47</f>
        <v>909.2</v>
      </c>
      <c r="AX47" s="20">
        <f t="shared" si="7"/>
        <v>1892</v>
      </c>
      <c r="AY47" s="20">
        <f t="shared" si="8"/>
        <v>982.8</v>
      </c>
      <c r="AZ47" s="20">
        <f t="shared" si="9"/>
        <v>909.2</v>
      </c>
    </row>
    <row r="48" spans="1:52" s="8" customFormat="1" ht="34.5" customHeight="1">
      <c r="A48" s="38"/>
      <c r="B48" s="1" t="s">
        <v>101</v>
      </c>
      <c r="C48" s="2">
        <v>0</v>
      </c>
      <c r="D48" s="3">
        <v>0</v>
      </c>
      <c r="E48" s="3">
        <v>0</v>
      </c>
      <c r="F48" s="14">
        <v>0</v>
      </c>
      <c r="G48" s="41">
        <v>81.7</v>
      </c>
      <c r="H48" s="41">
        <v>90</v>
      </c>
      <c r="I48" s="94">
        <f t="shared" si="2"/>
        <v>110.15911872705017</v>
      </c>
      <c r="J48" s="41"/>
      <c r="K48" s="41"/>
      <c r="L48" s="94"/>
      <c r="M48" s="3">
        <f t="shared" si="30"/>
        <v>81.7</v>
      </c>
      <c r="N48" s="3">
        <f t="shared" si="30"/>
        <v>90</v>
      </c>
      <c r="O48" s="94">
        <f t="shared" si="5"/>
        <v>110.15911872705017</v>
      </c>
      <c r="P48" s="41"/>
      <c r="Q48" s="41"/>
      <c r="R48" s="94"/>
      <c r="S48" s="41"/>
      <c r="T48" s="41"/>
      <c r="U48" s="14"/>
      <c r="V48" s="41"/>
      <c r="W48" s="41"/>
      <c r="X48" s="14"/>
      <c r="Y48" s="3"/>
      <c r="Z48" s="3"/>
      <c r="AA48" s="94"/>
      <c r="AB48" s="41"/>
      <c r="AC48" s="41"/>
      <c r="AD48" s="94"/>
      <c r="AE48" s="41"/>
      <c r="AF48" s="41"/>
      <c r="AG48" s="36"/>
      <c r="AH48" s="41"/>
      <c r="AI48" s="41"/>
      <c r="AJ48" s="3"/>
      <c r="AK48" s="3"/>
      <c r="AL48" s="14"/>
      <c r="AM48" s="41"/>
      <c r="AN48" s="41"/>
      <c r="AO48" s="41"/>
      <c r="AP48" s="41"/>
      <c r="AQ48" s="41"/>
      <c r="AR48" s="41"/>
      <c r="AS48" s="3">
        <f t="shared" si="31"/>
        <v>81.7</v>
      </c>
      <c r="AT48" s="3">
        <f t="shared" si="31"/>
        <v>90</v>
      </c>
      <c r="AU48" s="14">
        <f t="shared" si="29"/>
        <v>110.15911872705017</v>
      </c>
      <c r="AV48" s="14">
        <f>AS48-AT48</f>
        <v>-8.299999999999997</v>
      </c>
      <c r="AW48" s="4">
        <f>C48+AS48-AT48</f>
        <v>-8.299999999999997</v>
      </c>
      <c r="AX48" s="20">
        <f t="shared" si="7"/>
        <v>81.7</v>
      </c>
      <c r="AY48" s="20">
        <f t="shared" si="8"/>
        <v>90</v>
      </c>
      <c r="AZ48" s="20">
        <f t="shared" si="9"/>
        <v>-8.299999999999997</v>
      </c>
    </row>
    <row r="49" spans="1:52" s="8" customFormat="1" ht="34.5" customHeight="1">
      <c r="A49" s="38"/>
      <c r="B49" s="16" t="s">
        <v>60</v>
      </c>
      <c r="C49" s="45">
        <f>C7+C45</f>
        <v>-15560.9</v>
      </c>
      <c r="D49" s="45">
        <f>D7+D45</f>
        <v>77397.09999999999</v>
      </c>
      <c r="E49" s="45">
        <f>E7+E45</f>
        <v>562.8</v>
      </c>
      <c r="F49" s="14">
        <f t="shared" si="24"/>
        <v>0.7271590279222349</v>
      </c>
      <c r="G49" s="45">
        <f>G7+G45</f>
        <v>84545.6</v>
      </c>
      <c r="H49" s="45">
        <f>H7+H45</f>
        <v>54404.3</v>
      </c>
      <c r="I49" s="94">
        <f t="shared" si="2"/>
        <v>64.34906133494825</v>
      </c>
      <c r="J49" s="45">
        <f>J7+J45</f>
        <v>0</v>
      </c>
      <c r="K49" s="45">
        <f>K7+K45</f>
        <v>0</v>
      </c>
      <c r="L49" s="94" t="e">
        <f t="shared" si="4"/>
        <v>#DIV/0!</v>
      </c>
      <c r="M49" s="45">
        <f>M7+M45</f>
        <v>161861</v>
      </c>
      <c r="N49" s="45">
        <f>N7+N45</f>
        <v>54877.100000000006</v>
      </c>
      <c r="O49" s="94">
        <f t="shared" si="5"/>
        <v>33.903843421207085</v>
      </c>
      <c r="P49" s="45">
        <f>P7+P45</f>
        <v>0</v>
      </c>
      <c r="Q49" s="45">
        <f>Q7+Q45</f>
        <v>0</v>
      </c>
      <c r="R49" s="94" t="e">
        <f t="shared" si="3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94" t="e">
        <f t="shared" si="6"/>
        <v>#DIV/0!</v>
      </c>
      <c r="AB49" s="45">
        <f>AB7+AB45</f>
        <v>0</v>
      </c>
      <c r="AC49" s="45">
        <f>AC7+AC45</f>
        <v>0</v>
      </c>
      <c r="AD49" s="94" t="e">
        <f>AC49/AB49*100</f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2" ref="AM49:AT49">AM7+AM45</f>
        <v>0</v>
      </c>
      <c r="AN49" s="45">
        <f t="shared" si="32"/>
        <v>0</v>
      </c>
      <c r="AO49" s="45">
        <f t="shared" si="32"/>
        <v>0</v>
      </c>
      <c r="AP49" s="45">
        <f t="shared" si="32"/>
        <v>0</v>
      </c>
      <c r="AQ49" s="45">
        <f t="shared" si="32"/>
        <v>0</v>
      </c>
      <c r="AR49" s="45">
        <f t="shared" si="32"/>
        <v>0</v>
      </c>
      <c r="AS49" s="45">
        <f t="shared" si="32"/>
        <v>161942.7</v>
      </c>
      <c r="AT49" s="45">
        <f t="shared" si="32"/>
        <v>54967.100000000006</v>
      </c>
      <c r="AU49" s="14">
        <f>AT49/AS49*100</f>
        <v>33.94231416420747</v>
      </c>
      <c r="AV49" s="46">
        <f>AV7+AV45</f>
        <v>106975.59999999999</v>
      </c>
      <c r="AW49" s="46">
        <f>AW7+AW45</f>
        <v>91414.7</v>
      </c>
      <c r="AX49" s="20">
        <f>AX7+AX45</f>
        <v>161942.7</v>
      </c>
      <c r="AY49" s="20">
        <f>AY7+AY45</f>
        <v>54967.100000000006</v>
      </c>
      <c r="AZ49" s="20">
        <f>AZ7+AZ45</f>
        <v>91414.7</v>
      </c>
    </row>
    <row r="50" spans="1:49" s="116" customFormat="1" ht="86.25" customHeight="1">
      <c r="A50" s="239" t="s">
        <v>66</v>
      </c>
      <c r="B50" s="239"/>
      <c r="C50" s="239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18" t="s">
        <v>67</v>
      </c>
    </row>
    <row r="51" spans="1:49" ht="4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</row>
    <row r="52" spans="1:49" ht="18.75" customHeight="1" hidden="1">
      <c r="A52" s="6"/>
      <c r="B52" s="8" t="s">
        <v>14</v>
      </c>
      <c r="C52" s="48"/>
      <c r="D52" s="49"/>
      <c r="E52" s="50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7.5" customHeight="1" hidden="1">
      <c r="B53" s="8"/>
      <c r="C53" s="48"/>
      <c r="D53" s="48"/>
      <c r="E53" s="48"/>
      <c r="F53" s="51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48"/>
      <c r="D54" s="50"/>
      <c r="E54" s="48"/>
      <c r="F54" s="51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1:49" ht="24.75" customHeight="1">
      <c r="A55" s="55"/>
      <c r="B55" s="250"/>
      <c r="C55" s="250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52.5" customHeight="1">
      <c r="A56" s="56"/>
      <c r="B56" s="243" t="s">
        <v>19</v>
      </c>
      <c r="C56" s="243"/>
      <c r="D56" s="243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1:49" ht="49.5" customHeight="1" hidden="1">
      <c r="A57" s="55"/>
      <c r="B57" s="251" t="s">
        <v>5</v>
      </c>
      <c r="C57" s="251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4" ht="73.5" customHeight="1" hidden="1">
      <c r="A58" s="244" t="s">
        <v>17</v>
      </c>
      <c r="B58" s="244"/>
      <c r="C58" s="244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31"/>
      <c r="AZ58" s="31"/>
      <c r="BA58" s="52"/>
      <c r="BB58" s="54" t="s">
        <v>16</v>
      </c>
    </row>
    <row r="59" spans="2:49" ht="18.75">
      <c r="B59" s="5" t="s">
        <v>8</v>
      </c>
      <c r="C59" s="63">
        <v>91.5</v>
      </c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91.5</v>
      </c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18.75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2:49" ht="18.75">
      <c r="B62" s="5" t="s">
        <v>9</v>
      </c>
      <c r="C62" s="63">
        <f>C9+C17+C20+C26+C38+C40+C42</f>
        <v>-1018.1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1291.5</v>
      </c>
    </row>
    <row r="63" spans="2:49" ht="18.75">
      <c r="B63" s="5" t="s">
        <v>10</v>
      </c>
      <c r="C63" s="63">
        <f>C11+C13+C14+C16+C18+C19+C25</f>
        <v>-434.7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1059.8</v>
      </c>
    </row>
    <row r="64" spans="3:49" ht="18.75">
      <c r="C64" s="63"/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5">
    <mergeCell ref="A50:C50"/>
    <mergeCell ref="J5:L5"/>
    <mergeCell ref="G5:I5"/>
    <mergeCell ref="AM5:AN5"/>
    <mergeCell ref="AJ5:AL5"/>
    <mergeCell ref="M5:O5"/>
    <mergeCell ref="Y5:AA5"/>
    <mergeCell ref="AS5:AU5"/>
    <mergeCell ref="AV5:AV6"/>
    <mergeCell ref="D5:F5"/>
    <mergeCell ref="AO5:AP5"/>
    <mergeCell ref="AH5:AI5"/>
    <mergeCell ref="P5:R5"/>
    <mergeCell ref="V5:X5"/>
    <mergeCell ref="AQ5:AR5"/>
    <mergeCell ref="A2:AW3"/>
    <mergeCell ref="B55:C55"/>
    <mergeCell ref="S5:U5"/>
    <mergeCell ref="AE5:AG5"/>
    <mergeCell ref="AB5:AD5"/>
    <mergeCell ref="A58:C58"/>
    <mergeCell ref="B57:C57"/>
    <mergeCell ref="B56:D56"/>
    <mergeCell ref="AW5:AW6"/>
    <mergeCell ref="B4:C4"/>
  </mergeCells>
  <printOptions horizontalCentered="1"/>
  <pageMargins left="0" right="0" top="0" bottom="0" header="0" footer="0"/>
  <pageSetup fitToHeight="1" fitToWidth="1" horizontalDpi="600" verticalDpi="600" orientation="portrait" paperSize="9" scale="38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70" zoomScaleNormal="75" zoomScaleSheetLayoutView="70" zoomScalePageLayoutView="0" workbookViewId="0" topLeftCell="A3">
      <pane xSplit="6" ySplit="5" topLeftCell="AS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18" sqref="A18:IV18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customWidth="1"/>
    <col min="5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75390625" style="8" hidden="1" customWidth="1"/>
    <col min="13" max="13" width="12.75390625" style="8" hidden="1" customWidth="1"/>
    <col min="14" max="14" width="13.2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42" t="s">
        <v>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</row>
    <row r="3" spans="1:49" s="30" customFormat="1" ht="60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</row>
    <row r="4" spans="2:49" ht="34.5" customHeight="1">
      <c r="B4" s="64"/>
      <c r="C4" s="64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35" t="s">
        <v>68</v>
      </c>
      <c r="E5" s="236"/>
      <c r="F5" s="237"/>
      <c r="G5" s="232" t="s">
        <v>70</v>
      </c>
      <c r="H5" s="233"/>
      <c r="I5" s="234"/>
      <c r="J5" s="245" t="s">
        <v>71</v>
      </c>
      <c r="K5" s="246"/>
      <c r="L5" s="247"/>
      <c r="M5" s="232" t="s">
        <v>73</v>
      </c>
      <c r="N5" s="233"/>
      <c r="O5" s="234"/>
      <c r="P5" s="232" t="s">
        <v>72</v>
      </c>
      <c r="Q5" s="233"/>
      <c r="R5" s="234"/>
      <c r="S5" s="245" t="s">
        <v>75</v>
      </c>
      <c r="T5" s="246"/>
      <c r="U5" s="247"/>
      <c r="V5" s="245" t="s">
        <v>76</v>
      </c>
      <c r="W5" s="246"/>
      <c r="X5" s="247"/>
      <c r="Y5" s="232" t="s">
        <v>77</v>
      </c>
      <c r="Z5" s="233"/>
      <c r="AA5" s="234"/>
      <c r="AB5" s="232" t="s">
        <v>78</v>
      </c>
      <c r="AC5" s="233"/>
      <c r="AD5" s="234"/>
      <c r="AE5" s="232" t="s">
        <v>79</v>
      </c>
      <c r="AF5" s="233"/>
      <c r="AG5" s="234"/>
      <c r="AH5" s="232" t="s">
        <v>80</v>
      </c>
      <c r="AI5" s="234"/>
      <c r="AJ5" s="232" t="s">
        <v>81</v>
      </c>
      <c r="AK5" s="233"/>
      <c r="AL5" s="234"/>
      <c r="AM5" s="232" t="s">
        <v>82</v>
      </c>
      <c r="AN5" s="234"/>
      <c r="AO5" s="232" t="s">
        <v>83</v>
      </c>
      <c r="AP5" s="234"/>
      <c r="AQ5" s="232" t="s">
        <v>84</v>
      </c>
      <c r="AR5" s="234"/>
      <c r="AS5" s="235" t="s">
        <v>87</v>
      </c>
      <c r="AT5" s="236"/>
      <c r="AU5" s="237"/>
      <c r="AV5" s="240" t="s">
        <v>91</v>
      </c>
      <c r="AW5" s="240" t="s">
        <v>92</v>
      </c>
    </row>
    <row r="6" spans="1:49" ht="41.2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41"/>
      <c r="AW6" s="241"/>
    </row>
    <row r="7" spans="1:52" s="110" customFormat="1" ht="34.5" customHeight="1">
      <c r="A7" s="107"/>
      <c r="B7" s="108" t="s">
        <v>62</v>
      </c>
      <c r="C7" s="94">
        <f aca="true" t="shared" si="0" ref="C7:AR7">SUM(C8:C44)-C33-C34-C35-C36</f>
        <v>-11048.5</v>
      </c>
      <c r="D7" s="94">
        <f t="shared" si="0"/>
        <v>60082.69999999999</v>
      </c>
      <c r="E7" s="94">
        <f t="shared" si="0"/>
        <v>16141.999999999996</v>
      </c>
      <c r="F7" s="94">
        <f aca="true" t="shared" si="1" ref="F7:F28">E7/D7*100</f>
        <v>26.86630261289855</v>
      </c>
      <c r="G7" s="94">
        <f t="shared" si="0"/>
        <v>56333.2</v>
      </c>
      <c r="H7" s="94">
        <f t="shared" si="0"/>
        <v>50338.6</v>
      </c>
      <c r="I7" s="14">
        <f aca="true" t="shared" si="2" ref="I7:I44">H7/G7*100</f>
        <v>89.35867303827938</v>
      </c>
      <c r="J7" s="94">
        <f t="shared" si="0"/>
        <v>0</v>
      </c>
      <c r="K7" s="94">
        <f t="shared" si="0"/>
        <v>0</v>
      </c>
      <c r="L7" s="94" t="e">
        <f>K7/J7*100</f>
        <v>#DIV/0!</v>
      </c>
      <c r="M7" s="94">
        <f t="shared" si="0"/>
        <v>116415.89999999997</v>
      </c>
      <c r="N7" s="94">
        <f t="shared" si="0"/>
        <v>66480.59999999998</v>
      </c>
      <c r="O7" s="94">
        <f>N7/M7*100</f>
        <v>57.106116947942674</v>
      </c>
      <c r="P7" s="94">
        <f t="shared" si="0"/>
        <v>0</v>
      </c>
      <c r="Q7" s="94">
        <f t="shared" si="0"/>
        <v>0</v>
      </c>
      <c r="R7" s="94" t="e">
        <f>Q7/P7*100</f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14" t="e">
        <f aca="true" t="shared" si="3" ref="AA7:AA49">Z7/Y7*100</f>
        <v>#DIV/0!</v>
      </c>
      <c r="AB7" s="94">
        <f t="shared" si="0"/>
        <v>0</v>
      </c>
      <c r="AC7" s="94">
        <f t="shared" si="0"/>
        <v>0</v>
      </c>
      <c r="AD7" s="1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116415.89999999997</v>
      </c>
      <c r="AT7" s="94">
        <f>SUM(AT8:AT44)-AT33-AT34-AT35-AT36</f>
        <v>66480.59999999998</v>
      </c>
      <c r="AU7" s="94">
        <f>AT7/AS7*100</f>
        <v>57.106116947942674</v>
      </c>
      <c r="AV7" s="94">
        <f>SUM(AV8:AV44)-AV33-AV34-AV35-AV36</f>
        <v>49935.3</v>
      </c>
      <c r="AW7" s="94">
        <f>SUM(AW8:AW44)-AW33-AW34-AW35-AW36</f>
        <v>38886.799999999996</v>
      </c>
      <c r="AX7" s="20">
        <f>M7+Y7+AJ7+AM7+AO7+AQ7</f>
        <v>116415.89999999997</v>
      </c>
      <c r="AY7" s="20">
        <f>N7+Z7+AK7+AN7+AP7+AR7</f>
        <v>66480.59999999998</v>
      </c>
      <c r="AZ7" s="20">
        <f>C7+AX7-AY7</f>
        <v>38886.79999999999</v>
      </c>
    </row>
    <row r="8" spans="1:52" ht="34.5" customHeight="1">
      <c r="A8" s="6">
        <v>1</v>
      </c>
      <c r="B8" s="1" t="s">
        <v>27</v>
      </c>
      <c r="C8" s="2">
        <f>-85.9+(-1242.8)</f>
        <v>-1328.7</v>
      </c>
      <c r="D8" s="3">
        <f>324.9+2769.8</f>
        <v>3094.7000000000003</v>
      </c>
      <c r="E8" s="3">
        <f>149.6+1365.6</f>
        <v>1515.1999999999998</v>
      </c>
      <c r="F8" s="14">
        <f t="shared" si="1"/>
        <v>48.96112708824764</v>
      </c>
      <c r="G8" s="3">
        <f>294.4+2451.3</f>
        <v>2745.7000000000003</v>
      </c>
      <c r="H8" s="3">
        <f>221.1+2373.2</f>
        <v>2594.2999999999997</v>
      </c>
      <c r="I8" s="14">
        <f t="shared" si="2"/>
        <v>94.48592344393049</v>
      </c>
      <c r="J8" s="3"/>
      <c r="K8" s="3"/>
      <c r="L8" s="94" t="e">
        <f aca="true" t="shared" si="4" ref="L8:L49">K8/J8*100</f>
        <v>#DIV/0!</v>
      </c>
      <c r="M8" s="3">
        <f>D8+G8+J8</f>
        <v>5840.400000000001</v>
      </c>
      <c r="N8" s="3">
        <f>E8+H8+K8</f>
        <v>4109.5</v>
      </c>
      <c r="O8" s="94">
        <f>N8/M8*100</f>
        <v>70.36333127867952</v>
      </c>
      <c r="P8" s="3"/>
      <c r="Q8" s="3"/>
      <c r="R8" s="94" t="e">
        <f aca="true" t="shared" si="5" ref="R8:R49">Q8/P8*100</f>
        <v>#DIV/0!</v>
      </c>
      <c r="S8" s="3"/>
      <c r="T8" s="3"/>
      <c r="U8" s="14"/>
      <c r="V8" s="3"/>
      <c r="W8" s="3"/>
      <c r="X8" s="14"/>
      <c r="Y8" s="3">
        <f aca="true" t="shared" si="6" ref="Y8:Y19">P8+S8+V8</f>
        <v>0</v>
      </c>
      <c r="Z8" s="3">
        <f aca="true" t="shared" si="7" ref="Z8:Z19">Q8+T8+W8</f>
        <v>0</v>
      </c>
      <c r="AA8" s="14" t="e">
        <f t="shared" si="3"/>
        <v>#DIV/0!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5840.400000000001</v>
      </c>
      <c r="AT8" s="3">
        <f>N8+Z8+AK8+AN8+AP8+AR8</f>
        <v>4109.5</v>
      </c>
      <c r="AU8" s="14">
        <f>AT8/AS8*100</f>
        <v>70.36333127867952</v>
      </c>
      <c r="AV8" s="14">
        <f>AS8-AT8</f>
        <v>1730.9000000000005</v>
      </c>
      <c r="AW8" s="4">
        <f>C8+AS8-AT8</f>
        <v>402.2000000000007</v>
      </c>
      <c r="AX8" s="20">
        <f aca="true" t="shared" si="8" ref="AX8:AX48">M8+Y8+AJ8+AM8+AO8+AQ8</f>
        <v>5840.400000000001</v>
      </c>
      <c r="AY8" s="20">
        <f aca="true" t="shared" si="9" ref="AY8:AY48">N8+Z8+AK8+AN8+AP8+AR8</f>
        <v>4109.5</v>
      </c>
      <c r="AZ8" s="20">
        <f aca="true" t="shared" si="10" ref="AZ8:AZ48">C8+AX8-AY8</f>
        <v>402.2000000000007</v>
      </c>
    </row>
    <row r="9" spans="1:52" ht="34.5" customHeight="1">
      <c r="A9" s="6">
        <v>2</v>
      </c>
      <c r="B9" s="32" t="s">
        <v>28</v>
      </c>
      <c r="C9" s="2">
        <v>-457.1</v>
      </c>
      <c r="D9" s="3">
        <v>1648.1</v>
      </c>
      <c r="E9" s="3">
        <v>75</v>
      </c>
      <c r="F9" s="14">
        <f t="shared" si="1"/>
        <v>4.5506947393968815</v>
      </c>
      <c r="G9" s="3">
        <v>1560.1</v>
      </c>
      <c r="H9" s="3">
        <v>1518.4</v>
      </c>
      <c r="I9" s="14">
        <f t="shared" si="2"/>
        <v>97.32709441702457</v>
      </c>
      <c r="J9" s="3"/>
      <c r="K9" s="3"/>
      <c r="L9" s="94" t="e">
        <f t="shared" si="4"/>
        <v>#DIV/0!</v>
      </c>
      <c r="M9" s="3">
        <f aca="true" t="shared" si="11" ref="M9:M31">D9+G9+J9</f>
        <v>3208.2</v>
      </c>
      <c r="N9" s="3">
        <f aca="true" t="shared" si="12" ref="N9:N31">E9+H9+K9</f>
        <v>1593.4</v>
      </c>
      <c r="O9" s="94">
        <f aca="true" t="shared" si="13" ref="O9:O44">N9/M9*100</f>
        <v>49.666479645907366</v>
      </c>
      <c r="P9" s="3"/>
      <c r="Q9" s="3"/>
      <c r="R9" s="94" t="e">
        <f t="shared" si="5"/>
        <v>#DIV/0!</v>
      </c>
      <c r="S9" s="3"/>
      <c r="T9" s="3"/>
      <c r="U9" s="14"/>
      <c r="V9" s="3"/>
      <c r="W9" s="3"/>
      <c r="X9" s="14"/>
      <c r="Y9" s="3">
        <f t="shared" si="6"/>
        <v>0</v>
      </c>
      <c r="Z9" s="3">
        <f t="shared" si="7"/>
        <v>0</v>
      </c>
      <c r="AA9" s="14" t="e">
        <f t="shared" si="3"/>
        <v>#DIV/0!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3208.2</v>
      </c>
      <c r="AT9" s="3">
        <f aca="true" t="shared" si="17" ref="AT9:AT44">N9+Z9+AK9+AN9+AP9+AR9</f>
        <v>1593.4</v>
      </c>
      <c r="AU9" s="14">
        <f>AT9/AS9*100</f>
        <v>49.666479645907366</v>
      </c>
      <c r="AV9" s="14">
        <f aca="true" t="shared" si="18" ref="AV9:AV33">AS9-AT9</f>
        <v>1614.7999999999997</v>
      </c>
      <c r="AW9" s="4">
        <f aca="true" t="shared" si="19" ref="AW9:AW33">C9+AS9-AT9</f>
        <v>1157.6999999999998</v>
      </c>
      <c r="AX9" s="20">
        <f t="shared" si="8"/>
        <v>3208.2</v>
      </c>
      <c r="AY9" s="20">
        <f t="shared" si="9"/>
        <v>1593.4</v>
      </c>
      <c r="AZ9" s="20">
        <f t="shared" si="10"/>
        <v>1157.6999999999998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3">
        <f t="shared" si="11"/>
        <v>0</v>
      </c>
      <c r="N10" s="93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30</v>
      </c>
      <c r="C11" s="2">
        <v>-2</v>
      </c>
      <c r="D11" s="3">
        <f>45.6+85</f>
        <v>130.6</v>
      </c>
      <c r="E11" s="3">
        <v>0</v>
      </c>
      <c r="F11" s="14">
        <f t="shared" si="1"/>
        <v>0</v>
      </c>
      <c r="G11" s="3">
        <f>75+123.7</f>
        <v>198.7</v>
      </c>
      <c r="H11" s="3">
        <f>85+45.6</f>
        <v>130.6</v>
      </c>
      <c r="I11" s="14">
        <f t="shared" si="2"/>
        <v>65.72722697533972</v>
      </c>
      <c r="J11" s="3"/>
      <c r="K11" s="3"/>
      <c r="L11" s="94" t="e">
        <f t="shared" si="4"/>
        <v>#DIV/0!</v>
      </c>
      <c r="M11" s="3">
        <f t="shared" si="11"/>
        <v>329.29999999999995</v>
      </c>
      <c r="N11" s="3">
        <f t="shared" si="12"/>
        <v>130.6</v>
      </c>
      <c r="O11" s="94">
        <f t="shared" si="13"/>
        <v>39.65988460370483</v>
      </c>
      <c r="P11" s="3"/>
      <c r="Q11" s="3"/>
      <c r="R11" s="94" t="e">
        <f t="shared" si="5"/>
        <v>#DIV/0!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6"/>
        <v>0</v>
      </c>
      <c r="Z11" s="3">
        <f t="shared" si="7"/>
        <v>0</v>
      </c>
      <c r="AA11" s="14" t="e">
        <f t="shared" si="3"/>
        <v>#DIV/0!</v>
      </c>
      <c r="AB11" s="3"/>
      <c r="AC11" s="3"/>
      <c r="AD11" s="28"/>
      <c r="AE11" s="3"/>
      <c r="AF11" s="3"/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329.29999999999995</v>
      </c>
      <c r="AT11" s="3">
        <f t="shared" si="17"/>
        <v>130.6</v>
      </c>
      <c r="AU11" s="14">
        <f aca="true" t="shared" si="21" ref="AU11:AU22">AT11/AS11*100</f>
        <v>39.65988460370483</v>
      </c>
      <c r="AV11" s="14">
        <f t="shared" si="18"/>
        <v>198.69999999999996</v>
      </c>
      <c r="AW11" s="4">
        <f t="shared" si="19"/>
        <v>196.69999999999996</v>
      </c>
      <c r="AX11" s="20">
        <f t="shared" si="8"/>
        <v>329.29999999999995</v>
      </c>
      <c r="AY11" s="20">
        <f t="shared" si="9"/>
        <v>130.6</v>
      </c>
      <c r="AZ11" s="20">
        <f t="shared" si="10"/>
        <v>196.69999999999996</v>
      </c>
    </row>
    <row r="12" spans="1:52" s="40" customFormat="1" ht="34.5" customHeight="1">
      <c r="A12" s="6">
        <v>5</v>
      </c>
      <c r="B12" s="1" t="s">
        <v>31</v>
      </c>
      <c r="C12" s="2">
        <f>-4.6+(-64.7)</f>
        <v>-69.3</v>
      </c>
      <c r="D12" s="3">
        <f>211.4+1399.5</f>
        <v>1610.9</v>
      </c>
      <c r="E12" s="3">
        <f>15.2</f>
        <v>15.2</v>
      </c>
      <c r="F12" s="14">
        <f t="shared" si="1"/>
        <v>0.9435719163200694</v>
      </c>
      <c r="G12" s="3">
        <f>204.1+1308</f>
        <v>1512.1</v>
      </c>
      <c r="H12" s="3">
        <f>206.8+1037.4</f>
        <v>1244.2</v>
      </c>
      <c r="I12" s="14">
        <f t="shared" si="2"/>
        <v>82.28291779644205</v>
      </c>
      <c r="J12" s="3"/>
      <c r="K12" s="3"/>
      <c r="L12" s="94" t="e">
        <f t="shared" si="4"/>
        <v>#DIV/0!</v>
      </c>
      <c r="M12" s="3">
        <f t="shared" si="11"/>
        <v>3123</v>
      </c>
      <c r="N12" s="3">
        <f t="shared" si="12"/>
        <v>1259.4</v>
      </c>
      <c r="O12" s="94">
        <f t="shared" si="13"/>
        <v>40.32660902977906</v>
      </c>
      <c r="P12" s="3"/>
      <c r="Q12" s="3"/>
      <c r="R12" s="94" t="e">
        <f t="shared" si="5"/>
        <v>#DIV/0!</v>
      </c>
      <c r="S12" s="3"/>
      <c r="T12" s="3"/>
      <c r="U12" s="14"/>
      <c r="V12" s="3"/>
      <c r="W12" s="3"/>
      <c r="X12" s="14"/>
      <c r="Y12" s="3">
        <f t="shared" si="6"/>
        <v>0</v>
      </c>
      <c r="Z12" s="3">
        <f t="shared" si="7"/>
        <v>0</v>
      </c>
      <c r="AA12" s="14" t="e">
        <f t="shared" si="3"/>
        <v>#DIV/0!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3123</v>
      </c>
      <c r="AT12" s="3">
        <f t="shared" si="17"/>
        <v>1259.4</v>
      </c>
      <c r="AU12" s="14">
        <f t="shared" si="21"/>
        <v>40.32660902977906</v>
      </c>
      <c r="AV12" s="14">
        <f t="shared" si="18"/>
        <v>1863.6</v>
      </c>
      <c r="AW12" s="4">
        <f t="shared" si="19"/>
        <v>1794.2999999999997</v>
      </c>
      <c r="AX12" s="20">
        <f t="shared" si="8"/>
        <v>3123</v>
      </c>
      <c r="AY12" s="20">
        <f t="shared" si="9"/>
        <v>1259.4</v>
      </c>
      <c r="AZ12" s="20">
        <f t="shared" si="10"/>
        <v>1794.2999999999997</v>
      </c>
    </row>
    <row r="13" spans="1:52" s="40" customFormat="1" ht="34.5" customHeight="1">
      <c r="A13" s="6">
        <v>6</v>
      </c>
      <c r="B13" s="1" t="s">
        <v>32</v>
      </c>
      <c r="C13" s="2">
        <v>-95.4</v>
      </c>
      <c r="D13" s="3">
        <v>1193.3</v>
      </c>
      <c r="E13" s="3">
        <v>0</v>
      </c>
      <c r="F13" s="14">
        <f t="shared" si="1"/>
        <v>0</v>
      </c>
      <c r="G13" s="3">
        <v>1175.9</v>
      </c>
      <c r="H13" s="3">
        <v>1093.1</v>
      </c>
      <c r="I13" s="14">
        <f t="shared" si="2"/>
        <v>92.95858491368311</v>
      </c>
      <c r="J13" s="3"/>
      <c r="K13" s="3"/>
      <c r="L13" s="94" t="e">
        <f t="shared" si="4"/>
        <v>#DIV/0!</v>
      </c>
      <c r="M13" s="3">
        <f t="shared" si="11"/>
        <v>2369.2</v>
      </c>
      <c r="N13" s="3">
        <f t="shared" si="12"/>
        <v>1093.1</v>
      </c>
      <c r="O13" s="94">
        <f t="shared" si="13"/>
        <v>46.13793685632281</v>
      </c>
      <c r="P13" s="3"/>
      <c r="Q13" s="3"/>
      <c r="R13" s="94" t="e">
        <f t="shared" si="5"/>
        <v>#DIV/0!</v>
      </c>
      <c r="S13" s="3"/>
      <c r="T13" s="3"/>
      <c r="U13" s="14"/>
      <c r="V13" s="3"/>
      <c r="W13" s="3"/>
      <c r="X13" s="14"/>
      <c r="Y13" s="3">
        <f t="shared" si="6"/>
        <v>0</v>
      </c>
      <c r="Z13" s="3">
        <f t="shared" si="7"/>
        <v>0</v>
      </c>
      <c r="AA13" s="14" t="e">
        <f t="shared" si="3"/>
        <v>#DIV/0!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2369.2</v>
      </c>
      <c r="AT13" s="3">
        <f t="shared" si="17"/>
        <v>1093.1</v>
      </c>
      <c r="AU13" s="14">
        <f t="shared" si="21"/>
        <v>46.13793685632281</v>
      </c>
      <c r="AV13" s="14">
        <f t="shared" si="18"/>
        <v>1276.1</v>
      </c>
      <c r="AW13" s="4">
        <f t="shared" si="19"/>
        <v>1180.6999999999998</v>
      </c>
      <c r="AX13" s="20">
        <f t="shared" si="8"/>
        <v>2369.2</v>
      </c>
      <c r="AY13" s="20">
        <f t="shared" si="9"/>
        <v>1093.1</v>
      </c>
      <c r="AZ13" s="20">
        <f t="shared" si="10"/>
        <v>1180.6999999999998</v>
      </c>
    </row>
    <row r="14" spans="1:52" ht="34.5" customHeight="1">
      <c r="A14" s="6">
        <v>7</v>
      </c>
      <c r="B14" s="1" t="s">
        <v>63</v>
      </c>
      <c r="C14" s="2">
        <v>0</v>
      </c>
      <c r="D14" s="3">
        <v>893.7</v>
      </c>
      <c r="E14" s="3">
        <v>273.6</v>
      </c>
      <c r="F14" s="14">
        <f t="shared" si="1"/>
        <v>30.614300100704934</v>
      </c>
      <c r="G14" s="41">
        <v>873.9</v>
      </c>
      <c r="H14" s="41">
        <v>948.6</v>
      </c>
      <c r="I14" s="14">
        <f t="shared" si="2"/>
        <v>108.54788877445934</v>
      </c>
      <c r="J14" s="41"/>
      <c r="K14" s="41"/>
      <c r="L14" s="94" t="e">
        <f t="shared" si="4"/>
        <v>#DIV/0!</v>
      </c>
      <c r="M14" s="3">
        <f t="shared" si="11"/>
        <v>1767.6</v>
      </c>
      <c r="N14" s="3">
        <f t="shared" si="12"/>
        <v>1222.2</v>
      </c>
      <c r="O14" s="94">
        <f t="shared" si="13"/>
        <v>69.14460285132384</v>
      </c>
      <c r="P14" s="41"/>
      <c r="Q14" s="41"/>
      <c r="R14" s="94" t="e">
        <f t="shared" si="5"/>
        <v>#DIV/0!</v>
      </c>
      <c r="S14" s="41"/>
      <c r="T14" s="41"/>
      <c r="U14" s="14"/>
      <c r="V14" s="41"/>
      <c r="W14" s="41"/>
      <c r="X14" s="14"/>
      <c r="Y14" s="3">
        <f t="shared" si="6"/>
        <v>0</v>
      </c>
      <c r="Z14" s="3">
        <f t="shared" si="7"/>
        <v>0</v>
      </c>
      <c r="AA14" s="14" t="e">
        <f t="shared" si="3"/>
        <v>#DIV/0!</v>
      </c>
      <c r="AB14" s="41"/>
      <c r="AC14" s="41"/>
      <c r="AD14" s="14"/>
      <c r="AE14" s="41"/>
      <c r="AF14" s="41"/>
      <c r="AG14" s="28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1767.6</v>
      </c>
      <c r="AT14" s="3">
        <f t="shared" si="17"/>
        <v>1222.2</v>
      </c>
      <c r="AU14" s="14">
        <f t="shared" si="21"/>
        <v>69.14460285132384</v>
      </c>
      <c r="AV14" s="14">
        <f t="shared" si="18"/>
        <v>545.3999999999999</v>
      </c>
      <c r="AW14" s="4">
        <f t="shared" si="19"/>
        <v>545.3999999999999</v>
      </c>
      <c r="AX14" s="20">
        <f t="shared" si="8"/>
        <v>1767.6</v>
      </c>
      <c r="AY14" s="20">
        <f t="shared" si="9"/>
        <v>1222.2</v>
      </c>
      <c r="AZ14" s="20">
        <f t="shared" si="10"/>
        <v>545.3999999999999</v>
      </c>
    </row>
    <row r="15" spans="1:52" s="40" customFormat="1" ht="34.5" customHeight="1">
      <c r="A15" s="6">
        <v>8</v>
      </c>
      <c r="B15" s="1" t="s">
        <v>33</v>
      </c>
      <c r="C15" s="2">
        <f>30.4+(-802.3)</f>
        <v>-771.9</v>
      </c>
      <c r="D15" s="3">
        <f>232.5+3184.6</f>
        <v>3417.1</v>
      </c>
      <c r="E15" s="3">
        <v>0</v>
      </c>
      <c r="F15" s="14">
        <f t="shared" si="1"/>
        <v>0</v>
      </c>
      <c r="G15" s="3">
        <f>211.8+2916.3</f>
        <v>3128.1000000000004</v>
      </c>
      <c r="H15" s="3">
        <f>2408.6</f>
        <v>2408.6</v>
      </c>
      <c r="I15" s="14">
        <f t="shared" si="2"/>
        <v>76.998817173364</v>
      </c>
      <c r="J15" s="3"/>
      <c r="K15" s="3"/>
      <c r="L15" s="94" t="e">
        <f t="shared" si="4"/>
        <v>#DIV/0!</v>
      </c>
      <c r="M15" s="3">
        <f t="shared" si="11"/>
        <v>6545.200000000001</v>
      </c>
      <c r="N15" s="3">
        <f t="shared" si="12"/>
        <v>2408.6</v>
      </c>
      <c r="O15" s="94">
        <f t="shared" si="13"/>
        <v>36.799486646702924</v>
      </c>
      <c r="P15" s="3"/>
      <c r="Q15" s="3"/>
      <c r="R15" s="94" t="e">
        <f t="shared" si="5"/>
        <v>#DIV/0!</v>
      </c>
      <c r="S15" s="3"/>
      <c r="T15" s="3"/>
      <c r="U15" s="14"/>
      <c r="V15" s="3"/>
      <c r="W15" s="3"/>
      <c r="X15" s="14"/>
      <c r="Y15" s="3">
        <f t="shared" si="6"/>
        <v>0</v>
      </c>
      <c r="Z15" s="3">
        <f t="shared" si="7"/>
        <v>0</v>
      </c>
      <c r="AA15" s="14" t="e">
        <f t="shared" si="3"/>
        <v>#DIV/0!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6545.200000000001</v>
      </c>
      <c r="AT15" s="3">
        <f t="shared" si="17"/>
        <v>2408.6</v>
      </c>
      <c r="AU15" s="14">
        <f t="shared" si="21"/>
        <v>36.799486646702924</v>
      </c>
      <c r="AV15" s="14">
        <f t="shared" si="18"/>
        <v>4136.6</v>
      </c>
      <c r="AW15" s="4">
        <f t="shared" si="19"/>
        <v>3364.700000000001</v>
      </c>
      <c r="AX15" s="20">
        <f t="shared" si="8"/>
        <v>6545.200000000001</v>
      </c>
      <c r="AY15" s="20">
        <f t="shared" si="9"/>
        <v>2408.6</v>
      </c>
      <c r="AZ15" s="20">
        <f t="shared" si="10"/>
        <v>3364.700000000001</v>
      </c>
    </row>
    <row r="16" spans="1:52" s="40" customFormat="1" ht="34.5" customHeight="1">
      <c r="A16" s="6">
        <v>9</v>
      </c>
      <c r="B16" s="1" t="s">
        <v>34</v>
      </c>
      <c r="C16" s="2">
        <v>-213.3</v>
      </c>
      <c r="D16" s="3">
        <v>1537.3</v>
      </c>
      <c r="E16" s="3">
        <v>0</v>
      </c>
      <c r="F16" s="14">
        <f t="shared" si="1"/>
        <v>0</v>
      </c>
      <c r="G16" s="41">
        <v>1384.9</v>
      </c>
      <c r="H16" s="41">
        <v>1343.2</v>
      </c>
      <c r="I16" s="14">
        <f t="shared" si="2"/>
        <v>96.98895227092208</v>
      </c>
      <c r="J16" s="41"/>
      <c r="K16" s="41"/>
      <c r="L16" s="94" t="e">
        <f t="shared" si="4"/>
        <v>#DIV/0!</v>
      </c>
      <c r="M16" s="3">
        <f t="shared" si="11"/>
        <v>2922.2</v>
      </c>
      <c r="N16" s="3">
        <f t="shared" si="12"/>
        <v>1343.2</v>
      </c>
      <c r="O16" s="94">
        <f t="shared" si="13"/>
        <v>45.965368557935804</v>
      </c>
      <c r="P16" s="41"/>
      <c r="Q16" s="41"/>
      <c r="R16" s="94" t="e">
        <f t="shared" si="5"/>
        <v>#DIV/0!</v>
      </c>
      <c r="S16" s="41"/>
      <c r="T16" s="41"/>
      <c r="U16" s="14"/>
      <c r="V16" s="41"/>
      <c r="W16" s="41"/>
      <c r="X16" s="14"/>
      <c r="Y16" s="3">
        <f t="shared" si="6"/>
        <v>0</v>
      </c>
      <c r="Z16" s="3">
        <f t="shared" si="7"/>
        <v>0</v>
      </c>
      <c r="AA16" s="14" t="e">
        <f t="shared" si="3"/>
        <v>#DIV/0!</v>
      </c>
      <c r="AB16" s="41"/>
      <c r="AC16" s="41"/>
      <c r="AD16" s="14"/>
      <c r="AE16" s="41"/>
      <c r="AF16" s="41"/>
      <c r="AG16" s="33"/>
      <c r="AH16" s="41"/>
      <c r="AI16" s="41"/>
      <c r="AJ16" s="3">
        <f t="shared" si="14"/>
        <v>0</v>
      </c>
      <c r="AK16" s="3">
        <f t="shared" si="15"/>
        <v>0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2922.2</v>
      </c>
      <c r="AT16" s="3">
        <f t="shared" si="17"/>
        <v>1343.2</v>
      </c>
      <c r="AU16" s="14">
        <f t="shared" si="21"/>
        <v>45.965368557935804</v>
      </c>
      <c r="AV16" s="14">
        <f t="shared" si="18"/>
        <v>1578.9999999999998</v>
      </c>
      <c r="AW16" s="4">
        <f t="shared" si="19"/>
        <v>1365.6999999999996</v>
      </c>
      <c r="AX16" s="20">
        <f t="shared" si="8"/>
        <v>2922.2</v>
      </c>
      <c r="AY16" s="20">
        <f t="shared" si="9"/>
        <v>1343.2</v>
      </c>
      <c r="AZ16" s="20">
        <f t="shared" si="10"/>
        <v>1365.6999999999996</v>
      </c>
    </row>
    <row r="17" spans="1:52" ht="34.5" customHeight="1">
      <c r="A17" s="6">
        <v>10</v>
      </c>
      <c r="B17" s="15" t="s">
        <v>35</v>
      </c>
      <c r="C17" s="2"/>
      <c r="D17" s="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4"/>
        <v>#DIV/0!</v>
      </c>
      <c r="M17" s="93">
        <f t="shared" si="11"/>
        <v>0</v>
      </c>
      <c r="N17" s="93">
        <f t="shared" si="12"/>
        <v>0</v>
      </c>
      <c r="O17" s="28" t="e">
        <f t="shared" si="13"/>
        <v>#DIV/0!</v>
      </c>
      <c r="P17" s="93"/>
      <c r="Q17" s="93"/>
      <c r="R17" s="28" t="e">
        <f t="shared" si="5"/>
        <v>#DIV/0!</v>
      </c>
      <c r="S17" s="93"/>
      <c r="T17" s="93"/>
      <c r="U17" s="28"/>
      <c r="V17" s="93"/>
      <c r="W17" s="93"/>
      <c r="X17" s="28"/>
      <c r="Y17" s="93">
        <f t="shared" si="6"/>
        <v>0</v>
      </c>
      <c r="Z17" s="93">
        <f t="shared" si="7"/>
        <v>0</v>
      </c>
      <c r="AA17" s="28" t="e">
        <f t="shared" si="3"/>
        <v>#DIV/0!</v>
      </c>
      <c r="AB17" s="93"/>
      <c r="AC17" s="93"/>
      <c r="AD17" s="28"/>
      <c r="AE17" s="93"/>
      <c r="AF17" s="93"/>
      <c r="AG17" s="28"/>
      <c r="AH17" s="93"/>
      <c r="AI17" s="93"/>
      <c r="AJ17" s="93">
        <f t="shared" si="14"/>
        <v>0</v>
      </c>
      <c r="AK17" s="93">
        <f t="shared" si="15"/>
        <v>0</v>
      </c>
      <c r="AL17" s="28" t="e">
        <f t="shared" si="20"/>
        <v>#DIV/0!</v>
      </c>
      <c r="AM17" s="93"/>
      <c r="AN17" s="93"/>
      <c r="AO17" s="93"/>
      <c r="AP17" s="93"/>
      <c r="AQ17" s="93"/>
      <c r="AR17" s="93"/>
      <c r="AS17" s="93">
        <f t="shared" si="16"/>
        <v>0</v>
      </c>
      <c r="AT17" s="93">
        <f t="shared" si="17"/>
        <v>0</v>
      </c>
      <c r="AU17" s="28" t="e">
        <f t="shared" si="21"/>
        <v>#DIV/0!</v>
      </c>
      <c r="AV17" s="28">
        <f t="shared" si="18"/>
        <v>0</v>
      </c>
      <c r="AW17" s="99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36</v>
      </c>
      <c r="C18" s="2">
        <v>0</v>
      </c>
      <c r="D18" s="3">
        <v>459.9</v>
      </c>
      <c r="E18" s="3">
        <v>209.8</v>
      </c>
      <c r="F18" s="33">
        <f t="shared" si="1"/>
        <v>45.618612741900414</v>
      </c>
      <c r="G18" s="3">
        <v>354.2</v>
      </c>
      <c r="H18" s="3">
        <v>577.7</v>
      </c>
      <c r="I18" s="14">
        <f t="shared" si="2"/>
        <v>163.09994353472618</v>
      </c>
      <c r="J18" s="3"/>
      <c r="K18" s="3"/>
      <c r="L18" s="94" t="e">
        <f t="shared" si="4"/>
        <v>#DIV/0!</v>
      </c>
      <c r="M18" s="3">
        <f t="shared" si="11"/>
        <v>814.0999999999999</v>
      </c>
      <c r="N18" s="3">
        <f t="shared" si="12"/>
        <v>787.5</v>
      </c>
      <c r="O18" s="94">
        <f t="shared" si="13"/>
        <v>96.73258813413587</v>
      </c>
      <c r="P18" s="3"/>
      <c r="Q18" s="3"/>
      <c r="R18" s="94" t="e">
        <f t="shared" si="5"/>
        <v>#DIV/0!</v>
      </c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6"/>
        <v>0</v>
      </c>
      <c r="Z18" s="3">
        <f t="shared" si="7"/>
        <v>0</v>
      </c>
      <c r="AA18" s="33">
        <v>0</v>
      </c>
      <c r="AB18" s="3"/>
      <c r="AC18" s="3"/>
      <c r="AD18" s="33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814.0999999999999</v>
      </c>
      <c r="AT18" s="3">
        <f t="shared" si="17"/>
        <v>787.5</v>
      </c>
      <c r="AU18" s="33">
        <f t="shared" si="21"/>
        <v>96.73258813413587</v>
      </c>
      <c r="AV18" s="14">
        <f t="shared" si="18"/>
        <v>26.59999999999991</v>
      </c>
      <c r="AW18" s="4">
        <f t="shared" si="19"/>
        <v>26.59999999999991</v>
      </c>
      <c r="AX18" s="20">
        <f t="shared" si="8"/>
        <v>814.0999999999999</v>
      </c>
      <c r="AY18" s="20">
        <f t="shared" si="9"/>
        <v>787.5</v>
      </c>
      <c r="AZ18" s="20">
        <f t="shared" si="10"/>
        <v>26.59999999999991</v>
      </c>
    </row>
    <row r="19" spans="1:52" ht="34.5" customHeight="1">
      <c r="A19" s="6">
        <v>12</v>
      </c>
      <c r="B19" s="1" t="s">
        <v>37</v>
      </c>
      <c r="C19" s="2">
        <v>-65.1</v>
      </c>
      <c r="D19" s="3">
        <f>12.8+30.3+1188.6</f>
        <v>1231.6999999999998</v>
      </c>
      <c r="E19" s="3">
        <v>18.3</v>
      </c>
      <c r="F19" s="14">
        <f t="shared" si="1"/>
        <v>1.4857514005033696</v>
      </c>
      <c r="G19" s="3">
        <f>45.5+1262.2+13.3</f>
        <v>1321</v>
      </c>
      <c r="H19" s="3">
        <f>42+1188.6+12.8</f>
        <v>1243.3999999999999</v>
      </c>
      <c r="I19" s="14">
        <f t="shared" si="2"/>
        <v>94.12566237698712</v>
      </c>
      <c r="J19" s="3"/>
      <c r="K19" s="3"/>
      <c r="L19" s="94" t="e">
        <f t="shared" si="4"/>
        <v>#DIV/0!</v>
      </c>
      <c r="M19" s="3">
        <f t="shared" si="11"/>
        <v>2552.7</v>
      </c>
      <c r="N19" s="3">
        <f t="shared" si="12"/>
        <v>1261.6999999999998</v>
      </c>
      <c r="O19" s="94">
        <f t="shared" si="13"/>
        <v>49.42609785717084</v>
      </c>
      <c r="P19" s="3"/>
      <c r="Q19" s="3"/>
      <c r="R19" s="94" t="e">
        <f t="shared" si="5"/>
        <v>#DIV/0!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6"/>
        <v>0</v>
      </c>
      <c r="Z19" s="3">
        <f t="shared" si="7"/>
        <v>0</v>
      </c>
      <c r="AA19" s="33">
        <v>0</v>
      </c>
      <c r="AB19" s="3"/>
      <c r="AC19" s="3"/>
      <c r="AD19" s="33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/>
      <c r="AN19" s="3"/>
      <c r="AO19" s="3"/>
      <c r="AP19" s="3"/>
      <c r="AQ19" s="3"/>
      <c r="AR19" s="3"/>
      <c r="AS19" s="3">
        <f t="shared" si="16"/>
        <v>2552.7</v>
      </c>
      <c r="AT19" s="3">
        <f t="shared" si="17"/>
        <v>1261.6999999999998</v>
      </c>
      <c r="AU19" s="33">
        <f t="shared" si="21"/>
        <v>49.42609785717084</v>
      </c>
      <c r="AV19" s="14">
        <f t="shared" si="18"/>
        <v>1291</v>
      </c>
      <c r="AW19" s="4">
        <f t="shared" si="19"/>
        <v>1225.9</v>
      </c>
      <c r="AX19" s="20">
        <f t="shared" si="8"/>
        <v>2552.7</v>
      </c>
      <c r="AY19" s="20">
        <f t="shared" si="9"/>
        <v>1261.6999999999998</v>
      </c>
      <c r="AZ19" s="20">
        <f t="shared" si="10"/>
        <v>1225.9</v>
      </c>
    </row>
    <row r="20" spans="1:52" ht="34.5" customHeight="1">
      <c r="A20" s="6">
        <v>13</v>
      </c>
      <c r="B20" s="15" t="s">
        <v>38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3">
        <f t="shared" si="11"/>
        <v>0</v>
      </c>
      <c r="N20" s="93">
        <f t="shared" si="12"/>
        <v>0</v>
      </c>
      <c r="O20" s="28" t="e">
        <f t="shared" si="13"/>
        <v>#DIV/0!</v>
      </c>
      <c r="P20" s="93"/>
      <c r="Q20" s="93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39</v>
      </c>
      <c r="C21" s="2">
        <v>-66.6</v>
      </c>
      <c r="D21" s="3">
        <v>46.6</v>
      </c>
      <c r="E21" s="3">
        <v>0</v>
      </c>
      <c r="F21" s="14">
        <f t="shared" si="1"/>
        <v>0</v>
      </c>
      <c r="G21" s="41">
        <v>56.1</v>
      </c>
      <c r="H21" s="41">
        <v>11.7</v>
      </c>
      <c r="I21" s="14">
        <f t="shared" si="2"/>
        <v>20.85561497326203</v>
      </c>
      <c r="J21" s="41"/>
      <c r="K21" s="41"/>
      <c r="L21" s="94" t="e">
        <f t="shared" si="4"/>
        <v>#DIV/0!</v>
      </c>
      <c r="M21" s="3">
        <f t="shared" si="11"/>
        <v>102.7</v>
      </c>
      <c r="N21" s="3">
        <f t="shared" si="12"/>
        <v>11.7</v>
      </c>
      <c r="O21" s="94">
        <f t="shared" si="13"/>
        <v>11.39240506329114</v>
      </c>
      <c r="P21" s="41"/>
      <c r="Q21" s="41"/>
      <c r="R21" s="94" t="e">
        <f t="shared" si="5"/>
        <v>#DIV/0!</v>
      </c>
      <c r="S21" s="41"/>
      <c r="T21" s="41"/>
      <c r="U21" s="28" t="e">
        <f>T21/S21*100</f>
        <v>#DIV/0!</v>
      </c>
      <c r="V21" s="41"/>
      <c r="W21" s="41"/>
      <c r="X21" s="28" t="e">
        <f>W21/V21*100</f>
        <v>#DIV/0!</v>
      </c>
      <c r="Y21" s="3">
        <f>P21+S21+V21</f>
        <v>0</v>
      </c>
      <c r="Z21" s="3">
        <f>Q21+T21+W21</f>
        <v>0</v>
      </c>
      <c r="AA21" s="14" t="e">
        <f t="shared" si="3"/>
        <v>#DIV/0!</v>
      </c>
      <c r="AB21" s="41"/>
      <c r="AC21" s="41"/>
      <c r="AD21" s="14"/>
      <c r="AE21" s="41"/>
      <c r="AF21" s="41"/>
      <c r="AG21" s="28"/>
      <c r="AH21" s="41"/>
      <c r="AI21" s="41"/>
      <c r="AJ21" s="3">
        <f t="shared" si="14"/>
        <v>0</v>
      </c>
      <c r="AK21" s="3">
        <f t="shared" si="15"/>
        <v>0</v>
      </c>
      <c r="AL21" s="28" t="e">
        <f t="shared" si="22"/>
        <v>#DIV/0!</v>
      </c>
      <c r="AM21" s="41"/>
      <c r="AN21" s="41"/>
      <c r="AO21" s="41"/>
      <c r="AP21" s="41"/>
      <c r="AQ21" s="41"/>
      <c r="AR21" s="41"/>
      <c r="AS21" s="3">
        <f t="shared" si="16"/>
        <v>102.7</v>
      </c>
      <c r="AT21" s="3">
        <f t="shared" si="17"/>
        <v>11.7</v>
      </c>
      <c r="AU21" s="14">
        <f t="shared" si="21"/>
        <v>11.39240506329114</v>
      </c>
      <c r="AV21" s="14">
        <f t="shared" si="18"/>
        <v>91</v>
      </c>
      <c r="AW21" s="4">
        <f t="shared" si="19"/>
        <v>24.40000000000001</v>
      </c>
      <c r="AX21" s="20">
        <f t="shared" si="8"/>
        <v>102.7</v>
      </c>
      <c r="AY21" s="20">
        <f t="shared" si="9"/>
        <v>11.7</v>
      </c>
      <c r="AZ21" s="20">
        <f t="shared" si="10"/>
        <v>24.40000000000001</v>
      </c>
    </row>
    <row r="22" spans="1:52" ht="34.5" customHeight="1">
      <c r="A22" s="6">
        <v>15</v>
      </c>
      <c r="B22" s="15" t="s">
        <v>40</v>
      </c>
      <c r="C22" s="2">
        <v>-59.2</v>
      </c>
      <c r="D22" s="3">
        <v>2300.2</v>
      </c>
      <c r="E22" s="3">
        <v>2297.8</v>
      </c>
      <c r="F22" s="14">
        <f t="shared" si="1"/>
        <v>99.8956612468481</v>
      </c>
      <c r="G22" s="41">
        <v>2378.6</v>
      </c>
      <c r="H22" s="41">
        <v>1863</v>
      </c>
      <c r="I22" s="14">
        <f t="shared" si="2"/>
        <v>78.32338350290087</v>
      </c>
      <c r="J22" s="41"/>
      <c r="K22" s="41"/>
      <c r="L22" s="94" t="e">
        <f t="shared" si="4"/>
        <v>#DIV/0!</v>
      </c>
      <c r="M22" s="3">
        <f t="shared" si="11"/>
        <v>4678.799999999999</v>
      </c>
      <c r="N22" s="3">
        <f t="shared" si="12"/>
        <v>4160.8</v>
      </c>
      <c r="O22" s="94">
        <f t="shared" si="13"/>
        <v>88.92878515858769</v>
      </c>
      <c r="P22" s="41"/>
      <c r="Q22" s="41"/>
      <c r="R22" s="94" t="e">
        <f t="shared" si="5"/>
        <v>#DIV/0!</v>
      </c>
      <c r="S22" s="41"/>
      <c r="T22" s="41"/>
      <c r="U22" s="14" t="e">
        <f>T22/S22*100</f>
        <v>#DIV/0!</v>
      </c>
      <c r="V22" s="41"/>
      <c r="W22" s="41"/>
      <c r="X22" s="14"/>
      <c r="Y22" s="3">
        <f>P22+S22+V22</f>
        <v>0</v>
      </c>
      <c r="Z22" s="3">
        <f>Q22+T22+W22</f>
        <v>0</v>
      </c>
      <c r="AA22" s="14" t="e">
        <f t="shared" si="3"/>
        <v>#DIV/0!</v>
      </c>
      <c r="AB22" s="41"/>
      <c r="AC22" s="41"/>
      <c r="AD22" s="14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4678.799999999999</v>
      </c>
      <c r="AT22" s="3">
        <f t="shared" si="17"/>
        <v>4160.8</v>
      </c>
      <c r="AU22" s="14">
        <f t="shared" si="21"/>
        <v>88.92878515858769</v>
      </c>
      <c r="AV22" s="14">
        <f t="shared" si="18"/>
        <v>517.9999999999991</v>
      </c>
      <c r="AW22" s="4">
        <f t="shared" si="19"/>
        <v>458.7999999999993</v>
      </c>
      <c r="AX22" s="20">
        <f t="shared" si="8"/>
        <v>4678.799999999999</v>
      </c>
      <c r="AY22" s="20">
        <f t="shared" si="9"/>
        <v>4160.8</v>
      </c>
      <c r="AZ22" s="20">
        <f t="shared" si="10"/>
        <v>458.7999999999993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3">
        <f t="shared" si="11"/>
        <v>0</v>
      </c>
      <c r="N23" s="93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7"/>
      <c r="AF23" s="77"/>
      <c r="AG23" s="91"/>
      <c r="AH23" s="77"/>
      <c r="AI23" s="77"/>
      <c r="AJ23" s="3"/>
      <c r="AK23" s="3"/>
      <c r="AL23" s="28" t="e">
        <f t="shared" si="22"/>
        <v>#DIV/0!</v>
      </c>
      <c r="AM23" s="77"/>
      <c r="AN23" s="77"/>
      <c r="AO23" s="77"/>
      <c r="AP23" s="77"/>
      <c r="AQ23" s="77"/>
      <c r="AR23" s="77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42</v>
      </c>
      <c r="C24" s="2">
        <v>82.5</v>
      </c>
      <c r="D24" s="3">
        <v>3588</v>
      </c>
      <c r="E24" s="3">
        <v>2406.5</v>
      </c>
      <c r="F24" s="14">
        <f t="shared" si="1"/>
        <v>67.07079152731326</v>
      </c>
      <c r="G24" s="3">
        <v>3191.8</v>
      </c>
      <c r="H24" s="3">
        <v>3742.9</v>
      </c>
      <c r="I24" s="14">
        <f t="shared" si="2"/>
        <v>117.26611943104204</v>
      </c>
      <c r="J24" s="3"/>
      <c r="K24" s="3"/>
      <c r="L24" s="94" t="e">
        <f t="shared" si="4"/>
        <v>#DIV/0!</v>
      </c>
      <c r="M24" s="3">
        <f t="shared" si="11"/>
        <v>6779.8</v>
      </c>
      <c r="N24" s="3">
        <f t="shared" si="12"/>
        <v>6149.4</v>
      </c>
      <c r="O24" s="94">
        <f t="shared" si="13"/>
        <v>90.70179061329242</v>
      </c>
      <c r="P24" s="3"/>
      <c r="Q24" s="3"/>
      <c r="R24" s="94" t="e">
        <f t="shared" si="5"/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3" ref="Y24:Z28">P24+S24+V24</f>
        <v>0</v>
      </c>
      <c r="Z24" s="3">
        <f t="shared" si="23"/>
        <v>0</v>
      </c>
      <c r="AA24" s="28" t="e">
        <f t="shared" si="3"/>
        <v>#DIV/0!</v>
      </c>
      <c r="AB24" s="3"/>
      <c r="AC24" s="3"/>
      <c r="AD24" s="33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6779.8</v>
      </c>
      <c r="AT24" s="3">
        <f t="shared" si="17"/>
        <v>6149.4</v>
      </c>
      <c r="AU24" s="14">
        <f>AT24/AS24*100</f>
        <v>90.70179061329242</v>
      </c>
      <c r="AV24" s="14">
        <f t="shared" si="18"/>
        <v>630.4000000000005</v>
      </c>
      <c r="AW24" s="4">
        <f t="shared" si="19"/>
        <v>712.9000000000005</v>
      </c>
      <c r="AX24" s="20">
        <f t="shared" si="8"/>
        <v>6779.8</v>
      </c>
      <c r="AY24" s="20">
        <f t="shared" si="9"/>
        <v>6149.4</v>
      </c>
      <c r="AZ24" s="20">
        <f t="shared" si="10"/>
        <v>712.9000000000005</v>
      </c>
    </row>
    <row r="25" spans="1:52" ht="34.5" customHeight="1">
      <c r="A25" s="6">
        <v>18</v>
      </c>
      <c r="B25" s="1" t="s">
        <v>43</v>
      </c>
      <c r="C25" s="2">
        <v>-687.9</v>
      </c>
      <c r="D25" s="3">
        <v>753.1</v>
      </c>
      <c r="E25" s="3">
        <v>155.4</v>
      </c>
      <c r="F25" s="14">
        <f t="shared" si="1"/>
        <v>20.634709865887665</v>
      </c>
      <c r="G25" s="41">
        <v>772.3</v>
      </c>
      <c r="H25" s="41">
        <v>581.8</v>
      </c>
      <c r="I25" s="14">
        <f t="shared" si="2"/>
        <v>75.33341965557425</v>
      </c>
      <c r="J25" s="41"/>
      <c r="K25" s="41"/>
      <c r="L25" s="94" t="e">
        <f t="shared" si="4"/>
        <v>#DIV/0!</v>
      </c>
      <c r="M25" s="3">
        <f t="shared" si="11"/>
        <v>1525.4</v>
      </c>
      <c r="N25" s="3">
        <f t="shared" si="12"/>
        <v>737.1999999999999</v>
      </c>
      <c r="O25" s="94">
        <f t="shared" si="13"/>
        <v>48.32830732922511</v>
      </c>
      <c r="P25" s="41"/>
      <c r="Q25" s="41"/>
      <c r="R25" s="94" t="e">
        <f t="shared" si="5"/>
        <v>#DIV/0!</v>
      </c>
      <c r="S25" s="41"/>
      <c r="T25" s="41"/>
      <c r="U25" s="14"/>
      <c r="V25" s="41"/>
      <c r="W25" s="41"/>
      <c r="X25" s="14"/>
      <c r="Y25" s="3">
        <f t="shared" si="23"/>
        <v>0</v>
      </c>
      <c r="Z25" s="3">
        <f t="shared" si="23"/>
        <v>0</v>
      </c>
      <c r="AA25" s="14" t="e">
        <f t="shared" si="3"/>
        <v>#DIV/0!</v>
      </c>
      <c r="AB25" s="41"/>
      <c r="AC25" s="41"/>
      <c r="AD25" s="14"/>
      <c r="AE25" s="41"/>
      <c r="AF25" s="41"/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1525.4</v>
      </c>
      <c r="AT25" s="3">
        <f t="shared" si="17"/>
        <v>737.1999999999999</v>
      </c>
      <c r="AU25" s="14">
        <f>AT25/AS25*100</f>
        <v>48.32830732922511</v>
      </c>
      <c r="AV25" s="14">
        <f t="shared" si="18"/>
        <v>788.2000000000002</v>
      </c>
      <c r="AW25" s="4">
        <f t="shared" si="19"/>
        <v>100.30000000000018</v>
      </c>
      <c r="AX25" s="20">
        <f t="shared" si="8"/>
        <v>1525.4</v>
      </c>
      <c r="AY25" s="20">
        <f t="shared" si="9"/>
        <v>737.1999999999999</v>
      </c>
      <c r="AZ25" s="20">
        <f t="shared" si="10"/>
        <v>100.30000000000018</v>
      </c>
    </row>
    <row r="26" spans="1:52" s="40" customFormat="1" ht="34.5" customHeight="1">
      <c r="A26" s="6">
        <v>19</v>
      </c>
      <c r="B26" s="15" t="s">
        <v>44</v>
      </c>
      <c r="C26" s="2">
        <v>-56.6</v>
      </c>
      <c r="D26" s="3">
        <v>1020.1</v>
      </c>
      <c r="E26" s="3">
        <v>0</v>
      </c>
      <c r="F26" s="14">
        <f t="shared" si="1"/>
        <v>0</v>
      </c>
      <c r="G26" s="3">
        <v>1105</v>
      </c>
      <c r="H26" s="3">
        <v>1435.4</v>
      </c>
      <c r="I26" s="14">
        <f t="shared" si="2"/>
        <v>129.9004524886878</v>
      </c>
      <c r="J26" s="3"/>
      <c r="K26" s="3"/>
      <c r="L26" s="94" t="e">
        <f t="shared" si="4"/>
        <v>#DIV/0!</v>
      </c>
      <c r="M26" s="3">
        <f t="shared" si="11"/>
        <v>2125.1</v>
      </c>
      <c r="N26" s="3">
        <f t="shared" si="12"/>
        <v>1435.4</v>
      </c>
      <c r="O26" s="94">
        <f t="shared" si="13"/>
        <v>67.54505670321397</v>
      </c>
      <c r="P26" s="3"/>
      <c r="Q26" s="3"/>
      <c r="R26" s="94" t="e">
        <f t="shared" si="5"/>
        <v>#DIV/0!</v>
      </c>
      <c r="S26" s="3"/>
      <c r="T26" s="3"/>
      <c r="U26" s="14"/>
      <c r="V26" s="3"/>
      <c r="W26" s="3"/>
      <c r="X26" s="14"/>
      <c r="Y26" s="3">
        <f t="shared" si="23"/>
        <v>0</v>
      </c>
      <c r="Z26" s="3">
        <f t="shared" si="23"/>
        <v>0</v>
      </c>
      <c r="AA26" s="14" t="e">
        <f t="shared" si="3"/>
        <v>#DIV/0!</v>
      </c>
      <c r="AB26" s="3"/>
      <c r="AC26" s="3"/>
      <c r="AD26" s="14"/>
      <c r="AE26" s="3"/>
      <c r="AF26" s="3"/>
      <c r="AG26" s="28"/>
      <c r="AH26" s="3"/>
      <c r="AI26" s="3"/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2125.1</v>
      </c>
      <c r="AT26" s="3">
        <f t="shared" si="17"/>
        <v>1435.4</v>
      </c>
      <c r="AU26" s="14">
        <f>AT26/AS26*100</f>
        <v>67.54505670321397</v>
      </c>
      <c r="AV26" s="14">
        <f t="shared" si="18"/>
        <v>689.6999999999998</v>
      </c>
      <c r="AW26" s="4">
        <f t="shared" si="19"/>
        <v>633.0999999999999</v>
      </c>
      <c r="AX26" s="20">
        <f t="shared" si="8"/>
        <v>2125.1</v>
      </c>
      <c r="AY26" s="20">
        <f t="shared" si="9"/>
        <v>1435.4</v>
      </c>
      <c r="AZ26" s="20">
        <f t="shared" si="10"/>
        <v>633.0999999999999</v>
      </c>
    </row>
    <row r="27" spans="1:52" ht="34.5" customHeight="1">
      <c r="A27" s="6">
        <v>20</v>
      </c>
      <c r="B27" s="15" t="s">
        <v>45</v>
      </c>
      <c r="C27" s="2">
        <v>-70.4</v>
      </c>
      <c r="D27" s="3">
        <v>371.3</v>
      </c>
      <c r="E27" s="3">
        <v>19.3</v>
      </c>
      <c r="F27" s="14">
        <f t="shared" si="1"/>
        <v>5.1979531376245625</v>
      </c>
      <c r="G27" s="3">
        <v>367.5</v>
      </c>
      <c r="H27" s="3">
        <v>217.3</v>
      </c>
      <c r="I27" s="14">
        <f t="shared" si="2"/>
        <v>59.12925170068027</v>
      </c>
      <c r="J27" s="3"/>
      <c r="K27" s="3"/>
      <c r="L27" s="94" t="e">
        <f t="shared" si="4"/>
        <v>#DIV/0!</v>
      </c>
      <c r="M27" s="3">
        <f t="shared" si="11"/>
        <v>738.8</v>
      </c>
      <c r="N27" s="3">
        <f t="shared" si="12"/>
        <v>236.60000000000002</v>
      </c>
      <c r="O27" s="94">
        <f t="shared" si="13"/>
        <v>32.02490525175962</v>
      </c>
      <c r="P27" s="3"/>
      <c r="Q27" s="3"/>
      <c r="R27" s="94" t="e">
        <f t="shared" si="5"/>
        <v>#DIV/0!</v>
      </c>
      <c r="S27" s="3"/>
      <c r="T27" s="3"/>
      <c r="U27" s="14"/>
      <c r="V27" s="3"/>
      <c r="W27" s="3"/>
      <c r="X27" s="14"/>
      <c r="Y27" s="3">
        <f t="shared" si="23"/>
        <v>0</v>
      </c>
      <c r="Z27" s="3">
        <f t="shared" si="23"/>
        <v>0</v>
      </c>
      <c r="AA27" s="14" t="e">
        <f t="shared" si="3"/>
        <v>#DIV/0!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738.8</v>
      </c>
      <c r="AT27" s="3">
        <f t="shared" si="17"/>
        <v>236.60000000000002</v>
      </c>
      <c r="AU27" s="14">
        <f>AT27/AS27*100</f>
        <v>32.02490525175962</v>
      </c>
      <c r="AV27" s="14">
        <f t="shared" si="18"/>
        <v>502.19999999999993</v>
      </c>
      <c r="AW27" s="4">
        <f t="shared" si="19"/>
        <v>431.79999999999995</v>
      </c>
      <c r="AX27" s="20">
        <f t="shared" si="8"/>
        <v>738.8</v>
      </c>
      <c r="AY27" s="20">
        <f t="shared" si="9"/>
        <v>236.60000000000002</v>
      </c>
      <c r="AZ27" s="20">
        <f t="shared" si="10"/>
        <v>431.79999999999995</v>
      </c>
    </row>
    <row r="28" spans="1:52" ht="34.5" customHeight="1">
      <c r="A28" s="6">
        <v>21</v>
      </c>
      <c r="B28" s="101" t="s">
        <v>46</v>
      </c>
      <c r="C28" s="2">
        <f>1512.8+(-81.8)</f>
        <v>1431</v>
      </c>
      <c r="D28" s="3">
        <f>1759+1831.3</f>
        <v>3590.3</v>
      </c>
      <c r="E28" s="3">
        <v>0</v>
      </c>
      <c r="F28" s="14">
        <f t="shared" si="1"/>
        <v>0</v>
      </c>
      <c r="G28" s="41">
        <f>1550.7+1694.7</f>
        <v>3245.4</v>
      </c>
      <c r="H28" s="41">
        <f>2803.9+1734.4</f>
        <v>4538.3</v>
      </c>
      <c r="I28" s="14">
        <f t="shared" si="2"/>
        <v>139.83792444690948</v>
      </c>
      <c r="J28" s="41"/>
      <c r="K28" s="41"/>
      <c r="L28" s="94" t="e">
        <f t="shared" si="4"/>
        <v>#DIV/0!</v>
      </c>
      <c r="M28" s="3">
        <f t="shared" si="11"/>
        <v>6835.700000000001</v>
      </c>
      <c r="N28" s="3">
        <f t="shared" si="12"/>
        <v>4538.3</v>
      </c>
      <c r="O28" s="94">
        <f t="shared" si="13"/>
        <v>66.39115233260675</v>
      </c>
      <c r="P28" s="41"/>
      <c r="Q28" s="41"/>
      <c r="R28" s="94" t="e">
        <f t="shared" si="5"/>
        <v>#DIV/0!</v>
      </c>
      <c r="S28" s="41"/>
      <c r="T28" s="41"/>
      <c r="U28" s="14"/>
      <c r="V28" s="41"/>
      <c r="W28" s="41"/>
      <c r="X28" s="14"/>
      <c r="Y28" s="3">
        <f t="shared" si="23"/>
        <v>0</v>
      </c>
      <c r="Z28" s="3">
        <f t="shared" si="23"/>
        <v>0</v>
      </c>
      <c r="AA28" s="14" t="e">
        <f t="shared" si="3"/>
        <v>#DIV/0!</v>
      </c>
      <c r="AB28" s="41"/>
      <c r="AC28" s="41"/>
      <c r="AD28" s="14"/>
      <c r="AE28" s="41"/>
      <c r="AF28" s="41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6835.700000000001</v>
      </c>
      <c r="AT28" s="3">
        <f t="shared" si="17"/>
        <v>4538.3</v>
      </c>
      <c r="AU28" s="14">
        <f>AT28/AS28*100</f>
        <v>66.39115233260675</v>
      </c>
      <c r="AV28" s="14">
        <f t="shared" si="18"/>
        <v>2297.4000000000005</v>
      </c>
      <c r="AW28" s="4">
        <f t="shared" si="19"/>
        <v>3728.4000000000005</v>
      </c>
      <c r="AX28" s="20">
        <f t="shared" si="8"/>
        <v>6835.700000000001</v>
      </c>
      <c r="AY28" s="20">
        <f t="shared" si="9"/>
        <v>4538.3</v>
      </c>
      <c r="AZ28" s="20">
        <f t="shared" si="10"/>
        <v>3728.4000000000005</v>
      </c>
    </row>
    <row r="29" spans="1:52" ht="34.5" customHeight="1">
      <c r="A29" s="6">
        <v>22</v>
      </c>
      <c r="B29" s="1" t="s">
        <v>47</v>
      </c>
      <c r="C29" s="35"/>
      <c r="D29" s="35"/>
      <c r="E29" s="35"/>
      <c r="F29" s="35"/>
      <c r="G29" s="35"/>
      <c r="H29" s="35"/>
      <c r="I29" s="14"/>
      <c r="J29" s="35"/>
      <c r="K29" s="35"/>
      <c r="L29" s="28" t="e">
        <f t="shared" si="4"/>
        <v>#DIV/0!</v>
      </c>
      <c r="M29" s="93">
        <f t="shared" si="11"/>
        <v>0</v>
      </c>
      <c r="N29" s="93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2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35"/>
      <c r="G30" s="35"/>
      <c r="H30" s="35"/>
      <c r="I30" s="14"/>
      <c r="J30" s="35"/>
      <c r="K30" s="35"/>
      <c r="L30" s="28" t="e">
        <f t="shared" si="4"/>
        <v>#DIV/0!</v>
      </c>
      <c r="M30" s="93">
        <f t="shared" si="11"/>
        <v>0</v>
      </c>
      <c r="N30" s="93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2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14"/>
      <c r="J31" s="43"/>
      <c r="K31" s="43"/>
      <c r="L31" s="28" t="e">
        <f t="shared" si="4"/>
        <v>#DIV/0!</v>
      </c>
      <c r="M31" s="93">
        <f t="shared" si="11"/>
        <v>0</v>
      </c>
      <c r="N31" s="93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2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-3913.7999999999997</v>
      </c>
      <c r="D32" s="45">
        <f aca="true" t="shared" si="24" ref="D32:AW32">D33+D34+D35+D36</f>
        <v>10648.199999999999</v>
      </c>
      <c r="E32" s="45">
        <f t="shared" si="24"/>
        <v>5804.7</v>
      </c>
      <c r="F32" s="14">
        <f aca="true" t="shared" si="25" ref="F32:F49">E32/D32*100</f>
        <v>54.51343889108019</v>
      </c>
      <c r="G32" s="45">
        <f t="shared" si="24"/>
        <v>9345.399999999998</v>
      </c>
      <c r="H32" s="45">
        <f t="shared" si="24"/>
        <v>4115.4</v>
      </c>
      <c r="I32" s="14">
        <f t="shared" si="2"/>
        <v>44.03663834613821</v>
      </c>
      <c r="J32" s="45">
        <f t="shared" si="24"/>
        <v>0</v>
      </c>
      <c r="K32" s="45">
        <f t="shared" si="24"/>
        <v>0</v>
      </c>
      <c r="L32" s="94" t="e">
        <f t="shared" si="4"/>
        <v>#DIV/0!</v>
      </c>
      <c r="M32" s="45">
        <f t="shared" si="24"/>
        <v>19993.6</v>
      </c>
      <c r="N32" s="45">
        <f t="shared" si="24"/>
        <v>9920.1</v>
      </c>
      <c r="O32" s="94">
        <f t="shared" si="13"/>
        <v>49.616377240717036</v>
      </c>
      <c r="P32" s="45">
        <f t="shared" si="24"/>
        <v>0</v>
      </c>
      <c r="Q32" s="45">
        <f t="shared" si="24"/>
        <v>0</v>
      </c>
      <c r="R32" s="94" t="e">
        <f t="shared" si="5"/>
        <v>#DIV/0!</v>
      </c>
      <c r="S32" s="45">
        <f t="shared" si="24"/>
        <v>0</v>
      </c>
      <c r="T32" s="45">
        <f t="shared" si="24"/>
        <v>0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0</v>
      </c>
      <c r="Z32" s="45">
        <f t="shared" si="24"/>
        <v>0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19993.6</v>
      </c>
      <c r="AT32" s="45">
        <f t="shared" si="24"/>
        <v>9920.1</v>
      </c>
      <c r="AU32" s="14">
        <f>AT32/AS32*100</f>
        <v>49.616377240717036</v>
      </c>
      <c r="AV32" s="45">
        <f t="shared" si="24"/>
        <v>10073.5</v>
      </c>
      <c r="AW32" s="45">
        <f t="shared" si="24"/>
        <v>6159.699999999999</v>
      </c>
      <c r="AX32" s="20">
        <f t="shared" si="8"/>
        <v>19993.6</v>
      </c>
      <c r="AY32" s="20">
        <f t="shared" si="9"/>
        <v>9920.1</v>
      </c>
      <c r="AZ32" s="20">
        <f t="shared" si="10"/>
        <v>6159.699999999999</v>
      </c>
    </row>
    <row r="33" spans="1:52" ht="34.5" customHeight="1">
      <c r="A33" s="6"/>
      <c r="B33" s="15" t="s">
        <v>74</v>
      </c>
      <c r="C33" s="2">
        <f>-1128.3+(-2240.6)</f>
        <v>-3368.8999999999996</v>
      </c>
      <c r="D33" s="3">
        <f>2789.1+6836.7</f>
        <v>9625.8</v>
      </c>
      <c r="E33" s="3">
        <v>5458.5</v>
      </c>
      <c r="F33" s="14">
        <f t="shared" si="25"/>
        <v>56.706975004674945</v>
      </c>
      <c r="G33" s="3">
        <f>2255.7+6013.1</f>
        <v>8268.8</v>
      </c>
      <c r="H33" s="3">
        <f>2231.8+861</f>
        <v>3092.8</v>
      </c>
      <c r="I33" s="14">
        <f t="shared" si="2"/>
        <v>37.40325077399381</v>
      </c>
      <c r="J33" s="3"/>
      <c r="K33" s="3"/>
      <c r="L33" s="94" t="e">
        <f t="shared" si="4"/>
        <v>#DIV/0!</v>
      </c>
      <c r="M33" s="3">
        <f>D33+G33+J33</f>
        <v>17894.6</v>
      </c>
      <c r="N33" s="3">
        <f>E33+H33+K33</f>
        <v>8551.3</v>
      </c>
      <c r="O33" s="94">
        <f t="shared" si="13"/>
        <v>47.787041900908655</v>
      </c>
      <c r="P33" s="3"/>
      <c r="Q33" s="3"/>
      <c r="R33" s="94" t="e">
        <f t="shared" si="5"/>
        <v>#DIV/0!</v>
      </c>
      <c r="S33" s="3"/>
      <c r="T33" s="3"/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3">P33+S33+V33</f>
        <v>0</v>
      </c>
      <c r="Z33" s="3">
        <f aca="true" t="shared" si="27" ref="Z33:Z43">Q33+T33+W33</f>
        <v>0</v>
      </c>
      <c r="AA33" s="14" t="e">
        <f t="shared" si="3"/>
        <v>#DIV/0!</v>
      </c>
      <c r="AB33" s="3"/>
      <c r="AC33" s="3"/>
      <c r="AD33" s="33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17894.6</v>
      </c>
      <c r="AT33" s="3">
        <f t="shared" si="17"/>
        <v>8551.3</v>
      </c>
      <c r="AU33" s="14">
        <f>AT33/AS33*100</f>
        <v>47.787041900908655</v>
      </c>
      <c r="AV33" s="14">
        <f t="shared" si="18"/>
        <v>9343.3</v>
      </c>
      <c r="AW33" s="4">
        <f t="shared" si="19"/>
        <v>5974.4</v>
      </c>
      <c r="AX33" s="20">
        <f t="shared" si="8"/>
        <v>17894.6</v>
      </c>
      <c r="AY33" s="20">
        <f t="shared" si="9"/>
        <v>8551.3</v>
      </c>
      <c r="AZ33" s="20">
        <f t="shared" si="10"/>
        <v>5974.4</v>
      </c>
    </row>
    <row r="34" spans="1:52" ht="34.5" customHeight="1">
      <c r="A34" s="6"/>
      <c r="B34" s="15" t="s">
        <v>21</v>
      </c>
      <c r="C34" s="2">
        <v>-426.1</v>
      </c>
      <c r="D34" s="3">
        <f>762.4+35</f>
        <v>797.4</v>
      </c>
      <c r="E34" s="3">
        <f>200</f>
        <v>200</v>
      </c>
      <c r="F34" s="14">
        <f>E34/D34*100</f>
        <v>25.08151492350138</v>
      </c>
      <c r="G34" s="3">
        <f>793.7+31.1</f>
        <v>824.8000000000001</v>
      </c>
      <c r="H34" s="3">
        <f>943.7</f>
        <v>943.7</v>
      </c>
      <c r="I34" s="14">
        <f t="shared" si="2"/>
        <v>114.41561590688652</v>
      </c>
      <c r="J34" s="3"/>
      <c r="K34" s="3"/>
      <c r="L34" s="94" t="e">
        <f t="shared" si="4"/>
        <v>#DIV/0!</v>
      </c>
      <c r="M34" s="3">
        <f aca="true" t="shared" si="28" ref="M34:M44">D34+G34+J34</f>
        <v>1622.2</v>
      </c>
      <c r="N34" s="3">
        <f aca="true" t="shared" si="29" ref="N34:N44">E34+H34+K34</f>
        <v>1143.7</v>
      </c>
      <c r="O34" s="94">
        <f t="shared" si="13"/>
        <v>70.50302058932314</v>
      </c>
      <c r="P34" s="3"/>
      <c r="Q34" s="3"/>
      <c r="R34" s="28" t="e">
        <f t="shared" si="5"/>
        <v>#DIV/0!</v>
      </c>
      <c r="S34" s="3"/>
      <c r="T34" s="3"/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0</v>
      </c>
      <c r="AA34" s="28" t="e">
        <f t="shared" si="3"/>
        <v>#DIV/0!</v>
      </c>
      <c r="AB34" s="3"/>
      <c r="AC34" s="3"/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1622.2</v>
      </c>
      <c r="AT34" s="3">
        <f>N34+Z34+AK34+AN34+AP34+AR34</f>
        <v>1143.7</v>
      </c>
      <c r="AU34" s="14">
        <f>AT34/AS34*100</f>
        <v>70.50302058932314</v>
      </c>
      <c r="AV34" s="14">
        <f>AS34-AT34</f>
        <v>478.5</v>
      </c>
      <c r="AW34" s="4">
        <f>C34+AS34-AT34</f>
        <v>52.399999999999864</v>
      </c>
      <c r="AX34" s="20">
        <f t="shared" si="8"/>
        <v>1622.2</v>
      </c>
      <c r="AY34" s="20">
        <f t="shared" si="9"/>
        <v>1143.7</v>
      </c>
      <c r="AZ34" s="20">
        <f t="shared" si="10"/>
        <v>52.399999999999864</v>
      </c>
    </row>
    <row r="35" spans="1:52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4" t="e">
        <f t="shared" si="4"/>
        <v>#DIV/0!</v>
      </c>
      <c r="M35" s="3">
        <f t="shared" si="28"/>
        <v>0</v>
      </c>
      <c r="N35" s="3">
        <f t="shared" si="29"/>
        <v>0</v>
      </c>
      <c r="O35" s="94" t="e">
        <f t="shared" si="13"/>
        <v>#DIV/0!</v>
      </c>
      <c r="P35" s="3"/>
      <c r="Q35" s="3"/>
      <c r="R35" s="94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65</v>
      </c>
      <c r="C36" s="2">
        <v>-118.8</v>
      </c>
      <c r="D36" s="3">
        <v>225</v>
      </c>
      <c r="E36" s="3">
        <v>146.2</v>
      </c>
      <c r="F36" s="14">
        <f t="shared" si="25"/>
        <v>64.97777777777777</v>
      </c>
      <c r="G36" s="3">
        <v>251.8</v>
      </c>
      <c r="H36" s="3">
        <v>78.9</v>
      </c>
      <c r="I36" s="14">
        <f t="shared" si="2"/>
        <v>31.334392374900716</v>
      </c>
      <c r="J36" s="3"/>
      <c r="K36" s="3"/>
      <c r="L36" s="94" t="e">
        <f t="shared" si="4"/>
        <v>#DIV/0!</v>
      </c>
      <c r="M36" s="3">
        <f t="shared" si="28"/>
        <v>476.8</v>
      </c>
      <c r="N36" s="3">
        <f t="shared" si="29"/>
        <v>225.1</v>
      </c>
      <c r="O36" s="94">
        <f t="shared" si="13"/>
        <v>47.210570469798654</v>
      </c>
      <c r="P36" s="3"/>
      <c r="Q36" s="3"/>
      <c r="R36" s="94" t="e">
        <f t="shared" si="5"/>
        <v>#DIV/0!</v>
      </c>
      <c r="S36" s="3"/>
      <c r="T36" s="3"/>
      <c r="U36" s="14"/>
      <c r="V36" s="3"/>
      <c r="W36" s="3"/>
      <c r="X36" s="14"/>
      <c r="Y36" s="3">
        <f t="shared" si="26"/>
        <v>0</v>
      </c>
      <c r="Z36" s="3">
        <f t="shared" si="27"/>
        <v>0</v>
      </c>
      <c r="AA36" s="14" t="e">
        <f t="shared" si="3"/>
        <v>#DIV/0!</v>
      </c>
      <c r="AB36" s="3"/>
      <c r="AC36" s="3"/>
      <c r="AD36" s="14"/>
      <c r="AE36" s="3"/>
      <c r="AF36" s="3"/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476.8</v>
      </c>
      <c r="AT36" s="3">
        <f t="shared" si="17"/>
        <v>225.1</v>
      </c>
      <c r="AU36" s="14">
        <f aca="true" t="shared" si="30" ref="AU36:AU44">AT36/AS36*100</f>
        <v>47.210570469798654</v>
      </c>
      <c r="AV36" s="14">
        <f aca="true" t="shared" si="31" ref="AV36:AV44">AS36-AT36</f>
        <v>251.70000000000002</v>
      </c>
      <c r="AW36" s="4">
        <f aca="true" t="shared" si="32" ref="AW36:AW44">C36+AS36-AT36</f>
        <v>132.9</v>
      </c>
      <c r="AX36" s="20">
        <f t="shared" si="8"/>
        <v>476.8</v>
      </c>
      <c r="AY36" s="20">
        <f t="shared" si="9"/>
        <v>225.1</v>
      </c>
      <c r="AZ36" s="20">
        <f t="shared" si="10"/>
        <v>132.9</v>
      </c>
    </row>
    <row r="37" spans="1:52" ht="34.5" customHeight="1">
      <c r="A37" s="6">
        <v>26</v>
      </c>
      <c r="B37" s="15" t="s">
        <v>51</v>
      </c>
      <c r="C37" s="2">
        <v>0</v>
      </c>
      <c r="D37" s="3">
        <v>233.3</v>
      </c>
      <c r="E37" s="3">
        <v>106.3</v>
      </c>
      <c r="F37" s="14">
        <f t="shared" si="25"/>
        <v>45.563651950278604</v>
      </c>
      <c r="G37" s="3">
        <v>261</v>
      </c>
      <c r="H37" s="3">
        <v>242.8</v>
      </c>
      <c r="I37" s="14">
        <f t="shared" si="2"/>
        <v>93.02681992337165</v>
      </c>
      <c r="J37" s="3"/>
      <c r="K37" s="3"/>
      <c r="L37" s="94" t="e">
        <f t="shared" si="4"/>
        <v>#DIV/0!</v>
      </c>
      <c r="M37" s="3">
        <f t="shared" si="28"/>
        <v>494.3</v>
      </c>
      <c r="N37" s="3">
        <f t="shared" si="29"/>
        <v>349.1</v>
      </c>
      <c r="O37" s="94">
        <f t="shared" si="13"/>
        <v>70.62512644143233</v>
      </c>
      <c r="P37" s="3"/>
      <c r="Q37" s="3"/>
      <c r="R37" s="94" t="e">
        <f t="shared" si="5"/>
        <v>#DIV/0!</v>
      </c>
      <c r="S37" s="3"/>
      <c r="T37" s="3"/>
      <c r="U37" s="14"/>
      <c r="V37" s="3"/>
      <c r="W37" s="3"/>
      <c r="X37" s="14"/>
      <c r="Y37" s="3">
        <f t="shared" si="26"/>
        <v>0</v>
      </c>
      <c r="Z37" s="3">
        <f t="shared" si="27"/>
        <v>0</v>
      </c>
      <c r="AA37" s="14" t="e">
        <f t="shared" si="3"/>
        <v>#DIV/0!</v>
      </c>
      <c r="AB37" s="3"/>
      <c r="AC37" s="3"/>
      <c r="AD37" s="14"/>
      <c r="AE37" s="3"/>
      <c r="AF37" s="3"/>
      <c r="AG37" s="28"/>
      <c r="AH37" s="3"/>
      <c r="AI37" s="3"/>
      <c r="AJ37" s="3">
        <f t="shared" si="14"/>
        <v>0</v>
      </c>
      <c r="AK37" s="3">
        <f t="shared" si="15"/>
        <v>0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494.3</v>
      </c>
      <c r="AT37" s="3">
        <f t="shared" si="17"/>
        <v>349.1</v>
      </c>
      <c r="AU37" s="14">
        <f t="shared" si="30"/>
        <v>70.62512644143233</v>
      </c>
      <c r="AV37" s="14">
        <f t="shared" si="31"/>
        <v>145.2</v>
      </c>
      <c r="AW37" s="4">
        <f t="shared" si="32"/>
        <v>145.2</v>
      </c>
      <c r="AX37" s="20">
        <f t="shared" si="8"/>
        <v>494.3</v>
      </c>
      <c r="AY37" s="20">
        <f t="shared" si="9"/>
        <v>349.1</v>
      </c>
      <c r="AZ37" s="20">
        <f t="shared" si="10"/>
        <v>145.2</v>
      </c>
    </row>
    <row r="38" spans="1:52" ht="34.5" customHeight="1">
      <c r="A38" s="6">
        <v>27</v>
      </c>
      <c r="B38" s="104" t="s">
        <v>52</v>
      </c>
      <c r="C38" s="2">
        <v>-41.4</v>
      </c>
      <c r="D38" s="3">
        <v>2445.2</v>
      </c>
      <c r="E38" s="3">
        <v>2274.7</v>
      </c>
      <c r="F38" s="14">
        <f t="shared" si="25"/>
        <v>93.0271552429249</v>
      </c>
      <c r="G38" s="3">
        <v>2635</v>
      </c>
      <c r="H38" s="3">
        <v>2349.3</v>
      </c>
      <c r="I38" s="14">
        <f t="shared" si="2"/>
        <v>89.15749525616698</v>
      </c>
      <c r="J38" s="3"/>
      <c r="K38" s="3"/>
      <c r="L38" s="94" t="e">
        <f t="shared" si="4"/>
        <v>#DIV/0!</v>
      </c>
      <c r="M38" s="3">
        <f t="shared" si="28"/>
        <v>5080.2</v>
      </c>
      <c r="N38" s="3">
        <f t="shared" si="29"/>
        <v>4624</v>
      </c>
      <c r="O38" s="94">
        <f t="shared" si="13"/>
        <v>91.02003858115822</v>
      </c>
      <c r="P38" s="3"/>
      <c r="Q38" s="3"/>
      <c r="R38" s="94" t="e">
        <f t="shared" si="5"/>
        <v>#DIV/0!</v>
      </c>
      <c r="S38" s="3"/>
      <c r="T38" s="3"/>
      <c r="U38" s="14"/>
      <c r="V38" s="3"/>
      <c r="W38" s="3"/>
      <c r="X38" s="14"/>
      <c r="Y38" s="3">
        <f t="shared" si="26"/>
        <v>0</v>
      </c>
      <c r="Z38" s="3">
        <f t="shared" si="27"/>
        <v>0</v>
      </c>
      <c r="AA38" s="14" t="e">
        <f t="shared" si="3"/>
        <v>#DIV/0!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5080.2</v>
      </c>
      <c r="AT38" s="3">
        <f t="shared" si="17"/>
        <v>4624</v>
      </c>
      <c r="AU38" s="14">
        <f t="shared" si="30"/>
        <v>91.02003858115822</v>
      </c>
      <c r="AV38" s="14">
        <f t="shared" si="31"/>
        <v>456.1999999999998</v>
      </c>
      <c r="AW38" s="4">
        <f t="shared" si="32"/>
        <v>414.8000000000002</v>
      </c>
      <c r="AX38" s="20">
        <f t="shared" si="8"/>
        <v>5080.2</v>
      </c>
      <c r="AY38" s="20">
        <f t="shared" si="9"/>
        <v>4624</v>
      </c>
      <c r="AZ38" s="20">
        <f t="shared" si="10"/>
        <v>414.8000000000002</v>
      </c>
    </row>
    <row r="39" spans="1:52" ht="34.5" customHeight="1">
      <c r="A39" s="6">
        <v>28</v>
      </c>
      <c r="B39" s="105" t="s">
        <v>53</v>
      </c>
      <c r="C39" s="2">
        <v>-652.6</v>
      </c>
      <c r="D39" s="3">
        <v>2884.8</v>
      </c>
      <c r="E39" s="3">
        <v>0</v>
      </c>
      <c r="F39" s="14">
        <f t="shared" si="25"/>
        <v>0</v>
      </c>
      <c r="G39" s="3">
        <v>2763.7</v>
      </c>
      <c r="H39" s="3">
        <v>2241.7</v>
      </c>
      <c r="I39" s="14">
        <f t="shared" si="2"/>
        <v>81.11227701993704</v>
      </c>
      <c r="J39" s="3"/>
      <c r="K39" s="3"/>
      <c r="L39" s="94" t="e">
        <f t="shared" si="4"/>
        <v>#DIV/0!</v>
      </c>
      <c r="M39" s="3">
        <f t="shared" si="28"/>
        <v>5648.5</v>
      </c>
      <c r="N39" s="3">
        <f t="shared" si="29"/>
        <v>2241.7</v>
      </c>
      <c r="O39" s="94">
        <f t="shared" si="13"/>
        <v>39.68664247145259</v>
      </c>
      <c r="P39" s="3"/>
      <c r="Q39" s="3"/>
      <c r="R39" s="94" t="e">
        <f t="shared" si="5"/>
        <v>#DIV/0!</v>
      </c>
      <c r="S39" s="3"/>
      <c r="T39" s="3"/>
      <c r="U39" s="14"/>
      <c r="V39" s="3"/>
      <c r="W39" s="3"/>
      <c r="X39" s="14"/>
      <c r="Y39" s="3">
        <f t="shared" si="26"/>
        <v>0</v>
      </c>
      <c r="Z39" s="3">
        <f t="shared" si="27"/>
        <v>0</v>
      </c>
      <c r="AA39" s="14" t="e">
        <f t="shared" si="3"/>
        <v>#DIV/0!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16"/>
        <v>5648.5</v>
      </c>
      <c r="AT39" s="3">
        <f t="shared" si="17"/>
        <v>2241.7</v>
      </c>
      <c r="AU39" s="14">
        <f t="shared" si="30"/>
        <v>39.68664247145259</v>
      </c>
      <c r="AV39" s="14">
        <f t="shared" si="31"/>
        <v>3406.8</v>
      </c>
      <c r="AW39" s="4">
        <f t="shared" si="32"/>
        <v>2754.2</v>
      </c>
      <c r="AX39" s="20">
        <f t="shared" si="8"/>
        <v>5648.5</v>
      </c>
      <c r="AY39" s="20">
        <f t="shared" si="9"/>
        <v>2241.7</v>
      </c>
      <c r="AZ39" s="20">
        <f t="shared" si="10"/>
        <v>2754.2</v>
      </c>
    </row>
    <row r="40" spans="1:52" ht="34.5" customHeight="1">
      <c r="A40" s="6">
        <v>29</v>
      </c>
      <c r="B40" s="105" t="s">
        <v>54</v>
      </c>
      <c r="C40" s="2">
        <v>-2388.7</v>
      </c>
      <c r="D40" s="3">
        <v>5357.2</v>
      </c>
      <c r="E40" s="3">
        <v>0</v>
      </c>
      <c r="F40" s="14">
        <f t="shared" si="25"/>
        <v>0</v>
      </c>
      <c r="G40" s="3">
        <v>4847.2</v>
      </c>
      <c r="H40" s="3">
        <v>6195.2</v>
      </c>
      <c r="I40" s="14">
        <f t="shared" si="2"/>
        <v>127.8098696154481</v>
      </c>
      <c r="J40" s="3"/>
      <c r="K40" s="3"/>
      <c r="L40" s="94" t="e">
        <f t="shared" si="4"/>
        <v>#DIV/0!</v>
      </c>
      <c r="M40" s="3">
        <f t="shared" si="28"/>
        <v>10204.4</v>
      </c>
      <c r="N40" s="3">
        <f t="shared" si="29"/>
        <v>6195.2</v>
      </c>
      <c r="O40" s="94">
        <f t="shared" si="13"/>
        <v>60.711065814746576</v>
      </c>
      <c r="P40" s="3"/>
      <c r="Q40" s="3"/>
      <c r="R40" s="94" t="e">
        <f t="shared" si="5"/>
        <v>#DIV/0!</v>
      </c>
      <c r="S40" s="3"/>
      <c r="T40" s="3"/>
      <c r="U40" s="14"/>
      <c r="V40" s="3"/>
      <c r="W40" s="3"/>
      <c r="X40" s="14"/>
      <c r="Y40" s="3">
        <f t="shared" si="26"/>
        <v>0</v>
      </c>
      <c r="Z40" s="3">
        <f t="shared" si="27"/>
        <v>0</v>
      </c>
      <c r="AA40" s="14" t="e">
        <f t="shared" si="3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10204.4</v>
      </c>
      <c r="AT40" s="3">
        <f t="shared" si="17"/>
        <v>6195.2</v>
      </c>
      <c r="AU40" s="14">
        <f t="shared" si="30"/>
        <v>60.711065814746576</v>
      </c>
      <c r="AV40" s="14">
        <f t="shared" si="31"/>
        <v>4009.2</v>
      </c>
      <c r="AW40" s="4">
        <f t="shared" si="32"/>
        <v>1620.5</v>
      </c>
      <c r="AX40" s="20">
        <f t="shared" si="8"/>
        <v>10204.4</v>
      </c>
      <c r="AY40" s="20">
        <f t="shared" si="9"/>
        <v>6195.2</v>
      </c>
      <c r="AZ40" s="20">
        <f t="shared" si="10"/>
        <v>1620.5</v>
      </c>
    </row>
    <row r="41" spans="1:52" s="40" customFormat="1" ht="34.5" customHeight="1">
      <c r="A41" s="6">
        <v>30</v>
      </c>
      <c r="B41" s="105" t="s">
        <v>55</v>
      </c>
      <c r="C41" s="2">
        <f>-1809.7+(-55)</f>
        <v>-1864.7</v>
      </c>
      <c r="D41" s="3">
        <f>7492.4+74.9</f>
        <v>7567.299999999999</v>
      </c>
      <c r="E41" s="3">
        <f>0</f>
        <v>0</v>
      </c>
      <c r="F41" s="96">
        <f t="shared" si="25"/>
        <v>0</v>
      </c>
      <c r="G41" s="3">
        <f>7312.8+68.6</f>
        <v>7381.400000000001</v>
      </c>
      <c r="H41" s="3">
        <f>5723.3+74.9</f>
        <v>5798.2</v>
      </c>
      <c r="I41" s="14">
        <f t="shared" si="2"/>
        <v>78.55149429647491</v>
      </c>
      <c r="J41" s="3"/>
      <c r="K41" s="3"/>
      <c r="L41" s="94" t="e">
        <f t="shared" si="4"/>
        <v>#DIV/0!</v>
      </c>
      <c r="M41" s="3">
        <f t="shared" si="28"/>
        <v>14948.7</v>
      </c>
      <c r="N41" s="3">
        <f t="shared" si="29"/>
        <v>5798.2</v>
      </c>
      <c r="O41" s="94">
        <f t="shared" si="13"/>
        <v>38.78731929866811</v>
      </c>
      <c r="P41" s="3"/>
      <c r="Q41" s="3"/>
      <c r="R41" s="94" t="e">
        <f t="shared" si="5"/>
        <v>#DIV/0!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6"/>
        <v>0</v>
      </c>
      <c r="Z41" s="3">
        <f t="shared" si="27"/>
        <v>0</v>
      </c>
      <c r="AA41" s="14" t="e">
        <f t="shared" si="3"/>
        <v>#DIV/0!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14948.7</v>
      </c>
      <c r="AT41" s="3">
        <f t="shared" si="17"/>
        <v>5798.2</v>
      </c>
      <c r="AU41" s="96">
        <f t="shared" si="30"/>
        <v>38.78731929866811</v>
      </c>
      <c r="AV41" s="14">
        <f t="shared" si="31"/>
        <v>9150.5</v>
      </c>
      <c r="AW41" s="4">
        <f t="shared" si="32"/>
        <v>7285.8</v>
      </c>
      <c r="AX41" s="20">
        <f t="shared" si="8"/>
        <v>14948.7</v>
      </c>
      <c r="AY41" s="20">
        <f t="shared" si="9"/>
        <v>5798.2</v>
      </c>
      <c r="AZ41" s="20">
        <f t="shared" si="10"/>
        <v>7285.8</v>
      </c>
    </row>
    <row r="42" spans="1:52" ht="34.5" customHeight="1">
      <c r="A42" s="6">
        <v>31</v>
      </c>
      <c r="B42" s="105" t="s">
        <v>56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3">
        <f t="shared" si="28"/>
        <v>0</v>
      </c>
      <c r="N42" s="93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99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57</v>
      </c>
      <c r="C43" s="2">
        <f>-63.5+(-708.3)</f>
        <v>-771.8</v>
      </c>
      <c r="D43" s="3">
        <f>1748.4+101.2</f>
        <v>1849.6000000000001</v>
      </c>
      <c r="E43" s="3">
        <f>636.8+(-643.7)</f>
        <v>-6.900000000000091</v>
      </c>
      <c r="F43" s="14">
        <f t="shared" si="25"/>
        <v>-0.37305363321799795</v>
      </c>
      <c r="G43" s="3">
        <f>1618+87.5</f>
        <v>1705.5</v>
      </c>
      <c r="H43" s="3">
        <f>1048.3+74.8</f>
        <v>1123.1</v>
      </c>
      <c r="I43" s="14">
        <f t="shared" si="2"/>
        <v>65.85165640574611</v>
      </c>
      <c r="J43" s="3"/>
      <c r="K43" s="3"/>
      <c r="L43" s="94" t="e">
        <f t="shared" si="4"/>
        <v>#DIV/0!</v>
      </c>
      <c r="M43" s="3">
        <f t="shared" si="28"/>
        <v>3555.1000000000004</v>
      </c>
      <c r="N43" s="3">
        <f t="shared" si="29"/>
        <v>1116.1999999999998</v>
      </c>
      <c r="O43" s="94">
        <f t="shared" si="13"/>
        <v>31.397147759556688</v>
      </c>
      <c r="P43" s="3"/>
      <c r="Q43" s="3"/>
      <c r="R43" s="94" t="e">
        <f t="shared" si="5"/>
        <v>#DIV/0!</v>
      </c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6"/>
        <v>0</v>
      </c>
      <c r="Z43" s="3">
        <f t="shared" si="27"/>
        <v>0</v>
      </c>
      <c r="AA43" s="28" t="e">
        <f t="shared" si="3"/>
        <v>#DIV/0!</v>
      </c>
      <c r="AB43" s="3"/>
      <c r="AC43" s="3"/>
      <c r="AD43" s="33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3555.1000000000004</v>
      </c>
      <c r="AT43" s="3">
        <f t="shared" si="17"/>
        <v>1116.1999999999998</v>
      </c>
      <c r="AU43" s="14">
        <f t="shared" si="30"/>
        <v>31.397147759556688</v>
      </c>
      <c r="AV43" s="14">
        <f t="shared" si="31"/>
        <v>2438.9000000000005</v>
      </c>
      <c r="AW43" s="4">
        <f t="shared" si="32"/>
        <v>1667.1000000000004</v>
      </c>
      <c r="AX43" s="20">
        <f t="shared" si="8"/>
        <v>3555.1000000000004</v>
      </c>
      <c r="AY43" s="20">
        <f t="shared" si="9"/>
        <v>1116.1999999999998</v>
      </c>
      <c r="AZ43" s="20">
        <f t="shared" si="10"/>
        <v>1667.1000000000004</v>
      </c>
    </row>
    <row r="44" spans="1:52" s="40" customFormat="1" ht="34.5" customHeight="1">
      <c r="A44" s="6">
        <v>33</v>
      </c>
      <c r="B44" s="105" t="s">
        <v>58</v>
      </c>
      <c r="C44" s="2">
        <f>555.9+458.6</f>
        <v>1014.5</v>
      </c>
      <c r="D44" s="3">
        <f>1400.5+809.7</f>
        <v>2210.2</v>
      </c>
      <c r="E44" s="3">
        <f>646.1+331</f>
        <v>977.1</v>
      </c>
      <c r="F44" s="14">
        <f t="shared" si="25"/>
        <v>44.2086688987422</v>
      </c>
      <c r="G44" s="3">
        <f>1248.9+773.8</f>
        <v>2022.7</v>
      </c>
      <c r="H44" s="3">
        <f>2559.2+221.2</f>
        <v>2780.3999999999996</v>
      </c>
      <c r="I44" s="14">
        <f t="shared" si="2"/>
        <v>137.45983091906854</v>
      </c>
      <c r="J44" s="3"/>
      <c r="K44" s="3"/>
      <c r="L44" s="94" t="e">
        <f t="shared" si="4"/>
        <v>#DIV/0!</v>
      </c>
      <c r="M44" s="3">
        <f t="shared" si="28"/>
        <v>4232.9</v>
      </c>
      <c r="N44" s="3">
        <f t="shared" si="29"/>
        <v>3757.4999999999995</v>
      </c>
      <c r="O44" s="94">
        <f t="shared" si="13"/>
        <v>88.76892910297904</v>
      </c>
      <c r="P44" s="3"/>
      <c r="Q44" s="3"/>
      <c r="R44" s="94" t="e">
        <f t="shared" si="5"/>
        <v>#DIV/0!</v>
      </c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 t="shared" si="3"/>
        <v>#DIV/0!</v>
      </c>
      <c r="AB44" s="3"/>
      <c r="AC44" s="3"/>
      <c r="AD44" s="1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2"/>
        <v>#DIV/0!</v>
      </c>
      <c r="AM44" s="3"/>
      <c r="AN44" s="3"/>
      <c r="AO44" s="3"/>
      <c r="AP44" s="3"/>
      <c r="AQ44" s="3"/>
      <c r="AR44" s="3"/>
      <c r="AS44" s="3">
        <f t="shared" si="16"/>
        <v>4232.9</v>
      </c>
      <c r="AT44" s="3">
        <f t="shared" si="17"/>
        <v>3757.4999999999995</v>
      </c>
      <c r="AU44" s="14">
        <f t="shared" si="30"/>
        <v>88.76892910297904</v>
      </c>
      <c r="AV44" s="14">
        <f t="shared" si="31"/>
        <v>475.4000000000001</v>
      </c>
      <c r="AW44" s="4">
        <f t="shared" si="32"/>
        <v>1489.9</v>
      </c>
      <c r="AX44" s="20">
        <f t="shared" si="8"/>
        <v>4232.9</v>
      </c>
      <c r="AY44" s="20">
        <f t="shared" si="9"/>
        <v>3757.4999999999995</v>
      </c>
      <c r="AZ44" s="20">
        <f t="shared" si="10"/>
        <v>1489.9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113579</v>
      </c>
      <c r="D45" s="45">
        <f>D46+D47+D48</f>
        <v>113310.8</v>
      </c>
      <c r="E45" s="45">
        <f>E46+E47+E48</f>
        <v>46353.5</v>
      </c>
      <c r="F45" s="14">
        <f t="shared" si="25"/>
        <v>40.90828058755211</v>
      </c>
      <c r="G45" s="45">
        <f>G46+G47+G48</f>
        <v>78371.1</v>
      </c>
      <c r="H45" s="45">
        <f>H46+H47+H48</f>
        <v>109672.90000000001</v>
      </c>
      <c r="I45" s="14">
        <f>H45/G45*100</f>
        <v>139.94048826672076</v>
      </c>
      <c r="J45" s="45">
        <f>J46+J47</f>
        <v>0</v>
      </c>
      <c r="K45" s="45">
        <f>K46+K47</f>
        <v>0</v>
      </c>
      <c r="L45" s="94" t="e">
        <f t="shared" si="4"/>
        <v>#DIV/0!</v>
      </c>
      <c r="M45" s="45">
        <f>M46+M47</f>
        <v>190284.7</v>
      </c>
      <c r="N45" s="45">
        <f>N46+N47</f>
        <v>155317.3</v>
      </c>
      <c r="O45" s="14">
        <f>N45/M45*100</f>
        <v>81.62364078667386</v>
      </c>
      <c r="P45" s="45">
        <f>P46+P47</f>
        <v>0</v>
      </c>
      <c r="Q45" s="45">
        <f>Q46+Q47</f>
        <v>0</v>
      </c>
      <c r="R45" s="94" t="e">
        <f t="shared" si="5"/>
        <v>#DIV/0!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45">
        <f>Y46+Y47</f>
        <v>0</v>
      </c>
      <c r="Z45" s="45">
        <f>Z46+Z47</f>
        <v>0</v>
      </c>
      <c r="AA45" s="14" t="e">
        <f t="shared" si="3"/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 t="shared" si="22"/>
        <v>#DIV/0!</v>
      </c>
      <c r="AM45" s="45">
        <f>AM46+AM47</f>
        <v>0</v>
      </c>
      <c r="AN45" s="45">
        <f>AN46+AN47</f>
        <v>0</v>
      </c>
      <c r="AO45" s="45">
        <f>AO46+AO47</f>
        <v>0</v>
      </c>
      <c r="AP45" s="45">
        <f>AP46+AP47</f>
        <v>0</v>
      </c>
      <c r="AQ45" s="45">
        <f>AQ46+AQ47</f>
        <v>0</v>
      </c>
      <c r="AR45" s="45">
        <f>AR46+AR47</f>
        <v>0</v>
      </c>
      <c r="AS45" s="45">
        <f>AS46+AS47+AS48</f>
        <v>191681.90000000002</v>
      </c>
      <c r="AT45" s="45">
        <f>AT46+AT47+AT48</f>
        <v>156026.4</v>
      </c>
      <c r="AU45" s="14">
        <f>AT45/AS45*100</f>
        <v>81.39860884100166</v>
      </c>
      <c r="AV45" s="46">
        <f>AV46+AV47+AV48</f>
        <v>35655.5</v>
      </c>
      <c r="AW45" s="46">
        <f>AW46+AW47+AW48</f>
        <v>149234.5</v>
      </c>
      <c r="AX45" s="20">
        <f>AX46+AX47+AX48</f>
        <v>191681.90000000002</v>
      </c>
      <c r="AY45" s="20">
        <f>AY46+AY47+AY48</f>
        <v>156026.4</v>
      </c>
      <c r="AZ45" s="20">
        <f>AZ46+AZ47+AZ48</f>
        <v>149234.5</v>
      </c>
    </row>
    <row r="46" spans="1:52" s="8" customFormat="1" ht="34.5" customHeight="1">
      <c r="A46" s="38"/>
      <c r="B46" s="1" t="s">
        <v>64</v>
      </c>
      <c r="C46" s="2">
        <f>801+112778</f>
        <v>113579</v>
      </c>
      <c r="D46" s="3">
        <f>17675+93416</f>
        <v>111091</v>
      </c>
      <c r="E46" s="3">
        <f>2667+42682</f>
        <v>45349</v>
      </c>
      <c r="F46" s="14">
        <f t="shared" si="25"/>
        <v>40.82148868945279</v>
      </c>
      <c r="G46" s="3">
        <f>18256+57303</f>
        <v>75559</v>
      </c>
      <c r="H46" s="3">
        <f>16904+90173</f>
        <v>107077</v>
      </c>
      <c r="I46" s="14">
        <f>H46/G46*100</f>
        <v>141.71309837345652</v>
      </c>
      <c r="J46" s="3"/>
      <c r="K46" s="3"/>
      <c r="L46" s="94" t="e">
        <f t="shared" si="4"/>
        <v>#DIV/0!</v>
      </c>
      <c r="M46" s="3">
        <f aca="true" t="shared" si="33" ref="M46:N48">D46+G46+J46</f>
        <v>186650</v>
      </c>
      <c r="N46" s="3">
        <f t="shared" si="33"/>
        <v>152426</v>
      </c>
      <c r="O46" s="14">
        <f>N46/M46*100</f>
        <v>81.66407714974552</v>
      </c>
      <c r="P46" s="3"/>
      <c r="Q46" s="3"/>
      <c r="R46" s="94" t="e">
        <f t="shared" si="5"/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3"/>
        <v>#DIV/0!</v>
      </c>
      <c r="AB46" s="3"/>
      <c r="AC46" s="3"/>
      <c r="AD46" s="14" t="e">
        <f>AC46/AB46*100</f>
        <v>#DIV/0!</v>
      </c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22"/>
        <v>#DIV/0!</v>
      </c>
      <c r="AM46" s="41"/>
      <c r="AN46" s="41"/>
      <c r="AO46" s="41"/>
      <c r="AP46" s="41"/>
      <c r="AQ46" s="41"/>
      <c r="AR46" s="41"/>
      <c r="AS46" s="3">
        <f aca="true" t="shared" si="34" ref="AS46:AT48">M46+Y46+AJ46+AM46+AO46+AQ46</f>
        <v>186650</v>
      </c>
      <c r="AT46" s="3">
        <f t="shared" si="34"/>
        <v>152426</v>
      </c>
      <c r="AU46" s="14">
        <f>AT46/AS46*100</f>
        <v>81.66407714974552</v>
      </c>
      <c r="AV46" s="14">
        <f>AS46-AT46</f>
        <v>34224</v>
      </c>
      <c r="AW46" s="4">
        <f>C46+AS46-AT46</f>
        <v>147803</v>
      </c>
      <c r="AX46" s="20">
        <f t="shared" si="8"/>
        <v>186650</v>
      </c>
      <c r="AY46" s="20">
        <f t="shared" si="9"/>
        <v>152426</v>
      </c>
      <c r="AZ46" s="20">
        <f t="shared" si="10"/>
        <v>147803</v>
      </c>
    </row>
    <row r="47" spans="1:52" s="8" customFormat="1" ht="34.5" customHeight="1">
      <c r="A47" s="38"/>
      <c r="B47" s="1" t="s">
        <v>65</v>
      </c>
      <c r="C47" s="2">
        <v>0</v>
      </c>
      <c r="D47" s="3">
        <v>1673.1</v>
      </c>
      <c r="E47" s="3">
        <v>1004.5</v>
      </c>
      <c r="F47" s="14">
        <f t="shared" si="25"/>
        <v>60.038252345944656</v>
      </c>
      <c r="G47" s="41">
        <v>1961.6</v>
      </c>
      <c r="H47" s="41">
        <v>1886.8</v>
      </c>
      <c r="I47" s="14">
        <f>H47/G47*100</f>
        <v>96.1867862969005</v>
      </c>
      <c r="J47" s="41"/>
      <c r="K47" s="41"/>
      <c r="L47" s="94" t="e">
        <f t="shared" si="4"/>
        <v>#DIV/0!</v>
      </c>
      <c r="M47" s="3">
        <f t="shared" si="33"/>
        <v>3634.7</v>
      </c>
      <c r="N47" s="3">
        <f t="shared" si="33"/>
        <v>2891.3</v>
      </c>
      <c r="O47" s="14">
        <f>N47/M47*100</f>
        <v>79.54714281783917</v>
      </c>
      <c r="P47" s="41"/>
      <c r="Q47" s="41"/>
      <c r="R47" s="94" t="e">
        <f t="shared" si="5"/>
        <v>#DIV/0!</v>
      </c>
      <c r="S47" s="41"/>
      <c r="T47" s="41"/>
      <c r="U47" s="14" t="e">
        <f>T47/S47*100</f>
        <v>#DIV/0!</v>
      </c>
      <c r="V47" s="41"/>
      <c r="W47" s="41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3"/>
        <v>#DIV/0!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2"/>
        <v>#DIV/0!</v>
      </c>
      <c r="AM47" s="41"/>
      <c r="AN47" s="41"/>
      <c r="AO47" s="41"/>
      <c r="AP47" s="41"/>
      <c r="AQ47" s="41"/>
      <c r="AR47" s="41"/>
      <c r="AS47" s="3">
        <f t="shared" si="34"/>
        <v>3634.7</v>
      </c>
      <c r="AT47" s="3">
        <f t="shared" si="34"/>
        <v>2891.3</v>
      </c>
      <c r="AU47" s="14">
        <f>AT47/AS47*100</f>
        <v>79.54714281783917</v>
      </c>
      <c r="AV47" s="14">
        <f>AS47-AT47</f>
        <v>743.3999999999996</v>
      </c>
      <c r="AW47" s="4">
        <f>C47+AS47-AT47</f>
        <v>743.3999999999996</v>
      </c>
      <c r="AX47" s="20">
        <f t="shared" si="8"/>
        <v>3634.7</v>
      </c>
      <c r="AY47" s="20">
        <f t="shared" si="9"/>
        <v>2891.3</v>
      </c>
      <c r="AZ47" s="20">
        <f t="shared" si="10"/>
        <v>743.3999999999996</v>
      </c>
    </row>
    <row r="48" spans="1:52" s="8" customFormat="1" ht="34.5" customHeight="1">
      <c r="A48" s="38"/>
      <c r="B48" s="1" t="s">
        <v>101</v>
      </c>
      <c r="C48" s="2">
        <v>0</v>
      </c>
      <c r="D48" s="3">
        <f>11.4+535.3</f>
        <v>546.6999999999999</v>
      </c>
      <c r="E48" s="3">
        <v>0</v>
      </c>
      <c r="F48" s="14">
        <f t="shared" si="25"/>
        <v>0</v>
      </c>
      <c r="G48" s="41">
        <f>282.3+568.2</f>
        <v>850.5</v>
      </c>
      <c r="H48" s="41">
        <f>173.8+535.3</f>
        <v>709.0999999999999</v>
      </c>
      <c r="I48" s="14">
        <f>H48/G48*100</f>
        <v>83.3744855967078</v>
      </c>
      <c r="J48" s="41"/>
      <c r="K48" s="41"/>
      <c r="L48" s="94"/>
      <c r="M48" s="3">
        <f t="shared" si="33"/>
        <v>1397.1999999999998</v>
      </c>
      <c r="N48" s="3">
        <f t="shared" si="33"/>
        <v>709.0999999999999</v>
      </c>
      <c r="O48" s="14">
        <f>N48/M48*100</f>
        <v>50.75150300601202</v>
      </c>
      <c r="P48" s="41"/>
      <c r="Q48" s="41"/>
      <c r="R48" s="94"/>
      <c r="S48" s="41"/>
      <c r="T48" s="41"/>
      <c r="U48" s="14"/>
      <c r="V48" s="41"/>
      <c r="W48" s="41"/>
      <c r="X48" s="14"/>
      <c r="Y48" s="3"/>
      <c r="Z48" s="3"/>
      <c r="AA48" s="14"/>
      <c r="AB48" s="41"/>
      <c r="AC48" s="41"/>
      <c r="AD48" s="14"/>
      <c r="AE48" s="41"/>
      <c r="AF48" s="41"/>
      <c r="AG48" s="36"/>
      <c r="AH48" s="41"/>
      <c r="AI48" s="41"/>
      <c r="AJ48" s="3"/>
      <c r="AK48" s="3"/>
      <c r="AL48" s="14"/>
      <c r="AM48" s="41"/>
      <c r="AN48" s="41"/>
      <c r="AO48" s="41"/>
      <c r="AP48" s="41"/>
      <c r="AQ48" s="41"/>
      <c r="AR48" s="41"/>
      <c r="AS48" s="3">
        <f t="shared" si="34"/>
        <v>1397.1999999999998</v>
      </c>
      <c r="AT48" s="3">
        <f t="shared" si="34"/>
        <v>709.0999999999999</v>
      </c>
      <c r="AU48" s="14">
        <f>AT48/AS48*100</f>
        <v>50.75150300601202</v>
      </c>
      <c r="AV48" s="14">
        <f>AS48-AT48</f>
        <v>688.0999999999999</v>
      </c>
      <c r="AW48" s="4">
        <f>C48+AS48-AT48</f>
        <v>688.0999999999999</v>
      </c>
      <c r="AX48" s="20">
        <f t="shared" si="8"/>
        <v>1397.1999999999998</v>
      </c>
      <c r="AY48" s="20">
        <f t="shared" si="9"/>
        <v>709.0999999999999</v>
      </c>
      <c r="AZ48" s="20">
        <f t="shared" si="10"/>
        <v>688.0999999999999</v>
      </c>
    </row>
    <row r="49" spans="1:52" s="8" customFormat="1" ht="34.5" customHeight="1">
      <c r="A49" s="38"/>
      <c r="B49" s="16" t="s">
        <v>60</v>
      </c>
      <c r="C49" s="45">
        <f>C7+C45</f>
        <v>102530.5</v>
      </c>
      <c r="D49" s="45">
        <f>D7+D45</f>
        <v>173393.5</v>
      </c>
      <c r="E49" s="45">
        <f>E7+E45</f>
        <v>62495.5</v>
      </c>
      <c r="F49" s="94">
        <f t="shared" si="25"/>
        <v>36.042585218015674</v>
      </c>
      <c r="G49" s="45">
        <f>G7+G45</f>
        <v>134704.3</v>
      </c>
      <c r="H49" s="45">
        <f>H7+H45</f>
        <v>160011.5</v>
      </c>
      <c r="I49" s="14">
        <f>H49/G49*100</f>
        <v>118.78722505517642</v>
      </c>
      <c r="J49" s="45">
        <f>J7+J45</f>
        <v>0</v>
      </c>
      <c r="K49" s="45">
        <f>K7+K45</f>
        <v>0</v>
      </c>
      <c r="L49" s="94" t="e">
        <f t="shared" si="4"/>
        <v>#DIV/0!</v>
      </c>
      <c r="M49" s="45">
        <f>M7+M45</f>
        <v>306700.6</v>
      </c>
      <c r="N49" s="45">
        <f>N7+N45</f>
        <v>221797.89999999997</v>
      </c>
      <c r="O49" s="14">
        <f>N49/M49*100</f>
        <v>72.31740009638064</v>
      </c>
      <c r="P49" s="45">
        <f>P7+P45</f>
        <v>0</v>
      </c>
      <c r="Q49" s="45">
        <f>Q7+Q45</f>
        <v>0</v>
      </c>
      <c r="R49" s="94" t="e">
        <f t="shared" si="5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V7+V45-V32</f>
        <v>0</v>
      </c>
      <c r="W49" s="45">
        <f>W7+W45-W32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14" t="e">
        <f t="shared" si="3"/>
        <v>#DIV/0!</v>
      </c>
      <c r="AB49" s="45">
        <f>AB7+AB45</f>
        <v>0</v>
      </c>
      <c r="AC49" s="45">
        <f>AC7+AC45</f>
        <v>0</v>
      </c>
      <c r="AD49" s="45" t="e">
        <f aca="true" t="shared" si="35" ref="AD49:AR49">AD7+AD45</f>
        <v>#DIV/0!</v>
      </c>
      <c r="AE49" s="45">
        <f t="shared" si="35"/>
        <v>0</v>
      </c>
      <c r="AF49" s="45">
        <f t="shared" si="35"/>
        <v>0</v>
      </c>
      <c r="AG49" s="45" t="e">
        <f t="shared" si="35"/>
        <v>#DIV/0!</v>
      </c>
      <c r="AH49" s="45">
        <f t="shared" si="35"/>
        <v>0</v>
      </c>
      <c r="AI49" s="45">
        <f t="shared" si="35"/>
        <v>0</v>
      </c>
      <c r="AJ49" s="45">
        <f t="shared" si="35"/>
        <v>0</v>
      </c>
      <c r="AK49" s="45">
        <f t="shared" si="35"/>
        <v>0</v>
      </c>
      <c r="AL49" s="45" t="e">
        <f t="shared" si="35"/>
        <v>#DIV/0!</v>
      </c>
      <c r="AM49" s="45">
        <f t="shared" si="35"/>
        <v>0</v>
      </c>
      <c r="AN49" s="45">
        <f t="shared" si="35"/>
        <v>0</v>
      </c>
      <c r="AO49" s="45">
        <f t="shared" si="35"/>
        <v>0</v>
      </c>
      <c r="AP49" s="45">
        <f t="shared" si="35"/>
        <v>0</v>
      </c>
      <c r="AQ49" s="45">
        <f t="shared" si="35"/>
        <v>0</v>
      </c>
      <c r="AR49" s="45">
        <f t="shared" si="35"/>
        <v>0</v>
      </c>
      <c r="AS49" s="45">
        <f>AS7+AS45</f>
        <v>308097.8</v>
      </c>
      <c r="AT49" s="45">
        <f>AT7+AT45</f>
        <v>222506.99999999997</v>
      </c>
      <c r="AU49" s="14">
        <f>AT49/AS49*100</f>
        <v>72.21960039961336</v>
      </c>
      <c r="AV49" s="45">
        <f>AV7+AV45</f>
        <v>85590.8</v>
      </c>
      <c r="AW49" s="45">
        <f>AW7+AW45</f>
        <v>188121.3</v>
      </c>
      <c r="AX49" s="20">
        <f>AX7+AX45</f>
        <v>308097.8</v>
      </c>
      <c r="AY49" s="20">
        <f>AY7+AY45</f>
        <v>222506.99999999997</v>
      </c>
      <c r="AZ49" s="20">
        <f>AZ7+AZ45</f>
        <v>188121.3</v>
      </c>
    </row>
    <row r="50" spans="1:49" s="116" customFormat="1" ht="81.75" customHeight="1">
      <c r="A50" s="239" t="s">
        <v>66</v>
      </c>
      <c r="B50" s="239"/>
      <c r="C50" s="239"/>
      <c r="D50" s="118"/>
      <c r="E50" s="118"/>
      <c r="F50" s="117"/>
      <c r="G50" s="118"/>
      <c r="H50" s="118"/>
      <c r="I50" s="125"/>
      <c r="J50" s="118"/>
      <c r="K50" s="118"/>
      <c r="L50" s="125"/>
      <c r="M50" s="125"/>
      <c r="N50" s="125"/>
      <c r="O50" s="125"/>
      <c r="P50" s="118"/>
      <c r="Q50" s="118"/>
      <c r="R50" s="125"/>
      <c r="S50" s="118"/>
      <c r="T50" s="118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18"/>
      <c r="AT50" s="118"/>
      <c r="AU50" s="125"/>
      <c r="AV50" s="118"/>
      <c r="AW50" s="118" t="s">
        <v>67</v>
      </c>
    </row>
    <row r="51" spans="2:49" ht="33.75" customHeight="1">
      <c r="B51" s="252"/>
      <c r="C51" s="252"/>
      <c r="D51" s="252"/>
      <c r="E51" s="252"/>
      <c r="F51" s="252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27"/>
      <c r="AT51" s="27"/>
      <c r="AU51" s="62"/>
      <c r="AV51" s="27"/>
      <c r="AW51" s="27"/>
    </row>
    <row r="52" spans="1:49" ht="18.75" customHeight="1" hidden="1">
      <c r="A52" s="6"/>
      <c r="B52" s="8" t="s">
        <v>14</v>
      </c>
      <c r="C52" s="65"/>
      <c r="D52" s="67"/>
      <c r="E52" s="67"/>
      <c r="F52" s="6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6.75" customHeight="1" hidden="1">
      <c r="B53" s="8"/>
      <c r="C53" s="65"/>
      <c r="D53" s="69"/>
      <c r="E53" s="69"/>
      <c r="F53" s="6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65"/>
      <c r="D54" s="67"/>
      <c r="E54" s="67"/>
      <c r="F54" s="68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2:49" ht="24.75" customHeight="1">
      <c r="B55" s="8"/>
      <c r="C55" s="65"/>
      <c r="D55" s="66"/>
      <c r="E55" s="66"/>
      <c r="F55" s="68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48.75" customHeight="1">
      <c r="A56" s="56"/>
      <c r="B56" s="243" t="s">
        <v>19</v>
      </c>
      <c r="C56" s="243"/>
      <c r="D56" s="243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2:49" ht="46.5" customHeight="1" hidden="1">
      <c r="B57" s="253" t="s">
        <v>5</v>
      </c>
      <c r="C57" s="253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2" ht="73.5" customHeight="1">
      <c r="A58" s="244" t="s">
        <v>17</v>
      </c>
      <c r="B58" s="244"/>
      <c r="C58" s="244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52"/>
      <c r="AZ58" s="54" t="s">
        <v>16</v>
      </c>
    </row>
    <row r="59" spans="2:49" ht="18.75">
      <c r="B59" s="5" t="s">
        <v>7</v>
      </c>
      <c r="C59" s="70">
        <v>278.9</v>
      </c>
      <c r="D59" s="3">
        <v>761.9</v>
      </c>
      <c r="E59" s="3">
        <v>1041</v>
      </c>
      <c r="F59" s="14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-0.20000000000004547</v>
      </c>
    </row>
    <row r="60" spans="2:49" ht="18.75">
      <c r="B60" s="5" t="s">
        <v>8</v>
      </c>
      <c r="C60" s="63">
        <v>923.4</v>
      </c>
      <c r="D60" s="31">
        <v>2513</v>
      </c>
      <c r="E60" s="31">
        <v>3352.9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24.7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3826.1</v>
      </c>
    </row>
    <row r="63" spans="2:49" ht="18.75">
      <c r="B63" s="5" t="s">
        <v>9</v>
      </c>
      <c r="C63" s="63">
        <f>C9+C17+C20+C26+C38+C40+C42</f>
        <v>-2943.7999999999997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4641.299999999999</v>
      </c>
    </row>
    <row r="64" spans="2:49" ht="18.75">
      <c r="B64" s="5" t="s">
        <v>10</v>
      </c>
      <c r="C64" s="63">
        <f>C11+C13+C14+C16+C18+C19+C25</f>
        <v>-1063.7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24.75" customHeight="1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4">
    <mergeCell ref="AW5:AW6"/>
    <mergeCell ref="AJ5:AL5"/>
    <mergeCell ref="AO5:AP5"/>
    <mergeCell ref="AH5:AI5"/>
    <mergeCell ref="A50:C50"/>
    <mergeCell ref="G5:I5"/>
    <mergeCell ref="A2:AW3"/>
    <mergeCell ref="A58:C58"/>
    <mergeCell ref="AV5:AV6"/>
    <mergeCell ref="J5:L5"/>
    <mergeCell ref="V5:X5"/>
    <mergeCell ref="B51:F51"/>
    <mergeCell ref="AB5:AD5"/>
    <mergeCell ref="M5:O5"/>
    <mergeCell ref="AE5:AG5"/>
    <mergeCell ref="B57:C57"/>
    <mergeCell ref="B56:D56"/>
    <mergeCell ref="S5:U5"/>
    <mergeCell ref="P5:R5"/>
    <mergeCell ref="AM5:AN5"/>
    <mergeCell ref="AQ5:AR5"/>
    <mergeCell ref="AS5:AU5"/>
    <mergeCell ref="D5:F5"/>
    <mergeCell ref="Y5:AA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38" r:id="rId1"/>
  <rowBreaks count="1" manualBreakCount="1">
    <brk id="5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80" zoomScaleNormal="75" zoomScaleSheetLayoutView="80" zoomScalePageLayoutView="0" workbookViewId="0" topLeftCell="A3">
      <pane xSplit="6" ySplit="4" topLeftCell="AS47" activePane="bottomRight" state="frozen"/>
      <selection pane="topLeft" activeCell="A3" sqref="A3"/>
      <selection pane="topRight" activeCell="G3" sqref="G3"/>
      <selection pane="bottomLeft" activeCell="A7" sqref="A7"/>
      <selection pane="bottomRight" activeCell="C45" sqref="C45"/>
    </sheetView>
  </sheetViews>
  <sheetFormatPr defaultColWidth="7.875" defaultRowHeight="12.75"/>
  <cols>
    <col min="1" max="1" width="6.625" style="147" customWidth="1"/>
    <col min="2" max="2" width="55.75390625" style="146" customWidth="1"/>
    <col min="3" max="3" width="16.875" style="155" customWidth="1"/>
    <col min="4" max="5" width="13.25390625" style="146" customWidth="1"/>
    <col min="6" max="6" width="13.75390625" style="157" customWidth="1"/>
    <col min="7" max="8" width="12.375" style="146" customWidth="1"/>
    <col min="9" max="9" width="11.875" style="157" customWidth="1"/>
    <col min="10" max="11" width="12.375" style="146" hidden="1" customWidth="1"/>
    <col min="12" max="12" width="11.875" style="157" hidden="1" customWidth="1"/>
    <col min="13" max="13" width="14.75390625" style="157" hidden="1" customWidth="1"/>
    <col min="14" max="14" width="12.875" style="157" hidden="1" customWidth="1"/>
    <col min="15" max="15" width="11.875" style="157" hidden="1" customWidth="1"/>
    <col min="16" max="16" width="14.375" style="146" hidden="1" customWidth="1"/>
    <col min="17" max="17" width="12.375" style="146" hidden="1" customWidth="1"/>
    <col min="18" max="18" width="11.875" style="157" hidden="1" customWidth="1"/>
    <col min="19" max="19" width="14.375" style="146" hidden="1" customWidth="1"/>
    <col min="20" max="20" width="13.375" style="146" hidden="1" customWidth="1"/>
    <col min="21" max="21" width="11.875" style="157" hidden="1" customWidth="1"/>
    <col min="22" max="22" width="15.125" style="157" hidden="1" customWidth="1"/>
    <col min="23" max="23" width="13.125" style="157" hidden="1" customWidth="1"/>
    <col min="24" max="24" width="11.875" style="157" hidden="1" customWidth="1"/>
    <col min="25" max="25" width="14.75390625" style="157" hidden="1" customWidth="1"/>
    <col min="26" max="26" width="12.875" style="157" hidden="1" customWidth="1"/>
    <col min="27" max="27" width="11.875" style="157" hidden="1" customWidth="1"/>
    <col min="28" max="28" width="15.125" style="157" hidden="1" customWidth="1"/>
    <col min="29" max="29" width="13.125" style="157" hidden="1" customWidth="1"/>
    <col min="30" max="30" width="11.875" style="157" hidden="1" customWidth="1"/>
    <col min="31" max="31" width="14.625" style="157" hidden="1" customWidth="1"/>
    <col min="32" max="32" width="14.25390625" style="157" hidden="1" customWidth="1"/>
    <col min="33" max="33" width="11.875" style="157" hidden="1" customWidth="1"/>
    <col min="34" max="34" width="14.625" style="157" hidden="1" customWidth="1"/>
    <col min="35" max="35" width="13.875" style="157" hidden="1" customWidth="1"/>
    <col min="36" max="36" width="14.75390625" style="157" hidden="1" customWidth="1"/>
    <col min="37" max="37" width="12.875" style="157" hidden="1" customWidth="1"/>
    <col min="38" max="38" width="11.875" style="157" hidden="1" customWidth="1"/>
    <col min="39" max="39" width="14.625" style="157" hidden="1" customWidth="1"/>
    <col min="40" max="40" width="13.875" style="157" hidden="1" customWidth="1"/>
    <col min="41" max="41" width="14.625" style="157" hidden="1" customWidth="1"/>
    <col min="42" max="42" width="13.875" style="157" hidden="1" customWidth="1"/>
    <col min="43" max="43" width="14.625" style="157" hidden="1" customWidth="1"/>
    <col min="44" max="44" width="13.875" style="157" hidden="1" customWidth="1"/>
    <col min="45" max="45" width="14.125" style="146" customWidth="1"/>
    <col min="46" max="46" width="13.75390625" style="146" customWidth="1"/>
    <col min="47" max="47" width="13.75390625" style="157" customWidth="1"/>
    <col min="48" max="48" width="22.25390625" style="146" hidden="1" customWidth="1"/>
    <col min="49" max="49" width="26.25390625" style="146" customWidth="1"/>
    <col min="50" max="50" width="14.125" style="146" customWidth="1"/>
    <col min="51" max="51" width="15.375" style="146" customWidth="1"/>
    <col min="52" max="52" width="14.875" style="146" customWidth="1"/>
    <col min="53" max="16384" width="7.875" style="146" customWidth="1"/>
  </cols>
  <sheetData>
    <row r="1" spans="4:49" ht="18.75"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</row>
    <row r="2" spans="1:49" s="156" customFormat="1" ht="60" customHeight="1">
      <c r="A2" s="258" t="s">
        <v>99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</row>
    <row r="3" spans="1:49" s="156" customFormat="1" ht="60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</row>
    <row r="4" spans="2:49" ht="34.5" customHeight="1">
      <c r="B4" s="254"/>
      <c r="C4" s="254"/>
      <c r="AW4" s="158" t="s">
        <v>26</v>
      </c>
    </row>
    <row r="5" spans="1:49" ht="58.5" customHeight="1">
      <c r="A5" s="148" t="s">
        <v>4</v>
      </c>
      <c r="B5" s="159"/>
      <c r="C5" s="160" t="s">
        <v>1</v>
      </c>
      <c r="D5" s="255" t="s">
        <v>68</v>
      </c>
      <c r="E5" s="256"/>
      <c r="F5" s="257"/>
      <c r="G5" s="245" t="s">
        <v>70</v>
      </c>
      <c r="H5" s="246"/>
      <c r="I5" s="247"/>
      <c r="J5" s="245" t="s">
        <v>71</v>
      </c>
      <c r="K5" s="246"/>
      <c r="L5" s="247"/>
      <c r="M5" s="245" t="s">
        <v>73</v>
      </c>
      <c r="N5" s="246"/>
      <c r="O5" s="247"/>
      <c r="P5" s="245" t="s">
        <v>72</v>
      </c>
      <c r="Q5" s="246"/>
      <c r="R5" s="247"/>
      <c r="S5" s="245" t="s">
        <v>75</v>
      </c>
      <c r="T5" s="246"/>
      <c r="U5" s="247"/>
      <c r="V5" s="245" t="s">
        <v>76</v>
      </c>
      <c r="W5" s="246"/>
      <c r="X5" s="247"/>
      <c r="Y5" s="245" t="s">
        <v>77</v>
      </c>
      <c r="Z5" s="246"/>
      <c r="AA5" s="247"/>
      <c r="AB5" s="245" t="s">
        <v>78</v>
      </c>
      <c r="AC5" s="246"/>
      <c r="AD5" s="247"/>
      <c r="AE5" s="232" t="s">
        <v>79</v>
      </c>
      <c r="AF5" s="233"/>
      <c r="AG5" s="234"/>
      <c r="AH5" s="245" t="s">
        <v>80</v>
      </c>
      <c r="AI5" s="247"/>
      <c r="AJ5" s="232" t="s">
        <v>81</v>
      </c>
      <c r="AK5" s="233"/>
      <c r="AL5" s="234"/>
      <c r="AM5" s="232" t="s">
        <v>82</v>
      </c>
      <c r="AN5" s="234"/>
      <c r="AO5" s="232" t="s">
        <v>83</v>
      </c>
      <c r="AP5" s="234"/>
      <c r="AQ5" s="245" t="s">
        <v>84</v>
      </c>
      <c r="AR5" s="247"/>
      <c r="AS5" s="255" t="s">
        <v>87</v>
      </c>
      <c r="AT5" s="256"/>
      <c r="AU5" s="257"/>
      <c r="AV5" s="262" t="s">
        <v>22</v>
      </c>
      <c r="AW5" s="240" t="s">
        <v>92</v>
      </c>
    </row>
    <row r="6" spans="1:49" ht="57.75" customHeight="1">
      <c r="A6" s="149" t="s">
        <v>2</v>
      </c>
      <c r="B6" s="161" t="s">
        <v>61</v>
      </c>
      <c r="C6" s="162" t="s">
        <v>86</v>
      </c>
      <c r="D6" s="161" t="s">
        <v>20</v>
      </c>
      <c r="E6" s="161" t="s">
        <v>13</v>
      </c>
      <c r="F6" s="150" t="s">
        <v>0</v>
      </c>
      <c r="G6" s="161" t="s">
        <v>20</v>
      </c>
      <c r="H6" s="161" t="s">
        <v>13</v>
      </c>
      <c r="I6" s="150" t="s">
        <v>0</v>
      </c>
      <c r="J6" s="161" t="s">
        <v>20</v>
      </c>
      <c r="K6" s="161" t="s">
        <v>13</v>
      </c>
      <c r="L6" s="150" t="s">
        <v>0</v>
      </c>
      <c r="M6" s="161" t="s">
        <v>20</v>
      </c>
      <c r="N6" s="161" t="s">
        <v>13</v>
      </c>
      <c r="O6" s="150" t="s">
        <v>0</v>
      </c>
      <c r="P6" s="161" t="s">
        <v>20</v>
      </c>
      <c r="Q6" s="161" t="s">
        <v>13</v>
      </c>
      <c r="R6" s="150" t="s">
        <v>0</v>
      </c>
      <c r="S6" s="161" t="s">
        <v>20</v>
      </c>
      <c r="T6" s="161" t="s">
        <v>13</v>
      </c>
      <c r="U6" s="150" t="s">
        <v>0</v>
      </c>
      <c r="V6" s="161" t="s">
        <v>20</v>
      </c>
      <c r="W6" s="161" t="s">
        <v>13</v>
      </c>
      <c r="X6" s="150" t="s">
        <v>0</v>
      </c>
      <c r="Y6" s="161" t="s">
        <v>20</v>
      </c>
      <c r="Z6" s="161" t="s">
        <v>13</v>
      </c>
      <c r="AA6" s="150" t="s">
        <v>0</v>
      </c>
      <c r="AB6" s="161" t="s">
        <v>20</v>
      </c>
      <c r="AC6" s="161" t="s">
        <v>13</v>
      </c>
      <c r="AD6" s="150" t="s">
        <v>0</v>
      </c>
      <c r="AE6" s="161" t="s">
        <v>20</v>
      </c>
      <c r="AF6" s="161" t="s">
        <v>13</v>
      </c>
      <c r="AG6" s="150" t="s">
        <v>0</v>
      </c>
      <c r="AH6" s="161" t="s">
        <v>20</v>
      </c>
      <c r="AI6" s="161" t="s">
        <v>13</v>
      </c>
      <c r="AJ6" s="161" t="s">
        <v>20</v>
      </c>
      <c r="AK6" s="161" t="s">
        <v>13</v>
      </c>
      <c r="AL6" s="150" t="s">
        <v>0</v>
      </c>
      <c r="AM6" s="161" t="s">
        <v>20</v>
      </c>
      <c r="AN6" s="161" t="s">
        <v>13</v>
      </c>
      <c r="AO6" s="161" t="s">
        <v>20</v>
      </c>
      <c r="AP6" s="161" t="s">
        <v>13</v>
      </c>
      <c r="AQ6" s="161" t="s">
        <v>20</v>
      </c>
      <c r="AR6" s="161" t="s">
        <v>13</v>
      </c>
      <c r="AS6" s="161" t="s">
        <v>25</v>
      </c>
      <c r="AT6" s="161" t="s">
        <v>13</v>
      </c>
      <c r="AU6" s="150" t="s">
        <v>0</v>
      </c>
      <c r="AV6" s="263"/>
      <c r="AW6" s="241"/>
    </row>
    <row r="7" spans="1:52" s="157" customFormat="1" ht="34.5" customHeight="1">
      <c r="A7" s="150"/>
      <c r="B7" s="163" t="s">
        <v>62</v>
      </c>
      <c r="C7" s="164">
        <f aca="true" t="shared" si="0" ref="C7:AR7">SUM(C8:C44)-C33-C34-C35-C36</f>
        <v>-4590.8</v>
      </c>
      <c r="D7" s="164">
        <f t="shared" si="0"/>
        <v>9343.100000000002</v>
      </c>
      <c r="E7" s="164">
        <f t="shared" si="0"/>
        <v>478.09999999999997</v>
      </c>
      <c r="F7" s="164">
        <f aca="true" t="shared" si="1" ref="F7:F46">E7/D7*100</f>
        <v>5.117145272982199</v>
      </c>
      <c r="G7" s="164">
        <f>SUM(G8:G44)-G33-G34-G35-G36</f>
        <v>9302.800000000003</v>
      </c>
      <c r="H7" s="164">
        <f>SUM(H8:H44)-H33-H34-H35-H36</f>
        <v>8161.499999999998</v>
      </c>
      <c r="I7" s="165">
        <f aca="true" t="shared" si="2" ref="I7:I49">H7/G7*100</f>
        <v>87.73165068581498</v>
      </c>
      <c r="J7" s="164">
        <f t="shared" si="0"/>
        <v>0</v>
      </c>
      <c r="K7" s="164">
        <f t="shared" si="0"/>
        <v>0</v>
      </c>
      <c r="L7" s="164" t="e">
        <f aca="true" t="shared" si="3" ref="L7:L49">K7/J7*100</f>
        <v>#DIV/0!</v>
      </c>
      <c r="M7" s="164">
        <f t="shared" si="0"/>
        <v>18645.899999999998</v>
      </c>
      <c r="N7" s="164">
        <f t="shared" si="0"/>
        <v>8639.599999999999</v>
      </c>
      <c r="O7" s="143">
        <f>N7/M7*100</f>
        <v>46.335119248735644</v>
      </c>
      <c r="P7" s="164">
        <f t="shared" si="0"/>
        <v>0</v>
      </c>
      <c r="Q7" s="164">
        <f t="shared" si="0"/>
        <v>0</v>
      </c>
      <c r="R7" s="143" t="e">
        <f aca="true" t="shared" si="4" ref="R7:R49">Q7/P7*100</f>
        <v>#DIV/0!</v>
      </c>
      <c r="S7" s="164">
        <f t="shared" si="0"/>
        <v>0</v>
      </c>
      <c r="T7" s="164">
        <f t="shared" si="0"/>
        <v>0</v>
      </c>
      <c r="U7" s="164" t="e">
        <f t="shared" si="0"/>
        <v>#DIV/0!</v>
      </c>
      <c r="V7" s="164">
        <f t="shared" si="0"/>
        <v>0</v>
      </c>
      <c r="W7" s="164">
        <f t="shared" si="0"/>
        <v>0</v>
      </c>
      <c r="X7" s="164" t="e">
        <f t="shared" si="0"/>
        <v>#DIV/0!</v>
      </c>
      <c r="Y7" s="164">
        <f t="shared" si="0"/>
        <v>0</v>
      </c>
      <c r="Z7" s="164">
        <f t="shared" si="0"/>
        <v>0</v>
      </c>
      <c r="AA7" s="164" t="e">
        <f>Z7/Y7*100</f>
        <v>#DIV/0!</v>
      </c>
      <c r="AB7" s="164">
        <f t="shared" si="0"/>
        <v>0</v>
      </c>
      <c r="AC7" s="164">
        <f t="shared" si="0"/>
        <v>0</v>
      </c>
      <c r="AD7" s="164" t="e">
        <f>AC7/AB7*100</f>
        <v>#DIV/0!</v>
      </c>
      <c r="AE7" s="164">
        <f t="shared" si="0"/>
        <v>0</v>
      </c>
      <c r="AF7" s="164">
        <f t="shared" si="0"/>
        <v>0</v>
      </c>
      <c r="AG7" s="164" t="e">
        <f t="shared" si="0"/>
        <v>#DIV/0!</v>
      </c>
      <c r="AH7" s="164">
        <f t="shared" si="0"/>
        <v>0</v>
      </c>
      <c r="AI7" s="164">
        <f t="shared" si="0"/>
        <v>0</v>
      </c>
      <c r="AJ7" s="164">
        <f t="shared" si="0"/>
        <v>0</v>
      </c>
      <c r="AK7" s="164">
        <f t="shared" si="0"/>
        <v>0</v>
      </c>
      <c r="AL7" s="164" t="e">
        <f t="shared" si="0"/>
        <v>#DIV/0!</v>
      </c>
      <c r="AM7" s="164">
        <f t="shared" si="0"/>
        <v>0</v>
      </c>
      <c r="AN7" s="164">
        <f t="shared" si="0"/>
        <v>0</v>
      </c>
      <c r="AO7" s="164">
        <f t="shared" si="0"/>
        <v>0</v>
      </c>
      <c r="AP7" s="164">
        <f t="shared" si="0"/>
        <v>0</v>
      </c>
      <c r="AQ7" s="164">
        <f t="shared" si="0"/>
        <v>0</v>
      </c>
      <c r="AR7" s="164">
        <f t="shared" si="0"/>
        <v>0</v>
      </c>
      <c r="AS7" s="164">
        <f>SUM(AS8:AS44)-AS33-AS34-AS35-AS36</f>
        <v>18645.899999999998</v>
      </c>
      <c r="AT7" s="164">
        <f>SUM(AT8:AT44)-AT33-AT34-AT35-AT36</f>
        <v>8639.599999999999</v>
      </c>
      <c r="AU7" s="164">
        <f>AT7/AS7*100</f>
        <v>46.335119248735644</v>
      </c>
      <c r="AV7" s="164">
        <f>SUM(AV8:AV44)-AV33-AV34-AV35-AV36</f>
        <v>10006.300000000003</v>
      </c>
      <c r="AW7" s="164">
        <f>SUM(AW8:AW44)-AW33-AW34-AW35-AW36</f>
        <v>5415.500000000001</v>
      </c>
      <c r="AX7" s="145">
        <f>M7+Y7+AJ7+AM7+AO7+AQ7</f>
        <v>18645.899999999998</v>
      </c>
      <c r="AY7" s="145">
        <f>N7+Z7+AK7+AN7+AP7+AR7</f>
        <v>8639.599999999999</v>
      </c>
      <c r="AZ7" s="145">
        <f>C7+AX7-AY7</f>
        <v>5415.5</v>
      </c>
    </row>
    <row r="8" spans="1:52" ht="34.5" customHeight="1">
      <c r="A8" s="151">
        <v>1</v>
      </c>
      <c r="B8" s="142" t="s">
        <v>27</v>
      </c>
      <c r="C8" s="166">
        <v>-315.3</v>
      </c>
      <c r="D8" s="167">
        <v>397.2</v>
      </c>
      <c r="E8" s="167">
        <v>240.4</v>
      </c>
      <c r="F8" s="165">
        <f t="shared" si="1"/>
        <v>60.52366565961732</v>
      </c>
      <c r="G8" s="167">
        <v>371.2</v>
      </c>
      <c r="H8" s="167">
        <v>123.7</v>
      </c>
      <c r="I8" s="165">
        <f t="shared" si="2"/>
        <v>33.324353448275865</v>
      </c>
      <c r="J8" s="167"/>
      <c r="K8" s="167"/>
      <c r="L8" s="143" t="e">
        <f t="shared" si="3"/>
        <v>#DIV/0!</v>
      </c>
      <c r="M8" s="167">
        <f>D8+G8+J8</f>
        <v>768.4</v>
      </c>
      <c r="N8" s="167">
        <f>E8+H8+K8</f>
        <v>364.1</v>
      </c>
      <c r="O8" s="143">
        <f>N8/M8*100</f>
        <v>47.38417490890161</v>
      </c>
      <c r="P8" s="167"/>
      <c r="Q8" s="167"/>
      <c r="R8" s="143" t="e">
        <f t="shared" si="4"/>
        <v>#DIV/0!</v>
      </c>
      <c r="S8" s="167"/>
      <c r="T8" s="167"/>
      <c r="U8" s="143" t="e">
        <f aca="true" t="shared" si="5" ref="U8:U49">T8/S8*100</f>
        <v>#DIV/0!</v>
      </c>
      <c r="V8" s="167"/>
      <c r="W8" s="167"/>
      <c r="X8" s="143" t="e">
        <f aca="true" t="shared" si="6" ref="X8:X49">W8/V8*100</f>
        <v>#DIV/0!</v>
      </c>
      <c r="Y8" s="167">
        <f>P8+S8+V8</f>
        <v>0</v>
      </c>
      <c r="Z8" s="167">
        <f>Q8+T8+W8</f>
        <v>0</v>
      </c>
      <c r="AA8" s="143"/>
      <c r="AB8" s="167"/>
      <c r="AC8" s="167"/>
      <c r="AD8" s="167"/>
      <c r="AE8" s="167"/>
      <c r="AF8" s="167"/>
      <c r="AG8" s="168"/>
      <c r="AH8" s="167"/>
      <c r="AI8" s="167"/>
      <c r="AJ8" s="167">
        <f>AB8+AE8+AH8</f>
        <v>0</v>
      </c>
      <c r="AK8" s="167">
        <f>AC8+AF8+AI8</f>
        <v>0</v>
      </c>
      <c r="AL8" s="168" t="e">
        <f>AK8/AJ8*100</f>
        <v>#DIV/0!</v>
      </c>
      <c r="AM8" s="167"/>
      <c r="AN8" s="167"/>
      <c r="AO8" s="167"/>
      <c r="AP8" s="167"/>
      <c r="AQ8" s="167"/>
      <c r="AR8" s="167"/>
      <c r="AS8" s="167">
        <f>M8+Y8+AJ8+AM8+AO8+AQ8</f>
        <v>768.4</v>
      </c>
      <c r="AT8" s="167">
        <f>N8+Z8+AK8+AN8+AP8+AR8</f>
        <v>364.1</v>
      </c>
      <c r="AU8" s="143">
        <f>AT8/AS8*100</f>
        <v>47.38417490890161</v>
      </c>
      <c r="AV8" s="143">
        <f>AS8-AT8</f>
        <v>404.29999999999995</v>
      </c>
      <c r="AW8" s="169">
        <f>C8+AS8-AT8</f>
        <v>88.99999999999994</v>
      </c>
      <c r="AX8" s="145">
        <f aca="true" t="shared" si="7" ref="AX8:AX49">M8+Y8+AJ8+AM8+AO8+AQ8</f>
        <v>768.4</v>
      </c>
      <c r="AY8" s="145">
        <f aca="true" t="shared" si="8" ref="AY8:AY49">N8+Z8+AK8+AN8+AP8+AR8</f>
        <v>364.1</v>
      </c>
      <c r="AZ8" s="145">
        <f aca="true" t="shared" si="9" ref="AZ8:AZ49">C8+AX8-AY8</f>
        <v>88.99999999999994</v>
      </c>
    </row>
    <row r="9" spans="1:52" ht="34.5" customHeight="1">
      <c r="A9" s="151">
        <v>2</v>
      </c>
      <c r="B9" s="170" t="s">
        <v>28</v>
      </c>
      <c r="C9" s="166">
        <v>-645.6</v>
      </c>
      <c r="D9" s="167">
        <v>390.5</v>
      </c>
      <c r="E9" s="167">
        <v>0</v>
      </c>
      <c r="F9" s="165">
        <f t="shared" si="1"/>
        <v>0</v>
      </c>
      <c r="G9" s="167">
        <v>287.6</v>
      </c>
      <c r="H9" s="167">
        <v>0</v>
      </c>
      <c r="I9" s="165">
        <f t="shared" si="2"/>
        <v>0</v>
      </c>
      <c r="J9" s="167"/>
      <c r="K9" s="167"/>
      <c r="L9" s="143" t="e">
        <f t="shared" si="3"/>
        <v>#DIV/0!</v>
      </c>
      <c r="M9" s="167">
        <f aca="true" t="shared" si="10" ref="M9:M31">D9+G9+J9</f>
        <v>678.1</v>
      </c>
      <c r="N9" s="167">
        <f aca="true" t="shared" si="11" ref="N9:N31">E9+H9+K9</f>
        <v>0</v>
      </c>
      <c r="O9" s="143">
        <f aca="true" t="shared" si="12" ref="O9:O49">N9/M9*100</f>
        <v>0</v>
      </c>
      <c r="P9" s="167"/>
      <c r="Q9" s="167"/>
      <c r="R9" s="143" t="e">
        <f t="shared" si="4"/>
        <v>#DIV/0!</v>
      </c>
      <c r="S9" s="167"/>
      <c r="T9" s="167"/>
      <c r="U9" s="143" t="e">
        <f t="shared" si="5"/>
        <v>#DIV/0!</v>
      </c>
      <c r="V9" s="167"/>
      <c r="W9" s="167"/>
      <c r="X9" s="143" t="e">
        <f t="shared" si="6"/>
        <v>#DIV/0!</v>
      </c>
      <c r="Y9" s="167">
        <f>P9+S9+V9</f>
        <v>0</v>
      </c>
      <c r="Z9" s="167">
        <f>Q9+T9+W9</f>
        <v>0</v>
      </c>
      <c r="AA9" s="168"/>
      <c r="AB9" s="167"/>
      <c r="AC9" s="167"/>
      <c r="AD9" s="171"/>
      <c r="AE9" s="167"/>
      <c r="AF9" s="167"/>
      <c r="AG9" s="168"/>
      <c r="AH9" s="167"/>
      <c r="AI9" s="167"/>
      <c r="AJ9" s="167">
        <f aca="true" t="shared" si="13" ref="AJ9:AJ44">AB9+AE9+AH9</f>
        <v>0</v>
      </c>
      <c r="AK9" s="167">
        <f aca="true" t="shared" si="14" ref="AK9:AK44">AC9+AF9+AI9</f>
        <v>0</v>
      </c>
      <c r="AL9" s="168" t="e">
        <f>AK9/AJ9*100</f>
        <v>#DIV/0!</v>
      </c>
      <c r="AM9" s="167"/>
      <c r="AN9" s="167"/>
      <c r="AO9" s="167"/>
      <c r="AP9" s="167"/>
      <c r="AQ9" s="167"/>
      <c r="AR9" s="167"/>
      <c r="AS9" s="167">
        <f aca="true" t="shared" si="15" ref="AS9:AS27">M9+Y9+AJ9+AM9+AO9+AQ9</f>
        <v>678.1</v>
      </c>
      <c r="AT9" s="167">
        <f aca="true" t="shared" si="16" ref="AT9:AT27">N9+Z9+AK9+AN9+AP9+AR9</f>
        <v>0</v>
      </c>
      <c r="AU9" s="143">
        <f aca="true" t="shared" si="17" ref="AU9:AU27">AT9/AS9*100</f>
        <v>0</v>
      </c>
      <c r="AV9" s="143">
        <f>AS9-AT9</f>
        <v>678.1</v>
      </c>
      <c r="AW9" s="169">
        <f aca="true" t="shared" si="18" ref="AW9:AW27">C9+AS9-AT9</f>
        <v>32.5</v>
      </c>
      <c r="AX9" s="145">
        <f t="shared" si="7"/>
        <v>678.1</v>
      </c>
      <c r="AY9" s="145">
        <f t="shared" si="8"/>
        <v>0</v>
      </c>
      <c r="AZ9" s="145">
        <f t="shared" si="9"/>
        <v>32.5</v>
      </c>
    </row>
    <row r="10" spans="1:52" ht="34.5" customHeight="1">
      <c r="A10" s="151">
        <v>3</v>
      </c>
      <c r="B10" s="172" t="s">
        <v>29</v>
      </c>
      <c r="C10" s="173"/>
      <c r="D10" s="174"/>
      <c r="E10" s="174"/>
      <c r="F10" s="165"/>
      <c r="G10" s="175"/>
      <c r="H10" s="175"/>
      <c r="I10" s="168" t="e">
        <f t="shared" si="2"/>
        <v>#DIV/0!</v>
      </c>
      <c r="J10" s="175"/>
      <c r="K10" s="175"/>
      <c r="L10" s="168" t="e">
        <f t="shared" si="3"/>
        <v>#DIV/0!</v>
      </c>
      <c r="M10" s="175">
        <f t="shared" si="10"/>
        <v>0</v>
      </c>
      <c r="N10" s="175">
        <f t="shared" si="11"/>
        <v>0</v>
      </c>
      <c r="O10" s="168" t="e">
        <f t="shared" si="12"/>
        <v>#DIV/0!</v>
      </c>
      <c r="P10" s="175"/>
      <c r="Q10" s="175"/>
      <c r="R10" s="168" t="e">
        <f t="shared" si="4"/>
        <v>#DIV/0!</v>
      </c>
      <c r="S10" s="175"/>
      <c r="T10" s="175"/>
      <c r="U10" s="168" t="e">
        <f t="shared" si="5"/>
        <v>#DIV/0!</v>
      </c>
      <c r="V10" s="175"/>
      <c r="W10" s="175"/>
      <c r="X10" s="168" t="e">
        <f t="shared" si="6"/>
        <v>#DIV/0!</v>
      </c>
      <c r="Y10" s="167"/>
      <c r="Z10" s="167"/>
      <c r="AA10" s="168"/>
      <c r="AB10" s="175"/>
      <c r="AC10" s="175"/>
      <c r="AD10" s="175"/>
      <c r="AE10" s="175"/>
      <c r="AF10" s="175"/>
      <c r="AG10" s="168"/>
      <c r="AH10" s="175"/>
      <c r="AI10" s="175"/>
      <c r="AJ10" s="175">
        <f t="shared" si="13"/>
        <v>0</v>
      </c>
      <c r="AK10" s="175">
        <f t="shared" si="14"/>
        <v>0</v>
      </c>
      <c r="AL10" s="168"/>
      <c r="AM10" s="175"/>
      <c r="AN10" s="175"/>
      <c r="AO10" s="175"/>
      <c r="AP10" s="175"/>
      <c r="AQ10" s="175"/>
      <c r="AR10" s="175"/>
      <c r="AS10" s="175">
        <f t="shared" si="15"/>
        <v>0</v>
      </c>
      <c r="AT10" s="175">
        <f t="shared" si="16"/>
        <v>0</v>
      </c>
      <c r="AU10" s="168" t="e">
        <f t="shared" si="17"/>
        <v>#DIV/0!</v>
      </c>
      <c r="AV10" s="168"/>
      <c r="AW10" s="144">
        <f t="shared" si="18"/>
        <v>0</v>
      </c>
      <c r="AX10" s="145">
        <f t="shared" si="7"/>
        <v>0</v>
      </c>
      <c r="AY10" s="145">
        <f t="shared" si="8"/>
        <v>0</v>
      </c>
      <c r="AZ10" s="145">
        <f t="shared" si="9"/>
        <v>0</v>
      </c>
    </row>
    <row r="11" spans="1:52" ht="34.5" customHeight="1">
      <c r="A11" s="151">
        <v>4</v>
      </c>
      <c r="B11" s="142" t="s">
        <v>30</v>
      </c>
      <c r="C11" s="166"/>
      <c r="D11" s="167"/>
      <c r="E11" s="167"/>
      <c r="F11" s="168" t="e">
        <f t="shared" si="1"/>
        <v>#DIV/0!</v>
      </c>
      <c r="G11" s="175"/>
      <c r="H11" s="175"/>
      <c r="I11" s="168" t="e">
        <f t="shared" si="2"/>
        <v>#DIV/0!</v>
      </c>
      <c r="J11" s="175"/>
      <c r="K11" s="175"/>
      <c r="L11" s="168" t="e">
        <f t="shared" si="3"/>
        <v>#DIV/0!</v>
      </c>
      <c r="M11" s="175">
        <f t="shared" si="10"/>
        <v>0</v>
      </c>
      <c r="N11" s="175">
        <f t="shared" si="11"/>
        <v>0</v>
      </c>
      <c r="O11" s="168" t="e">
        <f t="shared" si="12"/>
        <v>#DIV/0!</v>
      </c>
      <c r="P11" s="175"/>
      <c r="Q11" s="175"/>
      <c r="R11" s="168" t="e">
        <f t="shared" si="4"/>
        <v>#DIV/0!</v>
      </c>
      <c r="S11" s="175"/>
      <c r="T11" s="175"/>
      <c r="U11" s="168" t="e">
        <f t="shared" si="5"/>
        <v>#DIV/0!</v>
      </c>
      <c r="V11" s="175"/>
      <c r="W11" s="175"/>
      <c r="X11" s="168" t="e">
        <f t="shared" si="6"/>
        <v>#DIV/0!</v>
      </c>
      <c r="Y11" s="167"/>
      <c r="Z11" s="167"/>
      <c r="AA11" s="168"/>
      <c r="AB11" s="175"/>
      <c r="AC11" s="175"/>
      <c r="AD11" s="175"/>
      <c r="AE11" s="175"/>
      <c r="AF11" s="175"/>
      <c r="AG11" s="168"/>
      <c r="AH11" s="175"/>
      <c r="AI11" s="175"/>
      <c r="AJ11" s="175">
        <f t="shared" si="13"/>
        <v>0</v>
      </c>
      <c r="AK11" s="175">
        <f t="shared" si="14"/>
        <v>0</v>
      </c>
      <c r="AL11" s="168"/>
      <c r="AM11" s="175"/>
      <c r="AN11" s="175"/>
      <c r="AO11" s="175"/>
      <c r="AP11" s="175"/>
      <c r="AQ11" s="175"/>
      <c r="AR11" s="175"/>
      <c r="AS11" s="175">
        <f t="shared" si="15"/>
        <v>0</v>
      </c>
      <c r="AT11" s="175">
        <f t="shared" si="16"/>
        <v>0</v>
      </c>
      <c r="AU11" s="168" t="e">
        <f t="shared" si="17"/>
        <v>#DIV/0!</v>
      </c>
      <c r="AV11" s="168"/>
      <c r="AW11" s="144">
        <f t="shared" si="18"/>
        <v>0</v>
      </c>
      <c r="AX11" s="145">
        <f t="shared" si="7"/>
        <v>0</v>
      </c>
      <c r="AY11" s="145">
        <f t="shared" si="8"/>
        <v>0</v>
      </c>
      <c r="AZ11" s="145">
        <f t="shared" si="9"/>
        <v>0</v>
      </c>
    </row>
    <row r="12" spans="1:52" s="176" customFormat="1" ht="34.5" customHeight="1">
      <c r="A12" s="151">
        <v>5</v>
      </c>
      <c r="B12" s="142" t="s">
        <v>31</v>
      </c>
      <c r="C12" s="173"/>
      <c r="D12" s="174"/>
      <c r="E12" s="174"/>
      <c r="F12" s="168" t="e">
        <f t="shared" si="1"/>
        <v>#DIV/0!</v>
      </c>
      <c r="G12" s="175"/>
      <c r="H12" s="175"/>
      <c r="I12" s="168" t="e">
        <f t="shared" si="2"/>
        <v>#DIV/0!</v>
      </c>
      <c r="J12" s="175"/>
      <c r="K12" s="175"/>
      <c r="L12" s="168" t="e">
        <f t="shared" si="3"/>
        <v>#DIV/0!</v>
      </c>
      <c r="M12" s="175">
        <f t="shared" si="10"/>
        <v>0</v>
      </c>
      <c r="N12" s="175">
        <f t="shared" si="11"/>
        <v>0</v>
      </c>
      <c r="O12" s="168" t="e">
        <f t="shared" si="12"/>
        <v>#DIV/0!</v>
      </c>
      <c r="P12" s="175"/>
      <c r="Q12" s="175"/>
      <c r="R12" s="168" t="e">
        <f t="shared" si="4"/>
        <v>#DIV/0!</v>
      </c>
      <c r="S12" s="175"/>
      <c r="T12" s="175"/>
      <c r="U12" s="168" t="e">
        <f t="shared" si="5"/>
        <v>#DIV/0!</v>
      </c>
      <c r="V12" s="175"/>
      <c r="W12" s="175"/>
      <c r="X12" s="168" t="e">
        <f t="shared" si="6"/>
        <v>#DIV/0!</v>
      </c>
      <c r="Y12" s="167"/>
      <c r="Z12" s="167"/>
      <c r="AA12" s="168"/>
      <c r="AB12" s="175"/>
      <c r="AC12" s="175"/>
      <c r="AD12" s="175"/>
      <c r="AE12" s="175"/>
      <c r="AF12" s="175"/>
      <c r="AG12" s="168"/>
      <c r="AH12" s="175"/>
      <c r="AI12" s="175"/>
      <c r="AJ12" s="175">
        <f t="shared" si="13"/>
        <v>0</v>
      </c>
      <c r="AK12" s="175">
        <f t="shared" si="14"/>
        <v>0</v>
      </c>
      <c r="AL12" s="168"/>
      <c r="AM12" s="175"/>
      <c r="AN12" s="175"/>
      <c r="AO12" s="175"/>
      <c r="AP12" s="175"/>
      <c r="AQ12" s="175"/>
      <c r="AR12" s="175"/>
      <c r="AS12" s="175">
        <f t="shared" si="15"/>
        <v>0</v>
      </c>
      <c r="AT12" s="175">
        <f t="shared" si="16"/>
        <v>0</v>
      </c>
      <c r="AU12" s="168" t="e">
        <f t="shared" si="17"/>
        <v>#DIV/0!</v>
      </c>
      <c r="AV12" s="168"/>
      <c r="AW12" s="144">
        <f t="shared" si="18"/>
        <v>0</v>
      </c>
      <c r="AX12" s="145">
        <f t="shared" si="7"/>
        <v>0</v>
      </c>
      <c r="AY12" s="145">
        <f t="shared" si="8"/>
        <v>0</v>
      </c>
      <c r="AZ12" s="145">
        <f t="shared" si="9"/>
        <v>0</v>
      </c>
    </row>
    <row r="13" spans="1:52" s="176" customFormat="1" ht="34.5" customHeight="1">
      <c r="A13" s="151">
        <v>6</v>
      </c>
      <c r="B13" s="142" t="s">
        <v>32</v>
      </c>
      <c r="C13" s="166">
        <v>75</v>
      </c>
      <c r="D13" s="167">
        <v>113</v>
      </c>
      <c r="E13" s="167">
        <v>0</v>
      </c>
      <c r="F13" s="165">
        <f t="shared" si="1"/>
        <v>0</v>
      </c>
      <c r="G13" s="167">
        <v>80</v>
      </c>
      <c r="H13" s="167">
        <v>50</v>
      </c>
      <c r="I13" s="165">
        <f t="shared" si="2"/>
        <v>62.5</v>
      </c>
      <c r="J13" s="167"/>
      <c r="K13" s="167"/>
      <c r="L13" s="143" t="e">
        <f t="shared" si="3"/>
        <v>#DIV/0!</v>
      </c>
      <c r="M13" s="167">
        <f t="shared" si="10"/>
        <v>193</v>
      </c>
      <c r="N13" s="167">
        <f t="shared" si="11"/>
        <v>50</v>
      </c>
      <c r="O13" s="143">
        <f t="shared" si="12"/>
        <v>25.906735751295333</v>
      </c>
      <c r="P13" s="167"/>
      <c r="Q13" s="167"/>
      <c r="R13" s="168" t="e">
        <f t="shared" si="4"/>
        <v>#DIV/0!</v>
      </c>
      <c r="S13" s="167"/>
      <c r="T13" s="167"/>
      <c r="U13" s="143" t="e">
        <f t="shared" si="5"/>
        <v>#DIV/0!</v>
      </c>
      <c r="V13" s="167"/>
      <c r="W13" s="167"/>
      <c r="X13" s="143" t="e">
        <f t="shared" si="6"/>
        <v>#DIV/0!</v>
      </c>
      <c r="Y13" s="167">
        <f>P13+S13+V13</f>
        <v>0</v>
      </c>
      <c r="Z13" s="167">
        <f>Q13+T13+W13</f>
        <v>0</v>
      </c>
      <c r="AA13" s="168"/>
      <c r="AB13" s="167"/>
      <c r="AC13" s="167"/>
      <c r="AD13" s="171"/>
      <c r="AE13" s="167"/>
      <c r="AF13" s="167"/>
      <c r="AG13" s="168"/>
      <c r="AH13" s="167"/>
      <c r="AI13" s="167"/>
      <c r="AJ13" s="167">
        <f t="shared" si="13"/>
        <v>0</v>
      </c>
      <c r="AK13" s="167">
        <f t="shared" si="14"/>
        <v>0</v>
      </c>
      <c r="AL13" s="168" t="e">
        <f>AK13/AJ13*100</f>
        <v>#DIV/0!</v>
      </c>
      <c r="AM13" s="167"/>
      <c r="AN13" s="167"/>
      <c r="AO13" s="167"/>
      <c r="AP13" s="167"/>
      <c r="AQ13" s="167"/>
      <c r="AR13" s="167"/>
      <c r="AS13" s="167">
        <f t="shared" si="15"/>
        <v>193</v>
      </c>
      <c r="AT13" s="167">
        <f t="shared" si="16"/>
        <v>50</v>
      </c>
      <c r="AU13" s="143">
        <f t="shared" si="17"/>
        <v>25.906735751295333</v>
      </c>
      <c r="AV13" s="143">
        <f>AS13-AT13</f>
        <v>143</v>
      </c>
      <c r="AW13" s="169">
        <f t="shared" si="18"/>
        <v>218</v>
      </c>
      <c r="AX13" s="145">
        <f t="shared" si="7"/>
        <v>193</v>
      </c>
      <c r="AY13" s="145">
        <f t="shared" si="8"/>
        <v>50</v>
      </c>
      <c r="AZ13" s="145">
        <f t="shared" si="9"/>
        <v>218</v>
      </c>
    </row>
    <row r="14" spans="1:52" ht="34.5" customHeight="1">
      <c r="A14" s="151">
        <v>7</v>
      </c>
      <c r="B14" s="142" t="s">
        <v>63</v>
      </c>
      <c r="C14" s="173"/>
      <c r="D14" s="174"/>
      <c r="E14" s="174"/>
      <c r="F14" s="168" t="e">
        <f t="shared" si="1"/>
        <v>#DIV/0!</v>
      </c>
      <c r="G14" s="175"/>
      <c r="H14" s="175"/>
      <c r="I14" s="168" t="e">
        <f t="shared" si="2"/>
        <v>#DIV/0!</v>
      </c>
      <c r="J14" s="175"/>
      <c r="K14" s="175"/>
      <c r="L14" s="168" t="e">
        <f t="shared" si="3"/>
        <v>#DIV/0!</v>
      </c>
      <c r="M14" s="175">
        <f t="shared" si="10"/>
        <v>0</v>
      </c>
      <c r="N14" s="175">
        <f t="shared" si="11"/>
        <v>0</v>
      </c>
      <c r="O14" s="168" t="e">
        <f t="shared" si="12"/>
        <v>#DIV/0!</v>
      </c>
      <c r="P14" s="175"/>
      <c r="Q14" s="175"/>
      <c r="R14" s="168" t="e">
        <f t="shared" si="4"/>
        <v>#DIV/0!</v>
      </c>
      <c r="S14" s="175"/>
      <c r="T14" s="175"/>
      <c r="U14" s="168" t="e">
        <f t="shared" si="5"/>
        <v>#DIV/0!</v>
      </c>
      <c r="V14" s="175"/>
      <c r="W14" s="175"/>
      <c r="X14" s="168" t="e">
        <f t="shared" si="6"/>
        <v>#DIV/0!</v>
      </c>
      <c r="Y14" s="167"/>
      <c r="Z14" s="167"/>
      <c r="AA14" s="168"/>
      <c r="AB14" s="175"/>
      <c r="AC14" s="175"/>
      <c r="AD14" s="175"/>
      <c r="AE14" s="175"/>
      <c r="AF14" s="175"/>
      <c r="AG14" s="168"/>
      <c r="AH14" s="175"/>
      <c r="AI14" s="175"/>
      <c r="AJ14" s="175">
        <f t="shared" si="13"/>
        <v>0</v>
      </c>
      <c r="AK14" s="175">
        <f t="shared" si="14"/>
        <v>0</v>
      </c>
      <c r="AL14" s="168"/>
      <c r="AM14" s="175"/>
      <c r="AN14" s="175"/>
      <c r="AO14" s="175"/>
      <c r="AP14" s="175"/>
      <c r="AQ14" s="175"/>
      <c r="AR14" s="175"/>
      <c r="AS14" s="175">
        <f t="shared" si="15"/>
        <v>0</v>
      </c>
      <c r="AT14" s="175">
        <f t="shared" si="16"/>
        <v>0</v>
      </c>
      <c r="AU14" s="168" t="e">
        <f t="shared" si="17"/>
        <v>#DIV/0!</v>
      </c>
      <c r="AV14" s="168"/>
      <c r="AW14" s="144">
        <f t="shared" si="18"/>
        <v>0</v>
      </c>
      <c r="AX14" s="145">
        <f t="shared" si="7"/>
        <v>0</v>
      </c>
      <c r="AY14" s="145">
        <f t="shared" si="8"/>
        <v>0</v>
      </c>
      <c r="AZ14" s="145">
        <f t="shared" si="9"/>
        <v>0</v>
      </c>
    </row>
    <row r="15" spans="1:52" s="176" customFormat="1" ht="34.5" customHeight="1">
      <c r="A15" s="151">
        <v>8</v>
      </c>
      <c r="B15" s="142" t="s">
        <v>33</v>
      </c>
      <c r="C15" s="166">
        <v>-43.5</v>
      </c>
      <c r="D15" s="167">
        <v>628.2</v>
      </c>
      <c r="E15" s="167">
        <v>0</v>
      </c>
      <c r="F15" s="165">
        <f t="shared" si="1"/>
        <v>0</v>
      </c>
      <c r="G15" s="167">
        <v>689.6</v>
      </c>
      <c r="H15" s="167">
        <v>292.9</v>
      </c>
      <c r="I15" s="165">
        <f t="shared" si="2"/>
        <v>42.47389791183294</v>
      </c>
      <c r="J15" s="167"/>
      <c r="K15" s="167"/>
      <c r="L15" s="143" t="e">
        <f t="shared" si="3"/>
        <v>#DIV/0!</v>
      </c>
      <c r="M15" s="167">
        <f t="shared" si="10"/>
        <v>1317.8000000000002</v>
      </c>
      <c r="N15" s="167">
        <f t="shared" si="11"/>
        <v>292.9</v>
      </c>
      <c r="O15" s="143">
        <f t="shared" si="12"/>
        <v>22.226438002731822</v>
      </c>
      <c r="P15" s="167"/>
      <c r="Q15" s="167"/>
      <c r="R15" s="143" t="e">
        <f t="shared" si="4"/>
        <v>#DIV/0!</v>
      </c>
      <c r="S15" s="167"/>
      <c r="T15" s="167"/>
      <c r="U15" s="143" t="e">
        <f t="shared" si="5"/>
        <v>#DIV/0!</v>
      </c>
      <c r="V15" s="167"/>
      <c r="W15" s="167"/>
      <c r="X15" s="143" t="e">
        <f t="shared" si="6"/>
        <v>#DIV/0!</v>
      </c>
      <c r="Y15" s="167">
        <f>P15+S15+V15</f>
        <v>0</v>
      </c>
      <c r="Z15" s="167">
        <f>Q15+T15+W15</f>
        <v>0</v>
      </c>
      <c r="AA15" s="143"/>
      <c r="AB15" s="167"/>
      <c r="AC15" s="167"/>
      <c r="AD15" s="167"/>
      <c r="AE15" s="167"/>
      <c r="AF15" s="167"/>
      <c r="AG15" s="168"/>
      <c r="AH15" s="167"/>
      <c r="AI15" s="167"/>
      <c r="AJ15" s="167">
        <f t="shared" si="13"/>
        <v>0</v>
      </c>
      <c r="AK15" s="167">
        <f t="shared" si="14"/>
        <v>0</v>
      </c>
      <c r="AL15" s="168" t="e">
        <f>AK15/AJ15*100</f>
        <v>#DIV/0!</v>
      </c>
      <c r="AM15" s="167"/>
      <c r="AN15" s="167"/>
      <c r="AO15" s="167"/>
      <c r="AP15" s="167"/>
      <c r="AQ15" s="167"/>
      <c r="AR15" s="167"/>
      <c r="AS15" s="167">
        <f t="shared" si="15"/>
        <v>1317.8000000000002</v>
      </c>
      <c r="AT15" s="167">
        <f t="shared" si="16"/>
        <v>292.9</v>
      </c>
      <c r="AU15" s="143">
        <f t="shared" si="17"/>
        <v>22.226438002731822</v>
      </c>
      <c r="AV15" s="143">
        <f>AS15-AT15</f>
        <v>1024.9</v>
      </c>
      <c r="AW15" s="169">
        <f t="shared" si="18"/>
        <v>981.4000000000002</v>
      </c>
      <c r="AX15" s="145">
        <f t="shared" si="7"/>
        <v>1317.8000000000002</v>
      </c>
      <c r="AY15" s="145">
        <f t="shared" si="8"/>
        <v>292.9</v>
      </c>
      <c r="AZ15" s="145">
        <f t="shared" si="9"/>
        <v>981.4000000000002</v>
      </c>
    </row>
    <row r="16" spans="1:52" s="176" customFormat="1" ht="34.5" customHeight="1">
      <c r="A16" s="151">
        <v>9</v>
      </c>
      <c r="B16" s="142" t="s">
        <v>34</v>
      </c>
      <c r="C16" s="173"/>
      <c r="D16" s="174"/>
      <c r="E16" s="174"/>
      <c r="F16" s="168" t="e">
        <f t="shared" si="1"/>
        <v>#DIV/0!</v>
      </c>
      <c r="G16" s="175"/>
      <c r="H16" s="175"/>
      <c r="I16" s="168" t="e">
        <f t="shared" si="2"/>
        <v>#DIV/0!</v>
      </c>
      <c r="J16" s="175"/>
      <c r="K16" s="175"/>
      <c r="L16" s="168" t="e">
        <f t="shared" si="3"/>
        <v>#DIV/0!</v>
      </c>
      <c r="M16" s="175">
        <f t="shared" si="10"/>
        <v>0</v>
      </c>
      <c r="N16" s="175">
        <f t="shared" si="11"/>
        <v>0</v>
      </c>
      <c r="O16" s="168" t="e">
        <f t="shared" si="12"/>
        <v>#DIV/0!</v>
      </c>
      <c r="P16" s="175"/>
      <c r="Q16" s="175"/>
      <c r="R16" s="168" t="e">
        <f t="shared" si="4"/>
        <v>#DIV/0!</v>
      </c>
      <c r="S16" s="175"/>
      <c r="T16" s="175"/>
      <c r="U16" s="168" t="e">
        <f t="shared" si="5"/>
        <v>#DIV/0!</v>
      </c>
      <c r="V16" s="175"/>
      <c r="W16" s="175"/>
      <c r="X16" s="168" t="e">
        <f t="shared" si="6"/>
        <v>#DIV/0!</v>
      </c>
      <c r="Y16" s="167"/>
      <c r="Z16" s="167"/>
      <c r="AA16" s="168"/>
      <c r="AB16" s="175"/>
      <c r="AC16" s="175"/>
      <c r="AD16" s="175"/>
      <c r="AE16" s="175"/>
      <c r="AF16" s="175"/>
      <c r="AG16" s="168"/>
      <c r="AH16" s="175"/>
      <c r="AI16" s="175"/>
      <c r="AJ16" s="175">
        <f t="shared" si="13"/>
        <v>0</v>
      </c>
      <c r="AK16" s="175">
        <f t="shared" si="14"/>
        <v>0</v>
      </c>
      <c r="AL16" s="168"/>
      <c r="AM16" s="175"/>
      <c r="AN16" s="175"/>
      <c r="AO16" s="175"/>
      <c r="AP16" s="175"/>
      <c r="AQ16" s="175"/>
      <c r="AR16" s="175"/>
      <c r="AS16" s="175">
        <f t="shared" si="15"/>
        <v>0</v>
      </c>
      <c r="AT16" s="175">
        <f t="shared" si="16"/>
        <v>0</v>
      </c>
      <c r="AU16" s="168" t="e">
        <f t="shared" si="17"/>
        <v>#DIV/0!</v>
      </c>
      <c r="AV16" s="168"/>
      <c r="AW16" s="144">
        <f t="shared" si="18"/>
        <v>0</v>
      </c>
      <c r="AX16" s="145">
        <f t="shared" si="7"/>
        <v>0</v>
      </c>
      <c r="AY16" s="145">
        <f t="shared" si="8"/>
        <v>0</v>
      </c>
      <c r="AZ16" s="145">
        <f t="shared" si="9"/>
        <v>0</v>
      </c>
    </row>
    <row r="17" spans="1:52" ht="34.5" customHeight="1">
      <c r="A17" s="151">
        <v>10</v>
      </c>
      <c r="B17" s="172" t="s">
        <v>35</v>
      </c>
      <c r="C17" s="173"/>
      <c r="D17" s="174"/>
      <c r="E17" s="174"/>
      <c r="F17" s="168" t="e">
        <f t="shared" si="1"/>
        <v>#DIV/0!</v>
      </c>
      <c r="G17" s="175"/>
      <c r="H17" s="175"/>
      <c r="I17" s="168" t="e">
        <f t="shared" si="2"/>
        <v>#DIV/0!</v>
      </c>
      <c r="J17" s="175"/>
      <c r="K17" s="175"/>
      <c r="L17" s="168" t="e">
        <f t="shared" si="3"/>
        <v>#DIV/0!</v>
      </c>
      <c r="M17" s="175">
        <f t="shared" si="10"/>
        <v>0</v>
      </c>
      <c r="N17" s="175">
        <f t="shared" si="11"/>
        <v>0</v>
      </c>
      <c r="O17" s="168" t="e">
        <f t="shared" si="12"/>
        <v>#DIV/0!</v>
      </c>
      <c r="P17" s="175"/>
      <c r="Q17" s="175"/>
      <c r="R17" s="168" t="e">
        <f t="shared" si="4"/>
        <v>#DIV/0!</v>
      </c>
      <c r="S17" s="175"/>
      <c r="T17" s="175"/>
      <c r="U17" s="168" t="e">
        <f t="shared" si="5"/>
        <v>#DIV/0!</v>
      </c>
      <c r="V17" s="175"/>
      <c r="W17" s="175"/>
      <c r="X17" s="168" t="e">
        <f t="shared" si="6"/>
        <v>#DIV/0!</v>
      </c>
      <c r="Y17" s="167"/>
      <c r="Z17" s="167"/>
      <c r="AA17" s="168"/>
      <c r="AB17" s="175"/>
      <c r="AC17" s="175"/>
      <c r="AD17" s="175"/>
      <c r="AE17" s="175"/>
      <c r="AF17" s="175"/>
      <c r="AG17" s="168"/>
      <c r="AH17" s="175"/>
      <c r="AI17" s="175"/>
      <c r="AJ17" s="175">
        <f t="shared" si="13"/>
        <v>0</v>
      </c>
      <c r="AK17" s="175">
        <f t="shared" si="14"/>
        <v>0</v>
      </c>
      <c r="AL17" s="168"/>
      <c r="AM17" s="175"/>
      <c r="AN17" s="175"/>
      <c r="AO17" s="175"/>
      <c r="AP17" s="175"/>
      <c r="AQ17" s="175"/>
      <c r="AR17" s="175"/>
      <c r="AS17" s="175">
        <f t="shared" si="15"/>
        <v>0</v>
      </c>
      <c r="AT17" s="175">
        <f t="shared" si="16"/>
        <v>0</v>
      </c>
      <c r="AU17" s="168" t="e">
        <f t="shared" si="17"/>
        <v>#DIV/0!</v>
      </c>
      <c r="AV17" s="168"/>
      <c r="AW17" s="144">
        <f t="shared" si="18"/>
        <v>0</v>
      </c>
      <c r="AX17" s="145">
        <f t="shared" si="7"/>
        <v>0</v>
      </c>
      <c r="AY17" s="145">
        <f t="shared" si="8"/>
        <v>0</v>
      </c>
      <c r="AZ17" s="145">
        <f t="shared" si="9"/>
        <v>0</v>
      </c>
    </row>
    <row r="18" spans="1:52" ht="34.5" customHeight="1">
      <c r="A18" s="151">
        <v>11</v>
      </c>
      <c r="B18" s="172" t="s">
        <v>36</v>
      </c>
      <c r="C18" s="173"/>
      <c r="D18" s="174"/>
      <c r="E18" s="174"/>
      <c r="F18" s="168" t="e">
        <f t="shared" si="1"/>
        <v>#DIV/0!</v>
      </c>
      <c r="G18" s="175"/>
      <c r="H18" s="175"/>
      <c r="I18" s="168" t="e">
        <f t="shared" si="2"/>
        <v>#DIV/0!</v>
      </c>
      <c r="J18" s="175"/>
      <c r="K18" s="175"/>
      <c r="L18" s="168" t="e">
        <f t="shared" si="3"/>
        <v>#DIV/0!</v>
      </c>
      <c r="M18" s="175">
        <f t="shared" si="10"/>
        <v>0</v>
      </c>
      <c r="N18" s="175">
        <f t="shared" si="11"/>
        <v>0</v>
      </c>
      <c r="O18" s="168" t="e">
        <f t="shared" si="12"/>
        <v>#DIV/0!</v>
      </c>
      <c r="P18" s="175"/>
      <c r="Q18" s="175"/>
      <c r="R18" s="168" t="e">
        <f t="shared" si="4"/>
        <v>#DIV/0!</v>
      </c>
      <c r="S18" s="175"/>
      <c r="T18" s="175"/>
      <c r="U18" s="168" t="e">
        <f t="shared" si="5"/>
        <v>#DIV/0!</v>
      </c>
      <c r="V18" s="175"/>
      <c r="W18" s="175"/>
      <c r="X18" s="168" t="e">
        <f t="shared" si="6"/>
        <v>#DIV/0!</v>
      </c>
      <c r="Y18" s="167"/>
      <c r="Z18" s="167"/>
      <c r="AA18" s="168"/>
      <c r="AB18" s="175"/>
      <c r="AC18" s="175"/>
      <c r="AD18" s="175"/>
      <c r="AE18" s="175"/>
      <c r="AF18" s="175"/>
      <c r="AG18" s="168"/>
      <c r="AH18" s="175"/>
      <c r="AI18" s="175"/>
      <c r="AJ18" s="167">
        <f t="shared" si="13"/>
        <v>0</v>
      </c>
      <c r="AK18" s="167">
        <f t="shared" si="14"/>
        <v>0</v>
      </c>
      <c r="AL18" s="168"/>
      <c r="AM18" s="175">
        <v>0</v>
      </c>
      <c r="AN18" s="175">
        <v>0</v>
      </c>
      <c r="AO18" s="175">
        <v>0</v>
      </c>
      <c r="AP18" s="175"/>
      <c r="AQ18" s="175"/>
      <c r="AR18" s="175"/>
      <c r="AS18" s="175">
        <f t="shared" si="15"/>
        <v>0</v>
      </c>
      <c r="AT18" s="175">
        <f t="shared" si="16"/>
        <v>0</v>
      </c>
      <c r="AU18" s="168" t="e">
        <f t="shared" si="17"/>
        <v>#DIV/0!</v>
      </c>
      <c r="AV18" s="168"/>
      <c r="AW18" s="144">
        <f t="shared" si="18"/>
        <v>0</v>
      </c>
      <c r="AX18" s="145">
        <f t="shared" si="7"/>
        <v>0</v>
      </c>
      <c r="AY18" s="145">
        <f t="shared" si="8"/>
        <v>0</v>
      </c>
      <c r="AZ18" s="145">
        <f t="shared" si="9"/>
        <v>0</v>
      </c>
    </row>
    <row r="19" spans="1:52" ht="34.5" customHeight="1">
      <c r="A19" s="151">
        <v>12</v>
      </c>
      <c r="B19" s="142" t="s">
        <v>37</v>
      </c>
      <c r="C19" s="166">
        <v>0</v>
      </c>
      <c r="D19" s="167">
        <v>594.4</v>
      </c>
      <c r="E19" s="167">
        <v>0</v>
      </c>
      <c r="F19" s="165">
        <f t="shared" si="1"/>
        <v>0</v>
      </c>
      <c r="G19" s="167">
        <v>668.4</v>
      </c>
      <c r="H19" s="167">
        <v>594.4</v>
      </c>
      <c r="I19" s="165">
        <f t="shared" si="2"/>
        <v>88.92878515858767</v>
      </c>
      <c r="J19" s="167"/>
      <c r="K19" s="167"/>
      <c r="L19" s="143" t="e">
        <f t="shared" si="3"/>
        <v>#DIV/0!</v>
      </c>
      <c r="M19" s="167">
        <f t="shared" si="10"/>
        <v>1262.8</v>
      </c>
      <c r="N19" s="167">
        <f t="shared" si="11"/>
        <v>594.4</v>
      </c>
      <c r="O19" s="143">
        <f t="shared" si="12"/>
        <v>47.070003167564145</v>
      </c>
      <c r="P19" s="167"/>
      <c r="Q19" s="167"/>
      <c r="R19" s="143" t="e">
        <f t="shared" si="4"/>
        <v>#DIV/0!</v>
      </c>
      <c r="S19" s="167"/>
      <c r="T19" s="167"/>
      <c r="U19" s="143" t="e">
        <f t="shared" si="5"/>
        <v>#DIV/0!</v>
      </c>
      <c r="V19" s="167"/>
      <c r="W19" s="167"/>
      <c r="X19" s="143" t="e">
        <f t="shared" si="6"/>
        <v>#DIV/0!</v>
      </c>
      <c r="Y19" s="167">
        <f>P19+S19+V19</f>
        <v>0</v>
      </c>
      <c r="Z19" s="167">
        <f>Q19+T19+W19</f>
        <v>0</v>
      </c>
      <c r="AA19" s="143"/>
      <c r="AB19" s="167"/>
      <c r="AC19" s="167"/>
      <c r="AD19" s="171"/>
      <c r="AE19" s="167"/>
      <c r="AF19" s="167"/>
      <c r="AG19" s="168"/>
      <c r="AH19" s="167"/>
      <c r="AI19" s="167"/>
      <c r="AJ19" s="167">
        <f t="shared" si="13"/>
        <v>0</v>
      </c>
      <c r="AK19" s="167">
        <f t="shared" si="14"/>
        <v>0</v>
      </c>
      <c r="AL19" s="143" t="e">
        <f>AK19/AJ19*100</f>
        <v>#DIV/0!</v>
      </c>
      <c r="AM19" s="167"/>
      <c r="AN19" s="167"/>
      <c r="AO19" s="167"/>
      <c r="AP19" s="167"/>
      <c r="AQ19" s="167"/>
      <c r="AR19" s="167"/>
      <c r="AS19" s="167">
        <f t="shared" si="15"/>
        <v>1262.8</v>
      </c>
      <c r="AT19" s="167">
        <f t="shared" si="16"/>
        <v>594.4</v>
      </c>
      <c r="AU19" s="143">
        <f t="shared" si="17"/>
        <v>47.070003167564145</v>
      </c>
      <c r="AV19" s="143">
        <f>AS19-AT19</f>
        <v>668.4</v>
      </c>
      <c r="AW19" s="169">
        <f t="shared" si="18"/>
        <v>668.4</v>
      </c>
      <c r="AX19" s="145">
        <f t="shared" si="7"/>
        <v>1262.8</v>
      </c>
      <c r="AY19" s="145">
        <f t="shared" si="8"/>
        <v>594.4</v>
      </c>
      <c r="AZ19" s="145">
        <f t="shared" si="9"/>
        <v>668.4</v>
      </c>
    </row>
    <row r="20" spans="1:52" ht="34.5" customHeight="1">
      <c r="A20" s="151">
        <v>13</v>
      </c>
      <c r="B20" s="172" t="s">
        <v>38</v>
      </c>
      <c r="C20" s="166"/>
      <c r="D20" s="167"/>
      <c r="E20" s="167"/>
      <c r="F20" s="168" t="e">
        <f t="shared" si="1"/>
        <v>#DIV/0!</v>
      </c>
      <c r="G20" s="175"/>
      <c r="H20" s="175"/>
      <c r="I20" s="168" t="e">
        <f t="shared" si="2"/>
        <v>#DIV/0!</v>
      </c>
      <c r="J20" s="175"/>
      <c r="K20" s="175"/>
      <c r="L20" s="168" t="e">
        <f t="shared" si="3"/>
        <v>#DIV/0!</v>
      </c>
      <c r="M20" s="175">
        <f t="shared" si="10"/>
        <v>0</v>
      </c>
      <c r="N20" s="175">
        <f t="shared" si="11"/>
        <v>0</v>
      </c>
      <c r="O20" s="168" t="e">
        <f t="shared" si="12"/>
        <v>#DIV/0!</v>
      </c>
      <c r="P20" s="175"/>
      <c r="Q20" s="175"/>
      <c r="R20" s="168" t="e">
        <f t="shared" si="4"/>
        <v>#DIV/0!</v>
      </c>
      <c r="S20" s="175"/>
      <c r="T20" s="175"/>
      <c r="U20" s="168" t="e">
        <f t="shared" si="5"/>
        <v>#DIV/0!</v>
      </c>
      <c r="V20" s="175"/>
      <c r="W20" s="175"/>
      <c r="X20" s="168" t="e">
        <f t="shared" si="6"/>
        <v>#DIV/0!</v>
      </c>
      <c r="Y20" s="167"/>
      <c r="Z20" s="167"/>
      <c r="AA20" s="168"/>
      <c r="AB20" s="175"/>
      <c r="AC20" s="175"/>
      <c r="AD20" s="175"/>
      <c r="AE20" s="175"/>
      <c r="AF20" s="175"/>
      <c r="AG20" s="168"/>
      <c r="AH20" s="175"/>
      <c r="AI20" s="175"/>
      <c r="AJ20" s="175">
        <f t="shared" si="13"/>
        <v>0</v>
      </c>
      <c r="AK20" s="175">
        <f t="shared" si="14"/>
        <v>0</v>
      </c>
      <c r="AL20" s="168"/>
      <c r="AM20" s="175"/>
      <c r="AN20" s="175"/>
      <c r="AO20" s="175"/>
      <c r="AP20" s="175"/>
      <c r="AQ20" s="175"/>
      <c r="AR20" s="175"/>
      <c r="AS20" s="175">
        <f t="shared" si="15"/>
        <v>0</v>
      </c>
      <c r="AT20" s="175">
        <f t="shared" si="16"/>
        <v>0</v>
      </c>
      <c r="AU20" s="168" t="e">
        <f t="shared" si="17"/>
        <v>#DIV/0!</v>
      </c>
      <c r="AV20" s="168"/>
      <c r="AW20" s="144">
        <f t="shared" si="18"/>
        <v>0</v>
      </c>
      <c r="AX20" s="145">
        <f t="shared" si="7"/>
        <v>0</v>
      </c>
      <c r="AY20" s="145">
        <f t="shared" si="8"/>
        <v>0</v>
      </c>
      <c r="AZ20" s="145">
        <f t="shared" si="9"/>
        <v>0</v>
      </c>
    </row>
    <row r="21" spans="1:52" ht="34.5" customHeight="1">
      <c r="A21" s="151">
        <v>14</v>
      </c>
      <c r="B21" s="172" t="s">
        <v>39</v>
      </c>
      <c r="C21" s="166">
        <v>-22.1</v>
      </c>
      <c r="D21" s="167">
        <v>515.4</v>
      </c>
      <c r="E21" s="167">
        <v>0</v>
      </c>
      <c r="F21" s="165">
        <f t="shared" si="1"/>
        <v>0</v>
      </c>
      <c r="G21" s="171">
        <v>527.2</v>
      </c>
      <c r="H21" s="171">
        <v>515.4</v>
      </c>
      <c r="I21" s="165">
        <f t="shared" si="2"/>
        <v>97.76176024279209</v>
      </c>
      <c r="J21" s="171"/>
      <c r="K21" s="171"/>
      <c r="L21" s="143" t="e">
        <f t="shared" si="3"/>
        <v>#DIV/0!</v>
      </c>
      <c r="M21" s="167">
        <f t="shared" si="10"/>
        <v>1042.6</v>
      </c>
      <c r="N21" s="167">
        <f t="shared" si="11"/>
        <v>515.4</v>
      </c>
      <c r="O21" s="143">
        <f t="shared" si="12"/>
        <v>49.43410704009208</v>
      </c>
      <c r="P21" s="171"/>
      <c r="Q21" s="171"/>
      <c r="R21" s="143" t="e">
        <f t="shared" si="4"/>
        <v>#DIV/0!</v>
      </c>
      <c r="S21" s="171"/>
      <c r="T21" s="171"/>
      <c r="U21" s="143" t="e">
        <f t="shared" si="5"/>
        <v>#DIV/0!</v>
      </c>
      <c r="V21" s="171"/>
      <c r="W21" s="171"/>
      <c r="X21" s="143" t="e">
        <f t="shared" si="6"/>
        <v>#DIV/0!</v>
      </c>
      <c r="Y21" s="167">
        <f>P21+S21+V21</f>
        <v>0</v>
      </c>
      <c r="Z21" s="167">
        <f>Q21+T21+W21</f>
        <v>0</v>
      </c>
      <c r="AA21" s="143"/>
      <c r="AB21" s="171"/>
      <c r="AC21" s="171"/>
      <c r="AD21" s="167"/>
      <c r="AE21" s="171"/>
      <c r="AF21" s="171"/>
      <c r="AG21" s="168"/>
      <c r="AH21" s="171"/>
      <c r="AI21" s="171"/>
      <c r="AJ21" s="167">
        <f t="shared" si="13"/>
        <v>0</v>
      </c>
      <c r="AK21" s="167">
        <f t="shared" si="14"/>
        <v>0</v>
      </c>
      <c r="AL21" s="143" t="e">
        <f>AK21/AJ21*100</f>
        <v>#DIV/0!</v>
      </c>
      <c r="AM21" s="171"/>
      <c r="AN21" s="171"/>
      <c r="AO21" s="171"/>
      <c r="AP21" s="171"/>
      <c r="AQ21" s="171"/>
      <c r="AR21" s="171"/>
      <c r="AS21" s="167">
        <f t="shared" si="15"/>
        <v>1042.6</v>
      </c>
      <c r="AT21" s="167">
        <f t="shared" si="16"/>
        <v>515.4</v>
      </c>
      <c r="AU21" s="143">
        <f t="shared" si="17"/>
        <v>49.43410704009208</v>
      </c>
      <c r="AV21" s="143">
        <f>AS21-AT21</f>
        <v>527.1999999999999</v>
      </c>
      <c r="AW21" s="169">
        <f t="shared" si="18"/>
        <v>505.0999999999999</v>
      </c>
      <c r="AX21" s="145">
        <f t="shared" si="7"/>
        <v>1042.6</v>
      </c>
      <c r="AY21" s="145">
        <f t="shared" si="8"/>
        <v>515.4</v>
      </c>
      <c r="AZ21" s="145">
        <f t="shared" si="9"/>
        <v>505.0999999999999</v>
      </c>
    </row>
    <row r="22" spans="1:52" ht="34.5" customHeight="1">
      <c r="A22" s="151">
        <v>15</v>
      </c>
      <c r="B22" s="172" t="s">
        <v>40</v>
      </c>
      <c r="C22" s="173"/>
      <c r="D22" s="174"/>
      <c r="E22" s="174"/>
      <c r="F22" s="168" t="e">
        <f t="shared" si="1"/>
        <v>#DIV/0!</v>
      </c>
      <c r="G22" s="175"/>
      <c r="H22" s="175"/>
      <c r="I22" s="168" t="e">
        <f t="shared" si="2"/>
        <v>#DIV/0!</v>
      </c>
      <c r="J22" s="175"/>
      <c r="K22" s="175"/>
      <c r="L22" s="168" t="e">
        <f t="shared" si="3"/>
        <v>#DIV/0!</v>
      </c>
      <c r="M22" s="175">
        <f t="shared" si="10"/>
        <v>0</v>
      </c>
      <c r="N22" s="175">
        <f t="shared" si="11"/>
        <v>0</v>
      </c>
      <c r="O22" s="168" t="e">
        <f t="shared" si="12"/>
        <v>#DIV/0!</v>
      </c>
      <c r="P22" s="175"/>
      <c r="Q22" s="175"/>
      <c r="R22" s="168" t="e">
        <f t="shared" si="4"/>
        <v>#DIV/0!</v>
      </c>
      <c r="S22" s="175"/>
      <c r="T22" s="175"/>
      <c r="U22" s="168" t="e">
        <f t="shared" si="5"/>
        <v>#DIV/0!</v>
      </c>
      <c r="V22" s="175"/>
      <c r="W22" s="175"/>
      <c r="X22" s="168" t="e">
        <f t="shared" si="6"/>
        <v>#DIV/0!</v>
      </c>
      <c r="Y22" s="167"/>
      <c r="Z22" s="167"/>
      <c r="AA22" s="168"/>
      <c r="AB22" s="175"/>
      <c r="AC22" s="175"/>
      <c r="AD22" s="175"/>
      <c r="AE22" s="175"/>
      <c r="AF22" s="175"/>
      <c r="AG22" s="168"/>
      <c r="AH22" s="175"/>
      <c r="AI22" s="175"/>
      <c r="AJ22" s="175">
        <f t="shared" si="13"/>
        <v>0</v>
      </c>
      <c r="AK22" s="175">
        <f t="shared" si="14"/>
        <v>0</v>
      </c>
      <c r="AL22" s="168"/>
      <c r="AM22" s="175"/>
      <c r="AN22" s="175"/>
      <c r="AO22" s="175"/>
      <c r="AP22" s="175"/>
      <c r="AQ22" s="175"/>
      <c r="AR22" s="175"/>
      <c r="AS22" s="175">
        <f t="shared" si="15"/>
        <v>0</v>
      </c>
      <c r="AT22" s="175">
        <f t="shared" si="16"/>
        <v>0</v>
      </c>
      <c r="AU22" s="168" t="e">
        <f t="shared" si="17"/>
        <v>#DIV/0!</v>
      </c>
      <c r="AV22" s="168"/>
      <c r="AW22" s="144">
        <f t="shared" si="18"/>
        <v>0</v>
      </c>
      <c r="AX22" s="145">
        <f t="shared" si="7"/>
        <v>0</v>
      </c>
      <c r="AY22" s="145">
        <f t="shared" si="8"/>
        <v>0</v>
      </c>
      <c r="AZ22" s="145">
        <f t="shared" si="9"/>
        <v>0</v>
      </c>
    </row>
    <row r="23" spans="1:52" ht="34.5" customHeight="1">
      <c r="A23" s="151">
        <v>16</v>
      </c>
      <c r="B23" s="172" t="s">
        <v>41</v>
      </c>
      <c r="C23" s="166"/>
      <c r="D23" s="177"/>
      <c r="E23" s="178"/>
      <c r="F23" s="168" t="e">
        <f t="shared" si="1"/>
        <v>#DIV/0!</v>
      </c>
      <c r="G23" s="179"/>
      <c r="H23" s="179"/>
      <c r="I23" s="168" t="e">
        <f t="shared" si="2"/>
        <v>#DIV/0!</v>
      </c>
      <c r="J23" s="179"/>
      <c r="K23" s="179"/>
      <c r="L23" s="168" t="e">
        <f t="shared" si="3"/>
        <v>#DIV/0!</v>
      </c>
      <c r="M23" s="175">
        <f t="shared" si="10"/>
        <v>0</v>
      </c>
      <c r="N23" s="175">
        <f t="shared" si="11"/>
        <v>0</v>
      </c>
      <c r="O23" s="168" t="e">
        <f t="shared" si="12"/>
        <v>#DIV/0!</v>
      </c>
      <c r="P23" s="179"/>
      <c r="Q23" s="179"/>
      <c r="R23" s="168" t="e">
        <f t="shared" si="4"/>
        <v>#DIV/0!</v>
      </c>
      <c r="S23" s="179"/>
      <c r="T23" s="179"/>
      <c r="U23" s="168" t="e">
        <f t="shared" si="5"/>
        <v>#DIV/0!</v>
      </c>
      <c r="V23" s="179"/>
      <c r="W23" s="179"/>
      <c r="X23" s="168" t="e">
        <f t="shared" si="6"/>
        <v>#DIV/0!</v>
      </c>
      <c r="Y23" s="167"/>
      <c r="Z23" s="167"/>
      <c r="AA23" s="168"/>
      <c r="AB23" s="179"/>
      <c r="AC23" s="179"/>
      <c r="AD23" s="180"/>
      <c r="AE23" s="181"/>
      <c r="AF23" s="181"/>
      <c r="AG23" s="181"/>
      <c r="AH23" s="181"/>
      <c r="AI23" s="181"/>
      <c r="AJ23" s="175">
        <f t="shared" si="13"/>
        <v>0</v>
      </c>
      <c r="AK23" s="175">
        <f t="shared" si="14"/>
        <v>0</v>
      </c>
      <c r="AL23" s="168"/>
      <c r="AM23" s="181"/>
      <c r="AN23" s="181"/>
      <c r="AO23" s="181"/>
      <c r="AP23" s="181"/>
      <c r="AQ23" s="181"/>
      <c r="AR23" s="181"/>
      <c r="AS23" s="175">
        <f t="shared" si="15"/>
        <v>0</v>
      </c>
      <c r="AT23" s="175">
        <f t="shared" si="16"/>
        <v>0</v>
      </c>
      <c r="AU23" s="168" t="e">
        <f t="shared" si="17"/>
        <v>#DIV/0!</v>
      </c>
      <c r="AV23" s="168"/>
      <c r="AW23" s="144">
        <f t="shared" si="18"/>
        <v>0</v>
      </c>
      <c r="AX23" s="145">
        <f t="shared" si="7"/>
        <v>0</v>
      </c>
      <c r="AY23" s="145">
        <f t="shared" si="8"/>
        <v>0</v>
      </c>
      <c r="AZ23" s="145">
        <f t="shared" si="9"/>
        <v>0</v>
      </c>
    </row>
    <row r="24" spans="1:52" ht="34.5" customHeight="1">
      <c r="A24" s="151">
        <v>17</v>
      </c>
      <c r="B24" s="172" t="s">
        <v>42</v>
      </c>
      <c r="C24" s="166">
        <v>-1006.7</v>
      </c>
      <c r="D24" s="167">
        <v>892.4</v>
      </c>
      <c r="E24" s="167">
        <v>0</v>
      </c>
      <c r="F24" s="165">
        <f t="shared" si="1"/>
        <v>0</v>
      </c>
      <c r="G24" s="167">
        <v>858.1</v>
      </c>
      <c r="H24" s="167">
        <v>760.5</v>
      </c>
      <c r="I24" s="165">
        <f t="shared" si="2"/>
        <v>88.62603426174105</v>
      </c>
      <c r="J24" s="167"/>
      <c r="K24" s="167"/>
      <c r="L24" s="143" t="e">
        <f t="shared" si="3"/>
        <v>#DIV/0!</v>
      </c>
      <c r="M24" s="167">
        <f t="shared" si="10"/>
        <v>1750.5</v>
      </c>
      <c r="N24" s="167">
        <f t="shared" si="11"/>
        <v>760.5</v>
      </c>
      <c r="O24" s="143">
        <f t="shared" si="12"/>
        <v>43.44473007712082</v>
      </c>
      <c r="P24" s="167"/>
      <c r="Q24" s="167"/>
      <c r="R24" s="143" t="e">
        <f t="shared" si="4"/>
        <v>#DIV/0!</v>
      </c>
      <c r="S24" s="167"/>
      <c r="T24" s="167"/>
      <c r="U24" s="143" t="e">
        <f t="shared" si="5"/>
        <v>#DIV/0!</v>
      </c>
      <c r="V24" s="167"/>
      <c r="W24" s="167"/>
      <c r="X24" s="143" t="e">
        <f t="shared" si="6"/>
        <v>#DIV/0!</v>
      </c>
      <c r="Y24" s="167">
        <f>P24+S24+V24</f>
        <v>0</v>
      </c>
      <c r="Z24" s="167">
        <f>Q24+T24+W24</f>
        <v>0</v>
      </c>
      <c r="AA24" s="168"/>
      <c r="AB24" s="167"/>
      <c r="AC24" s="167"/>
      <c r="AD24" s="171"/>
      <c r="AE24" s="167"/>
      <c r="AF24" s="167"/>
      <c r="AG24" s="168"/>
      <c r="AH24" s="167"/>
      <c r="AI24" s="167"/>
      <c r="AJ24" s="167">
        <f t="shared" si="13"/>
        <v>0</v>
      </c>
      <c r="AK24" s="167">
        <f t="shared" si="14"/>
        <v>0</v>
      </c>
      <c r="AL24" s="168" t="e">
        <f>AK24/AJ24*100</f>
        <v>#DIV/0!</v>
      </c>
      <c r="AM24" s="167"/>
      <c r="AN24" s="167"/>
      <c r="AO24" s="167"/>
      <c r="AP24" s="167"/>
      <c r="AQ24" s="167"/>
      <c r="AR24" s="167"/>
      <c r="AS24" s="167">
        <f t="shared" si="15"/>
        <v>1750.5</v>
      </c>
      <c r="AT24" s="167">
        <f t="shared" si="16"/>
        <v>760.5</v>
      </c>
      <c r="AU24" s="143">
        <f t="shared" si="17"/>
        <v>43.44473007712082</v>
      </c>
      <c r="AV24" s="143">
        <f>AS24-AT24</f>
        <v>990</v>
      </c>
      <c r="AW24" s="169">
        <f t="shared" si="18"/>
        <v>-16.700000000000045</v>
      </c>
      <c r="AX24" s="145">
        <f t="shared" si="7"/>
        <v>1750.5</v>
      </c>
      <c r="AY24" s="145">
        <f t="shared" si="8"/>
        <v>760.5</v>
      </c>
      <c r="AZ24" s="145">
        <f t="shared" si="9"/>
        <v>-16.700000000000045</v>
      </c>
    </row>
    <row r="25" spans="1:52" ht="34.5" customHeight="1">
      <c r="A25" s="151">
        <v>18</v>
      </c>
      <c r="B25" s="142" t="s">
        <v>43</v>
      </c>
      <c r="C25" s="166">
        <v>0</v>
      </c>
      <c r="D25" s="167">
        <v>35.7</v>
      </c>
      <c r="E25" s="167">
        <v>0</v>
      </c>
      <c r="F25" s="165">
        <f t="shared" si="1"/>
        <v>0</v>
      </c>
      <c r="G25" s="171">
        <v>243</v>
      </c>
      <c r="H25" s="171">
        <v>181.4</v>
      </c>
      <c r="I25" s="165">
        <f t="shared" si="2"/>
        <v>74.65020576131688</v>
      </c>
      <c r="J25" s="171"/>
      <c r="K25" s="171"/>
      <c r="L25" s="143" t="e">
        <f t="shared" si="3"/>
        <v>#DIV/0!</v>
      </c>
      <c r="M25" s="167">
        <f t="shared" si="10"/>
        <v>278.7</v>
      </c>
      <c r="N25" s="167">
        <f t="shared" si="11"/>
        <v>181.4</v>
      </c>
      <c r="O25" s="143">
        <f t="shared" si="12"/>
        <v>65.08790814495875</v>
      </c>
      <c r="P25" s="171"/>
      <c r="Q25" s="171"/>
      <c r="R25" s="143" t="e">
        <f t="shared" si="4"/>
        <v>#DIV/0!</v>
      </c>
      <c r="S25" s="171"/>
      <c r="T25" s="171"/>
      <c r="U25" s="143" t="e">
        <f t="shared" si="5"/>
        <v>#DIV/0!</v>
      </c>
      <c r="V25" s="171"/>
      <c r="W25" s="171"/>
      <c r="X25" s="143" t="e">
        <f t="shared" si="6"/>
        <v>#DIV/0!</v>
      </c>
      <c r="Y25" s="167">
        <f>P25+S25+V25</f>
        <v>0</v>
      </c>
      <c r="Z25" s="167">
        <f>Q25+T25+W25</f>
        <v>0</v>
      </c>
      <c r="AA25" s="143"/>
      <c r="AB25" s="171"/>
      <c r="AC25" s="171"/>
      <c r="AD25" s="171"/>
      <c r="AE25" s="171"/>
      <c r="AF25" s="171"/>
      <c r="AG25" s="171"/>
      <c r="AH25" s="171"/>
      <c r="AI25" s="171"/>
      <c r="AJ25" s="167">
        <f t="shared" si="13"/>
        <v>0</v>
      </c>
      <c r="AK25" s="167">
        <f t="shared" si="14"/>
        <v>0</v>
      </c>
      <c r="AL25" s="168" t="e">
        <f>AK25/AJ25*100</f>
        <v>#DIV/0!</v>
      </c>
      <c r="AM25" s="171"/>
      <c r="AN25" s="171"/>
      <c r="AO25" s="171"/>
      <c r="AP25" s="171"/>
      <c r="AQ25" s="171"/>
      <c r="AR25" s="171"/>
      <c r="AS25" s="167">
        <f t="shared" si="15"/>
        <v>278.7</v>
      </c>
      <c r="AT25" s="167">
        <f t="shared" si="16"/>
        <v>181.4</v>
      </c>
      <c r="AU25" s="143">
        <f t="shared" si="17"/>
        <v>65.08790814495875</v>
      </c>
      <c r="AV25" s="143">
        <f>AS25-AT25</f>
        <v>97.29999999999998</v>
      </c>
      <c r="AW25" s="169">
        <f t="shared" si="18"/>
        <v>97.29999999999998</v>
      </c>
      <c r="AX25" s="145">
        <f t="shared" si="7"/>
        <v>278.7</v>
      </c>
      <c r="AY25" s="145">
        <f t="shared" si="8"/>
        <v>181.4</v>
      </c>
      <c r="AZ25" s="145">
        <f t="shared" si="9"/>
        <v>97.29999999999998</v>
      </c>
    </row>
    <row r="26" spans="1:52" s="176" customFormat="1" ht="34.5" customHeight="1">
      <c r="A26" s="151">
        <v>19</v>
      </c>
      <c r="B26" s="172" t="s">
        <v>44</v>
      </c>
      <c r="C26" s="173"/>
      <c r="D26" s="174"/>
      <c r="E26" s="174"/>
      <c r="F26" s="168" t="e">
        <f t="shared" si="1"/>
        <v>#DIV/0!</v>
      </c>
      <c r="G26" s="175"/>
      <c r="H26" s="175"/>
      <c r="I26" s="168" t="e">
        <f t="shared" si="2"/>
        <v>#DIV/0!</v>
      </c>
      <c r="J26" s="175"/>
      <c r="K26" s="175"/>
      <c r="L26" s="168" t="e">
        <f t="shared" si="3"/>
        <v>#DIV/0!</v>
      </c>
      <c r="M26" s="175">
        <f t="shared" si="10"/>
        <v>0</v>
      </c>
      <c r="N26" s="175">
        <f t="shared" si="11"/>
        <v>0</v>
      </c>
      <c r="O26" s="168" t="e">
        <f t="shared" si="12"/>
        <v>#DIV/0!</v>
      </c>
      <c r="P26" s="175"/>
      <c r="Q26" s="175"/>
      <c r="R26" s="168" t="e">
        <f t="shared" si="4"/>
        <v>#DIV/0!</v>
      </c>
      <c r="S26" s="175"/>
      <c r="T26" s="175"/>
      <c r="U26" s="168" t="e">
        <f t="shared" si="5"/>
        <v>#DIV/0!</v>
      </c>
      <c r="V26" s="175"/>
      <c r="W26" s="175"/>
      <c r="X26" s="168" t="e">
        <f t="shared" si="6"/>
        <v>#DIV/0!</v>
      </c>
      <c r="Y26" s="167"/>
      <c r="Z26" s="167"/>
      <c r="AA26" s="168"/>
      <c r="AB26" s="175"/>
      <c r="AC26" s="175"/>
      <c r="AD26" s="175"/>
      <c r="AE26" s="175"/>
      <c r="AF26" s="175"/>
      <c r="AG26" s="168"/>
      <c r="AH26" s="175"/>
      <c r="AI26" s="175"/>
      <c r="AJ26" s="175">
        <f t="shared" si="13"/>
        <v>0</v>
      </c>
      <c r="AK26" s="175">
        <f t="shared" si="14"/>
        <v>0</v>
      </c>
      <c r="AL26" s="168"/>
      <c r="AM26" s="175"/>
      <c r="AN26" s="175"/>
      <c r="AO26" s="175"/>
      <c r="AP26" s="175"/>
      <c r="AQ26" s="175"/>
      <c r="AR26" s="175"/>
      <c r="AS26" s="175">
        <f t="shared" si="15"/>
        <v>0</v>
      </c>
      <c r="AT26" s="175">
        <f t="shared" si="16"/>
        <v>0</v>
      </c>
      <c r="AU26" s="168" t="e">
        <f t="shared" si="17"/>
        <v>#DIV/0!</v>
      </c>
      <c r="AV26" s="168"/>
      <c r="AW26" s="144">
        <f t="shared" si="18"/>
        <v>0</v>
      </c>
      <c r="AX26" s="145">
        <f t="shared" si="7"/>
        <v>0</v>
      </c>
      <c r="AY26" s="145">
        <f t="shared" si="8"/>
        <v>0</v>
      </c>
      <c r="AZ26" s="145">
        <f t="shared" si="9"/>
        <v>0</v>
      </c>
    </row>
    <row r="27" spans="1:52" ht="34.5" customHeight="1">
      <c r="A27" s="151">
        <v>20</v>
      </c>
      <c r="B27" s="172" t="s">
        <v>45</v>
      </c>
      <c r="C27" s="182"/>
      <c r="D27" s="171"/>
      <c r="E27" s="171"/>
      <c r="F27" s="168" t="e">
        <f t="shared" si="1"/>
        <v>#DIV/0!</v>
      </c>
      <c r="G27" s="175"/>
      <c r="H27" s="175"/>
      <c r="I27" s="168" t="e">
        <f t="shared" si="2"/>
        <v>#DIV/0!</v>
      </c>
      <c r="J27" s="175"/>
      <c r="K27" s="175"/>
      <c r="L27" s="168" t="e">
        <f t="shared" si="3"/>
        <v>#DIV/0!</v>
      </c>
      <c r="M27" s="175">
        <f t="shared" si="10"/>
        <v>0</v>
      </c>
      <c r="N27" s="175">
        <f t="shared" si="11"/>
        <v>0</v>
      </c>
      <c r="O27" s="168" t="e">
        <f t="shared" si="12"/>
        <v>#DIV/0!</v>
      </c>
      <c r="P27" s="175"/>
      <c r="Q27" s="175"/>
      <c r="R27" s="168" t="e">
        <f t="shared" si="4"/>
        <v>#DIV/0!</v>
      </c>
      <c r="S27" s="175"/>
      <c r="T27" s="175"/>
      <c r="U27" s="168" t="e">
        <f t="shared" si="5"/>
        <v>#DIV/0!</v>
      </c>
      <c r="V27" s="175"/>
      <c r="W27" s="175"/>
      <c r="X27" s="168" t="e">
        <f t="shared" si="6"/>
        <v>#DIV/0!</v>
      </c>
      <c r="Y27" s="167"/>
      <c r="Z27" s="167"/>
      <c r="AA27" s="168"/>
      <c r="AB27" s="175"/>
      <c r="AC27" s="175"/>
      <c r="AD27" s="175"/>
      <c r="AE27" s="175"/>
      <c r="AF27" s="175"/>
      <c r="AG27" s="168"/>
      <c r="AH27" s="175"/>
      <c r="AI27" s="175"/>
      <c r="AJ27" s="175">
        <f t="shared" si="13"/>
        <v>0</v>
      </c>
      <c r="AK27" s="175">
        <f t="shared" si="14"/>
        <v>0</v>
      </c>
      <c r="AL27" s="168"/>
      <c r="AM27" s="175"/>
      <c r="AN27" s="175"/>
      <c r="AO27" s="175"/>
      <c r="AP27" s="175"/>
      <c r="AQ27" s="175"/>
      <c r="AR27" s="175"/>
      <c r="AS27" s="175">
        <f t="shared" si="15"/>
        <v>0</v>
      </c>
      <c r="AT27" s="175">
        <f t="shared" si="16"/>
        <v>0</v>
      </c>
      <c r="AU27" s="168" t="e">
        <f t="shared" si="17"/>
        <v>#DIV/0!</v>
      </c>
      <c r="AV27" s="168"/>
      <c r="AW27" s="144">
        <f t="shared" si="18"/>
        <v>0</v>
      </c>
      <c r="AX27" s="145">
        <f t="shared" si="7"/>
        <v>0</v>
      </c>
      <c r="AY27" s="145">
        <f t="shared" si="8"/>
        <v>0</v>
      </c>
      <c r="AZ27" s="145">
        <f t="shared" si="9"/>
        <v>0</v>
      </c>
    </row>
    <row r="28" spans="1:52" ht="34.5" customHeight="1">
      <c r="A28" s="151">
        <v>21</v>
      </c>
      <c r="B28" s="183" t="s">
        <v>46</v>
      </c>
      <c r="C28" s="173"/>
      <c r="D28" s="174"/>
      <c r="E28" s="174"/>
      <c r="F28" s="168" t="e">
        <f t="shared" si="1"/>
        <v>#DIV/0!</v>
      </c>
      <c r="G28" s="174"/>
      <c r="H28" s="174"/>
      <c r="I28" s="168" t="e">
        <f t="shared" si="2"/>
        <v>#DIV/0!</v>
      </c>
      <c r="J28" s="174"/>
      <c r="K28" s="174"/>
      <c r="L28" s="168" t="e">
        <f t="shared" si="3"/>
        <v>#DIV/0!</v>
      </c>
      <c r="M28" s="175">
        <f t="shared" si="10"/>
        <v>0</v>
      </c>
      <c r="N28" s="175">
        <f t="shared" si="11"/>
        <v>0</v>
      </c>
      <c r="O28" s="168" t="e">
        <f t="shared" si="12"/>
        <v>#DIV/0!</v>
      </c>
      <c r="P28" s="175"/>
      <c r="Q28" s="175"/>
      <c r="R28" s="168" t="e">
        <f t="shared" si="4"/>
        <v>#DIV/0!</v>
      </c>
      <c r="S28" s="174"/>
      <c r="T28" s="174"/>
      <c r="U28" s="143" t="e">
        <f t="shared" si="5"/>
        <v>#DIV/0!</v>
      </c>
      <c r="V28" s="174"/>
      <c r="W28" s="174"/>
      <c r="X28" s="143" t="e">
        <f t="shared" si="6"/>
        <v>#DIV/0!</v>
      </c>
      <c r="Y28" s="167"/>
      <c r="Z28" s="167"/>
      <c r="AA28" s="143"/>
      <c r="AB28" s="174"/>
      <c r="AC28" s="174"/>
      <c r="AD28" s="174"/>
      <c r="AE28" s="174"/>
      <c r="AF28" s="174"/>
      <c r="AG28" s="168"/>
      <c r="AH28" s="174"/>
      <c r="AI28" s="174"/>
      <c r="AJ28" s="175">
        <f t="shared" si="13"/>
        <v>0</v>
      </c>
      <c r="AK28" s="175">
        <f t="shared" si="14"/>
        <v>0</v>
      </c>
      <c r="AL28" s="143"/>
      <c r="AM28" s="174"/>
      <c r="AN28" s="174"/>
      <c r="AO28" s="174"/>
      <c r="AP28" s="174"/>
      <c r="AQ28" s="174"/>
      <c r="AR28" s="174"/>
      <c r="AS28" s="167"/>
      <c r="AT28" s="167"/>
      <c r="AU28" s="143"/>
      <c r="AV28" s="143"/>
      <c r="AW28" s="169"/>
      <c r="AX28" s="145">
        <f t="shared" si="7"/>
        <v>0</v>
      </c>
      <c r="AY28" s="145">
        <f t="shared" si="8"/>
        <v>0</v>
      </c>
      <c r="AZ28" s="145">
        <f t="shared" si="9"/>
        <v>0</v>
      </c>
    </row>
    <row r="29" spans="1:52" ht="34.5" customHeight="1">
      <c r="A29" s="151">
        <v>22</v>
      </c>
      <c r="B29" s="142" t="s">
        <v>47</v>
      </c>
      <c r="C29" s="184"/>
      <c r="D29" s="185"/>
      <c r="E29" s="185"/>
      <c r="F29" s="186"/>
      <c r="G29" s="185"/>
      <c r="H29" s="185"/>
      <c r="I29" s="168" t="e">
        <f t="shared" si="2"/>
        <v>#DIV/0!</v>
      </c>
      <c r="J29" s="185"/>
      <c r="K29" s="185"/>
      <c r="L29" s="168" t="e">
        <f t="shared" si="3"/>
        <v>#DIV/0!</v>
      </c>
      <c r="M29" s="175">
        <f t="shared" si="10"/>
        <v>0</v>
      </c>
      <c r="N29" s="175">
        <f t="shared" si="11"/>
        <v>0</v>
      </c>
      <c r="O29" s="168" t="e">
        <f t="shared" si="12"/>
        <v>#DIV/0!</v>
      </c>
      <c r="P29" s="187"/>
      <c r="Q29" s="187"/>
      <c r="R29" s="168" t="e">
        <f t="shared" si="4"/>
        <v>#DIV/0!</v>
      </c>
      <c r="S29" s="187"/>
      <c r="T29" s="187"/>
      <c r="U29" s="168" t="e">
        <f t="shared" si="5"/>
        <v>#DIV/0!</v>
      </c>
      <c r="V29" s="187"/>
      <c r="W29" s="187"/>
      <c r="X29" s="168" t="e">
        <f t="shared" si="6"/>
        <v>#DIV/0!</v>
      </c>
      <c r="Y29" s="167"/>
      <c r="Z29" s="167"/>
      <c r="AA29" s="168"/>
      <c r="AB29" s="187"/>
      <c r="AC29" s="187"/>
      <c r="AD29" s="188"/>
      <c r="AE29" s="189"/>
      <c r="AF29" s="189"/>
      <c r="AG29" s="189"/>
      <c r="AH29" s="189"/>
      <c r="AI29" s="189"/>
      <c r="AJ29" s="175">
        <f t="shared" si="13"/>
        <v>0</v>
      </c>
      <c r="AK29" s="175">
        <f t="shared" si="14"/>
        <v>0</v>
      </c>
      <c r="AL29" s="168"/>
      <c r="AM29" s="189"/>
      <c r="AN29" s="189"/>
      <c r="AO29" s="189"/>
      <c r="AP29" s="189"/>
      <c r="AQ29" s="189"/>
      <c r="AR29" s="189"/>
      <c r="AS29" s="175"/>
      <c r="AT29" s="167"/>
      <c r="AU29" s="185"/>
      <c r="AV29" s="143"/>
      <c r="AW29" s="169"/>
      <c r="AX29" s="145">
        <f t="shared" si="7"/>
        <v>0</v>
      </c>
      <c r="AY29" s="145">
        <f t="shared" si="8"/>
        <v>0</v>
      </c>
      <c r="AZ29" s="145">
        <f t="shared" si="9"/>
        <v>0</v>
      </c>
    </row>
    <row r="30" spans="1:52" ht="34.5" customHeight="1">
      <c r="A30" s="151">
        <v>23</v>
      </c>
      <c r="B30" s="172" t="s">
        <v>48</v>
      </c>
      <c r="C30" s="190"/>
      <c r="D30" s="185"/>
      <c r="E30" s="185"/>
      <c r="F30" s="186"/>
      <c r="G30" s="185"/>
      <c r="H30" s="185"/>
      <c r="I30" s="168" t="e">
        <f t="shared" si="2"/>
        <v>#DIV/0!</v>
      </c>
      <c r="J30" s="185"/>
      <c r="K30" s="185"/>
      <c r="L30" s="168" t="e">
        <f t="shared" si="3"/>
        <v>#DIV/0!</v>
      </c>
      <c r="M30" s="175">
        <f t="shared" si="10"/>
        <v>0</v>
      </c>
      <c r="N30" s="175">
        <f t="shared" si="11"/>
        <v>0</v>
      </c>
      <c r="O30" s="168" t="e">
        <f t="shared" si="12"/>
        <v>#DIV/0!</v>
      </c>
      <c r="P30" s="187"/>
      <c r="Q30" s="187"/>
      <c r="R30" s="168" t="e">
        <f t="shared" si="4"/>
        <v>#DIV/0!</v>
      </c>
      <c r="S30" s="187"/>
      <c r="T30" s="187"/>
      <c r="U30" s="168" t="e">
        <f t="shared" si="5"/>
        <v>#DIV/0!</v>
      </c>
      <c r="V30" s="187"/>
      <c r="W30" s="187"/>
      <c r="X30" s="168" t="e">
        <f t="shared" si="6"/>
        <v>#DIV/0!</v>
      </c>
      <c r="Y30" s="167"/>
      <c r="Z30" s="167"/>
      <c r="AA30" s="168"/>
      <c r="AB30" s="187"/>
      <c r="AC30" s="187"/>
      <c r="AD30" s="188"/>
      <c r="AE30" s="189"/>
      <c r="AF30" s="189"/>
      <c r="AG30" s="189"/>
      <c r="AH30" s="189"/>
      <c r="AI30" s="189"/>
      <c r="AJ30" s="175">
        <f t="shared" si="13"/>
        <v>0</v>
      </c>
      <c r="AK30" s="175">
        <f t="shared" si="14"/>
        <v>0</v>
      </c>
      <c r="AL30" s="168"/>
      <c r="AM30" s="189"/>
      <c r="AN30" s="189"/>
      <c r="AO30" s="189"/>
      <c r="AP30" s="189"/>
      <c r="AQ30" s="189"/>
      <c r="AR30" s="189"/>
      <c r="AS30" s="175"/>
      <c r="AT30" s="167"/>
      <c r="AU30" s="185"/>
      <c r="AV30" s="143"/>
      <c r="AW30" s="169"/>
      <c r="AX30" s="145">
        <f t="shared" si="7"/>
        <v>0</v>
      </c>
      <c r="AY30" s="145">
        <f t="shared" si="8"/>
        <v>0</v>
      </c>
      <c r="AZ30" s="145">
        <f t="shared" si="9"/>
        <v>0</v>
      </c>
    </row>
    <row r="31" spans="1:52" ht="34.5" customHeight="1">
      <c r="A31" s="151">
        <v>24</v>
      </c>
      <c r="B31" s="172" t="s">
        <v>49</v>
      </c>
      <c r="C31" s="190"/>
      <c r="D31" s="185"/>
      <c r="E31" s="185"/>
      <c r="F31" s="186"/>
      <c r="G31" s="185"/>
      <c r="H31" s="185"/>
      <c r="I31" s="168" t="e">
        <f t="shared" si="2"/>
        <v>#DIV/0!</v>
      </c>
      <c r="J31" s="185"/>
      <c r="K31" s="185"/>
      <c r="L31" s="168" t="e">
        <f t="shared" si="3"/>
        <v>#DIV/0!</v>
      </c>
      <c r="M31" s="175">
        <f t="shared" si="10"/>
        <v>0</v>
      </c>
      <c r="N31" s="175">
        <f t="shared" si="11"/>
        <v>0</v>
      </c>
      <c r="O31" s="168" t="e">
        <f t="shared" si="12"/>
        <v>#DIV/0!</v>
      </c>
      <c r="P31" s="187"/>
      <c r="Q31" s="187"/>
      <c r="R31" s="168" t="e">
        <f t="shared" si="4"/>
        <v>#DIV/0!</v>
      </c>
      <c r="S31" s="187"/>
      <c r="T31" s="187"/>
      <c r="U31" s="168" t="e">
        <f t="shared" si="5"/>
        <v>#DIV/0!</v>
      </c>
      <c r="V31" s="187"/>
      <c r="W31" s="187"/>
      <c r="X31" s="168" t="e">
        <f t="shared" si="6"/>
        <v>#DIV/0!</v>
      </c>
      <c r="Y31" s="167"/>
      <c r="Z31" s="167"/>
      <c r="AA31" s="168"/>
      <c r="AB31" s="187"/>
      <c r="AC31" s="187"/>
      <c r="AD31" s="188"/>
      <c r="AE31" s="189"/>
      <c r="AF31" s="189"/>
      <c r="AG31" s="189"/>
      <c r="AH31" s="189"/>
      <c r="AI31" s="189"/>
      <c r="AJ31" s="175">
        <f t="shared" si="13"/>
        <v>0</v>
      </c>
      <c r="AK31" s="175">
        <f t="shared" si="14"/>
        <v>0</v>
      </c>
      <c r="AL31" s="168"/>
      <c r="AM31" s="189"/>
      <c r="AN31" s="189"/>
      <c r="AO31" s="189"/>
      <c r="AP31" s="189"/>
      <c r="AQ31" s="189"/>
      <c r="AR31" s="189"/>
      <c r="AS31" s="175"/>
      <c r="AT31" s="167"/>
      <c r="AU31" s="185"/>
      <c r="AV31" s="143"/>
      <c r="AW31" s="169"/>
      <c r="AX31" s="145">
        <f t="shared" si="7"/>
        <v>0</v>
      </c>
      <c r="AY31" s="145">
        <f t="shared" si="8"/>
        <v>0</v>
      </c>
      <c r="AZ31" s="145">
        <f t="shared" si="9"/>
        <v>0</v>
      </c>
    </row>
    <row r="32" spans="1:52" ht="34.5" customHeight="1">
      <c r="A32" s="151">
        <v>25</v>
      </c>
      <c r="B32" s="172" t="s">
        <v>50</v>
      </c>
      <c r="C32" s="191">
        <f>C33+C34+C35+C36</f>
        <v>-575.6</v>
      </c>
      <c r="D32" s="191">
        <f>D33+D34+D35+D36</f>
        <v>2377.3</v>
      </c>
      <c r="E32" s="191">
        <f>E33+E34+E35+E36</f>
        <v>0</v>
      </c>
      <c r="F32" s="192">
        <f>E32/D32*100</f>
        <v>0</v>
      </c>
      <c r="G32" s="191">
        <f>G33+G34+G35+G36</f>
        <v>2108.3</v>
      </c>
      <c r="H32" s="191">
        <f>H33+H34+H35+H36</f>
        <v>2642</v>
      </c>
      <c r="I32" s="165">
        <f t="shared" si="2"/>
        <v>125.31423421714176</v>
      </c>
      <c r="J32" s="191">
        <f>J33+J34+J35+J36</f>
        <v>0</v>
      </c>
      <c r="K32" s="191">
        <f>K33+K34+K35+K36</f>
        <v>0</v>
      </c>
      <c r="L32" s="143" t="e">
        <f t="shared" si="3"/>
        <v>#DIV/0!</v>
      </c>
      <c r="M32" s="191">
        <f>M33+M34+M35+M36</f>
        <v>4485.6</v>
      </c>
      <c r="N32" s="191">
        <f>N33+N34+N35+N36</f>
        <v>2642</v>
      </c>
      <c r="O32" s="143">
        <f t="shared" si="12"/>
        <v>58.8995897984662</v>
      </c>
      <c r="P32" s="191">
        <f>P33+P34+P35+P36</f>
        <v>0</v>
      </c>
      <c r="Q32" s="191">
        <f>Q33+Q34+Q35+Q36</f>
        <v>0</v>
      </c>
      <c r="R32" s="143" t="e">
        <f t="shared" si="4"/>
        <v>#DIV/0!</v>
      </c>
      <c r="S32" s="191">
        <f>S33+S34+S35+S36</f>
        <v>0</v>
      </c>
      <c r="T32" s="191">
        <f>T33+T34+T35+T36</f>
        <v>0</v>
      </c>
      <c r="U32" s="143" t="e">
        <f t="shared" si="5"/>
        <v>#DIV/0!</v>
      </c>
      <c r="V32" s="191">
        <f>V33+V34+V35+V36</f>
        <v>0</v>
      </c>
      <c r="W32" s="191">
        <f>W33+W34+W35+W36</f>
        <v>0</v>
      </c>
      <c r="X32" s="143" t="e">
        <f t="shared" si="6"/>
        <v>#DIV/0!</v>
      </c>
      <c r="Y32" s="167">
        <f>P32+S32+V32</f>
        <v>0</v>
      </c>
      <c r="Z32" s="167">
        <f>Q32+T32+W32</f>
        <v>0</v>
      </c>
      <c r="AA32" s="191">
        <f>AA33+AA34+AA35+AA36</f>
        <v>0</v>
      </c>
      <c r="AB32" s="191">
        <f>AB33+AB34+AB35+AB36</f>
        <v>0</v>
      </c>
      <c r="AC32" s="191">
        <f>AC33+AC34+AC35+AC36</f>
        <v>0</v>
      </c>
      <c r="AD32" s="164" t="e">
        <f>AC32/AB32*100</f>
        <v>#DIV/0!</v>
      </c>
      <c r="AE32" s="191">
        <f>AE33+AE34+AE35+AE36</f>
        <v>0</v>
      </c>
      <c r="AF32" s="191">
        <f>AF33+AF34+AF35+AF36</f>
        <v>0</v>
      </c>
      <c r="AG32" s="191">
        <f>AG33+AG34+AG35+AG36</f>
        <v>0</v>
      </c>
      <c r="AH32" s="191">
        <f>AH33+AH34+AH35+AH36</f>
        <v>0</v>
      </c>
      <c r="AI32" s="191">
        <f>AI33+AI34+AI35+AI36</f>
        <v>0</v>
      </c>
      <c r="AJ32" s="167">
        <f t="shared" si="13"/>
        <v>0</v>
      </c>
      <c r="AK32" s="167">
        <f t="shared" si="14"/>
        <v>0</v>
      </c>
      <c r="AL32" s="191" t="e">
        <f aca="true" t="shared" si="19" ref="AL32:AT32">AL33+AL34+AL35+AL36</f>
        <v>#DIV/0!</v>
      </c>
      <c r="AM32" s="191">
        <f t="shared" si="19"/>
        <v>0</v>
      </c>
      <c r="AN32" s="191">
        <f t="shared" si="19"/>
        <v>0</v>
      </c>
      <c r="AO32" s="191">
        <f t="shared" si="19"/>
        <v>0</v>
      </c>
      <c r="AP32" s="191">
        <f t="shared" si="19"/>
        <v>0</v>
      </c>
      <c r="AQ32" s="191">
        <f t="shared" si="19"/>
        <v>0</v>
      </c>
      <c r="AR32" s="191">
        <f t="shared" si="19"/>
        <v>0</v>
      </c>
      <c r="AS32" s="191">
        <f t="shared" si="19"/>
        <v>4485.6</v>
      </c>
      <c r="AT32" s="191">
        <f t="shared" si="19"/>
        <v>2642</v>
      </c>
      <c r="AU32" s="143">
        <f>AT32/AS32*100</f>
        <v>58.8995897984662</v>
      </c>
      <c r="AV32" s="191">
        <f>AV33+AV34+AV35+AV36</f>
        <v>1843.6000000000001</v>
      </c>
      <c r="AW32" s="191">
        <f>AW33+AW34+AW35+AW36</f>
        <v>1268</v>
      </c>
      <c r="AX32" s="145">
        <f t="shared" si="7"/>
        <v>4485.6</v>
      </c>
      <c r="AY32" s="145">
        <f t="shared" si="8"/>
        <v>2642</v>
      </c>
      <c r="AZ32" s="145">
        <f t="shared" si="9"/>
        <v>1268.0000000000005</v>
      </c>
    </row>
    <row r="33" spans="1:52" ht="34.5" customHeight="1">
      <c r="A33" s="151"/>
      <c r="B33" s="172" t="s">
        <v>74</v>
      </c>
      <c r="C33" s="166">
        <v>-575.6</v>
      </c>
      <c r="D33" s="167">
        <v>698.8</v>
      </c>
      <c r="E33" s="167">
        <v>0</v>
      </c>
      <c r="F33" s="192">
        <f>E33/D33*100</f>
        <v>0</v>
      </c>
      <c r="G33" s="167">
        <v>661.5</v>
      </c>
      <c r="H33" s="167">
        <v>963.5</v>
      </c>
      <c r="I33" s="165">
        <f t="shared" si="2"/>
        <v>145.6538170823885</v>
      </c>
      <c r="J33" s="167"/>
      <c r="K33" s="167"/>
      <c r="L33" s="143" t="e">
        <f t="shared" si="3"/>
        <v>#DIV/0!</v>
      </c>
      <c r="M33" s="167">
        <f>D33+G33+J33</f>
        <v>1360.3</v>
      </c>
      <c r="N33" s="167">
        <f>E33+H33+K33</f>
        <v>963.5</v>
      </c>
      <c r="O33" s="143">
        <f t="shared" si="12"/>
        <v>70.82996397853415</v>
      </c>
      <c r="P33" s="167"/>
      <c r="Q33" s="167"/>
      <c r="R33" s="143" t="e">
        <f t="shared" si="4"/>
        <v>#DIV/0!</v>
      </c>
      <c r="S33" s="167"/>
      <c r="T33" s="167"/>
      <c r="U33" s="143" t="e">
        <f t="shared" si="5"/>
        <v>#DIV/0!</v>
      </c>
      <c r="V33" s="167"/>
      <c r="W33" s="167"/>
      <c r="X33" s="143" t="e">
        <f t="shared" si="6"/>
        <v>#DIV/0!</v>
      </c>
      <c r="Y33" s="167">
        <f>P33+S33+V33</f>
        <v>0</v>
      </c>
      <c r="Z33" s="167">
        <f>Q33+T33+W33</f>
        <v>0</v>
      </c>
      <c r="AA33" s="143"/>
      <c r="AB33" s="167"/>
      <c r="AC33" s="167"/>
      <c r="AD33" s="164" t="e">
        <f>AC33/AB33*100</f>
        <v>#DIV/0!</v>
      </c>
      <c r="AE33" s="167"/>
      <c r="AF33" s="167"/>
      <c r="AG33" s="168"/>
      <c r="AH33" s="167"/>
      <c r="AI33" s="167"/>
      <c r="AJ33" s="167">
        <f t="shared" si="13"/>
        <v>0</v>
      </c>
      <c r="AK33" s="167">
        <f t="shared" si="14"/>
        <v>0</v>
      </c>
      <c r="AL33" s="143" t="e">
        <f aca="true" t="shared" si="20" ref="AL33:AL41">AK33/AJ33*100</f>
        <v>#DIV/0!</v>
      </c>
      <c r="AM33" s="167"/>
      <c r="AN33" s="167"/>
      <c r="AO33" s="167"/>
      <c r="AP33" s="167"/>
      <c r="AQ33" s="167"/>
      <c r="AR33" s="167"/>
      <c r="AS33" s="167">
        <f aca="true" t="shared" si="21" ref="AS33:AT41">M33+Y33+AJ33+AM33+AO33+AQ33</f>
        <v>1360.3</v>
      </c>
      <c r="AT33" s="167">
        <f t="shared" si="21"/>
        <v>963.5</v>
      </c>
      <c r="AU33" s="143">
        <f>AT33/AS33*100</f>
        <v>70.82996397853415</v>
      </c>
      <c r="AV33" s="143">
        <f aca="true" t="shared" si="22" ref="AV33:AV41">AS33-AT33</f>
        <v>396.79999999999995</v>
      </c>
      <c r="AW33" s="169">
        <f aca="true" t="shared" si="23" ref="AW33:AW41">C33+AS33-AT33</f>
        <v>-178.80000000000007</v>
      </c>
      <c r="AX33" s="145">
        <f t="shared" si="7"/>
        <v>1360.3</v>
      </c>
      <c r="AY33" s="145">
        <f t="shared" si="8"/>
        <v>963.5</v>
      </c>
      <c r="AZ33" s="145">
        <f t="shared" si="9"/>
        <v>-178.80000000000007</v>
      </c>
    </row>
    <row r="34" spans="1:52" ht="34.5" customHeight="1">
      <c r="A34" s="151"/>
      <c r="B34" s="172" t="s">
        <v>21</v>
      </c>
      <c r="C34" s="166"/>
      <c r="D34" s="167"/>
      <c r="E34" s="167"/>
      <c r="F34" s="165"/>
      <c r="G34" s="167"/>
      <c r="H34" s="167"/>
      <c r="I34" s="168" t="e">
        <f t="shared" si="2"/>
        <v>#DIV/0!</v>
      </c>
      <c r="J34" s="167"/>
      <c r="K34" s="167"/>
      <c r="L34" s="168" t="e">
        <f t="shared" si="3"/>
        <v>#DIV/0!</v>
      </c>
      <c r="M34" s="175">
        <f aca="true" t="shared" si="24" ref="M34:M44">D34+G34+J34</f>
        <v>0</v>
      </c>
      <c r="N34" s="175">
        <f aca="true" t="shared" si="25" ref="N34:N44">E34+H34+K34</f>
        <v>0</v>
      </c>
      <c r="O34" s="168" t="e">
        <f t="shared" si="12"/>
        <v>#DIV/0!</v>
      </c>
      <c r="P34" s="167"/>
      <c r="Q34" s="167"/>
      <c r="R34" s="168" t="e">
        <f t="shared" si="4"/>
        <v>#DIV/0!</v>
      </c>
      <c r="S34" s="167"/>
      <c r="T34" s="167"/>
      <c r="U34" s="143" t="e">
        <f t="shared" si="5"/>
        <v>#DIV/0!</v>
      </c>
      <c r="V34" s="167"/>
      <c r="W34" s="167"/>
      <c r="X34" s="143" t="e">
        <f t="shared" si="6"/>
        <v>#DIV/0!</v>
      </c>
      <c r="Y34" s="167"/>
      <c r="Z34" s="167"/>
      <c r="AA34" s="143"/>
      <c r="AB34" s="167"/>
      <c r="AC34" s="167"/>
      <c r="AD34" s="167"/>
      <c r="AE34" s="167"/>
      <c r="AF34" s="167"/>
      <c r="AG34" s="168"/>
      <c r="AH34" s="167"/>
      <c r="AI34" s="167"/>
      <c r="AJ34" s="175">
        <f t="shared" si="13"/>
        <v>0</v>
      </c>
      <c r="AK34" s="175">
        <f t="shared" si="14"/>
        <v>0</v>
      </c>
      <c r="AL34" s="168"/>
      <c r="AM34" s="175"/>
      <c r="AN34" s="175"/>
      <c r="AO34" s="167"/>
      <c r="AP34" s="167"/>
      <c r="AQ34" s="167"/>
      <c r="AR34" s="167"/>
      <c r="AS34" s="167"/>
      <c r="AT34" s="167"/>
      <c r="AU34" s="143"/>
      <c r="AV34" s="143">
        <f>AS34-AT34</f>
        <v>0</v>
      </c>
      <c r="AW34" s="169"/>
      <c r="AX34" s="145">
        <f t="shared" si="7"/>
        <v>0</v>
      </c>
      <c r="AY34" s="145">
        <f t="shared" si="8"/>
        <v>0</v>
      </c>
      <c r="AZ34" s="145">
        <f t="shared" si="9"/>
        <v>0</v>
      </c>
    </row>
    <row r="35" spans="1:52" ht="34.5" customHeight="1" hidden="1">
      <c r="A35" s="151"/>
      <c r="B35" s="172" t="s">
        <v>23</v>
      </c>
      <c r="C35" s="166"/>
      <c r="D35" s="167"/>
      <c r="E35" s="167"/>
      <c r="F35" s="165"/>
      <c r="G35" s="167"/>
      <c r="H35" s="167"/>
      <c r="I35" s="165" t="e">
        <f t="shared" si="2"/>
        <v>#DIV/0!</v>
      </c>
      <c r="J35" s="167"/>
      <c r="K35" s="167"/>
      <c r="L35" s="143" t="e">
        <f t="shared" si="3"/>
        <v>#DIV/0!</v>
      </c>
      <c r="M35" s="167">
        <f t="shared" si="24"/>
        <v>0</v>
      </c>
      <c r="N35" s="167">
        <f t="shared" si="25"/>
        <v>0</v>
      </c>
      <c r="O35" s="143" t="e">
        <f t="shared" si="12"/>
        <v>#DIV/0!</v>
      </c>
      <c r="P35" s="167"/>
      <c r="Q35" s="167"/>
      <c r="R35" s="143" t="e">
        <f t="shared" si="4"/>
        <v>#DIV/0!</v>
      </c>
      <c r="S35" s="167"/>
      <c r="T35" s="167"/>
      <c r="U35" s="143" t="e">
        <f t="shared" si="5"/>
        <v>#DIV/0!</v>
      </c>
      <c r="V35" s="167"/>
      <c r="W35" s="167"/>
      <c r="X35" s="143" t="e">
        <f t="shared" si="6"/>
        <v>#DIV/0!</v>
      </c>
      <c r="Y35" s="167">
        <f aca="true" t="shared" si="26" ref="Y35:Z41">P35+S35+V35</f>
        <v>0</v>
      </c>
      <c r="Z35" s="167">
        <f t="shared" si="26"/>
        <v>0</v>
      </c>
      <c r="AA35" s="143"/>
      <c r="AB35" s="167"/>
      <c r="AC35" s="167"/>
      <c r="AD35" s="167"/>
      <c r="AE35" s="167"/>
      <c r="AF35" s="167"/>
      <c r="AG35" s="168"/>
      <c r="AH35" s="167"/>
      <c r="AI35" s="167"/>
      <c r="AJ35" s="167">
        <f t="shared" si="13"/>
        <v>0</v>
      </c>
      <c r="AK35" s="167">
        <f t="shared" si="14"/>
        <v>0</v>
      </c>
      <c r="AL35" s="143"/>
      <c r="AM35" s="167"/>
      <c r="AN35" s="167"/>
      <c r="AO35" s="167"/>
      <c r="AP35" s="167"/>
      <c r="AQ35" s="167"/>
      <c r="AR35" s="167"/>
      <c r="AS35" s="167"/>
      <c r="AT35" s="167"/>
      <c r="AU35" s="143"/>
      <c r="AV35" s="143">
        <f>AS35-AT35</f>
        <v>0</v>
      </c>
      <c r="AW35" s="169"/>
      <c r="AX35" s="145">
        <f t="shared" si="7"/>
        <v>0</v>
      </c>
      <c r="AY35" s="145">
        <f t="shared" si="8"/>
        <v>0</v>
      </c>
      <c r="AZ35" s="145">
        <f t="shared" si="9"/>
        <v>0</v>
      </c>
    </row>
    <row r="36" spans="1:52" ht="34.5" customHeight="1">
      <c r="A36" s="141"/>
      <c r="B36" s="142" t="s">
        <v>65</v>
      </c>
      <c r="C36" s="166">
        <v>0</v>
      </c>
      <c r="D36" s="193">
        <v>1678.5</v>
      </c>
      <c r="E36" s="194">
        <v>0</v>
      </c>
      <c r="F36" s="165">
        <f t="shared" si="1"/>
        <v>0</v>
      </c>
      <c r="G36" s="193">
        <v>1446.8</v>
      </c>
      <c r="H36" s="193">
        <v>1678.5</v>
      </c>
      <c r="I36" s="195">
        <v>81.91068639545016</v>
      </c>
      <c r="J36" s="194"/>
      <c r="K36" s="194"/>
      <c r="L36" s="196">
        <v>141.06228050880242</v>
      </c>
      <c r="M36" s="167">
        <f>D36+G36+J36</f>
        <v>3125.3</v>
      </c>
      <c r="N36" s="167">
        <f>E36+H36+K36</f>
        <v>1678.5</v>
      </c>
      <c r="O36" s="143">
        <f t="shared" si="12"/>
        <v>53.706844142962275</v>
      </c>
      <c r="P36" s="194"/>
      <c r="Q36" s="194"/>
      <c r="R36" s="196">
        <v>234.15404089581307</v>
      </c>
      <c r="S36" s="194"/>
      <c r="T36" s="194"/>
      <c r="U36" s="143" t="e">
        <f t="shared" si="5"/>
        <v>#DIV/0!</v>
      </c>
      <c r="V36" s="167"/>
      <c r="W36" s="167"/>
      <c r="X36" s="143" t="e">
        <f t="shared" si="6"/>
        <v>#DIV/0!</v>
      </c>
      <c r="Y36" s="167">
        <f t="shared" si="26"/>
        <v>0</v>
      </c>
      <c r="Z36" s="167">
        <f t="shared" si="26"/>
        <v>0</v>
      </c>
      <c r="AA36" s="143"/>
      <c r="AB36" s="167"/>
      <c r="AC36" s="167"/>
      <c r="AD36" s="143" t="e">
        <f>AC36/AB36*100</f>
        <v>#DIV/0!</v>
      </c>
      <c r="AE36" s="167"/>
      <c r="AF36" s="167"/>
      <c r="AG36" s="168"/>
      <c r="AH36" s="167"/>
      <c r="AI36" s="167"/>
      <c r="AJ36" s="167">
        <f t="shared" si="13"/>
        <v>0</v>
      </c>
      <c r="AK36" s="167">
        <f t="shared" si="14"/>
        <v>0</v>
      </c>
      <c r="AL36" s="143" t="e">
        <f t="shared" si="20"/>
        <v>#DIV/0!</v>
      </c>
      <c r="AM36" s="167"/>
      <c r="AN36" s="167"/>
      <c r="AO36" s="167"/>
      <c r="AP36" s="167"/>
      <c r="AQ36" s="167"/>
      <c r="AR36" s="167"/>
      <c r="AS36" s="167">
        <f t="shared" si="21"/>
        <v>3125.3</v>
      </c>
      <c r="AT36" s="167">
        <f t="shared" si="21"/>
        <v>1678.5</v>
      </c>
      <c r="AU36" s="143">
        <f>AT36/AS36*100</f>
        <v>53.706844142962275</v>
      </c>
      <c r="AV36" s="143">
        <f t="shared" si="22"/>
        <v>1446.8000000000002</v>
      </c>
      <c r="AW36" s="169">
        <f t="shared" si="23"/>
        <v>1446.8000000000002</v>
      </c>
      <c r="AX36" s="145">
        <f t="shared" si="7"/>
        <v>3125.3</v>
      </c>
      <c r="AY36" s="145">
        <f t="shared" si="8"/>
        <v>1678.5</v>
      </c>
      <c r="AZ36" s="145">
        <f t="shared" si="9"/>
        <v>1446.8000000000002</v>
      </c>
    </row>
    <row r="37" spans="1:52" ht="34.5" customHeight="1">
      <c r="A37" s="151">
        <v>26</v>
      </c>
      <c r="B37" s="172" t="s">
        <v>51</v>
      </c>
      <c r="C37" s="166">
        <v>0</v>
      </c>
      <c r="D37" s="167">
        <v>121</v>
      </c>
      <c r="E37" s="167">
        <v>121</v>
      </c>
      <c r="F37" s="165">
        <f t="shared" si="1"/>
        <v>100</v>
      </c>
      <c r="G37" s="167">
        <v>245.7</v>
      </c>
      <c r="H37" s="167">
        <v>245.7</v>
      </c>
      <c r="I37" s="165">
        <f t="shared" si="2"/>
        <v>100</v>
      </c>
      <c r="J37" s="167"/>
      <c r="K37" s="167"/>
      <c r="L37" s="143" t="e">
        <f t="shared" si="3"/>
        <v>#DIV/0!</v>
      </c>
      <c r="M37" s="167">
        <f t="shared" si="24"/>
        <v>366.7</v>
      </c>
      <c r="N37" s="167">
        <f t="shared" si="25"/>
        <v>366.7</v>
      </c>
      <c r="O37" s="143">
        <f t="shared" si="12"/>
        <v>100</v>
      </c>
      <c r="P37" s="167"/>
      <c r="Q37" s="167"/>
      <c r="R37" s="143" t="e">
        <f t="shared" si="4"/>
        <v>#DIV/0!</v>
      </c>
      <c r="S37" s="167"/>
      <c r="T37" s="167"/>
      <c r="U37" s="143" t="e">
        <f t="shared" si="5"/>
        <v>#DIV/0!</v>
      </c>
      <c r="V37" s="167"/>
      <c r="W37" s="167"/>
      <c r="X37" s="143" t="e">
        <f t="shared" si="6"/>
        <v>#DIV/0!</v>
      </c>
      <c r="Y37" s="167">
        <f t="shared" si="26"/>
        <v>0</v>
      </c>
      <c r="Z37" s="167">
        <f t="shared" si="26"/>
        <v>0</v>
      </c>
      <c r="AA37" s="168"/>
      <c r="AB37" s="167"/>
      <c r="AC37" s="167"/>
      <c r="AD37" s="171"/>
      <c r="AE37" s="167"/>
      <c r="AF37" s="167"/>
      <c r="AG37" s="168"/>
      <c r="AH37" s="167"/>
      <c r="AI37" s="167"/>
      <c r="AJ37" s="167">
        <f t="shared" si="13"/>
        <v>0</v>
      </c>
      <c r="AK37" s="167">
        <f t="shared" si="14"/>
        <v>0</v>
      </c>
      <c r="AL37" s="168" t="e">
        <f t="shared" si="20"/>
        <v>#DIV/0!</v>
      </c>
      <c r="AM37" s="167"/>
      <c r="AN37" s="167"/>
      <c r="AO37" s="167"/>
      <c r="AP37" s="167"/>
      <c r="AQ37" s="167"/>
      <c r="AR37" s="167"/>
      <c r="AS37" s="167">
        <f t="shared" si="21"/>
        <v>366.7</v>
      </c>
      <c r="AT37" s="167">
        <f t="shared" si="21"/>
        <v>366.7</v>
      </c>
      <c r="AU37" s="143">
        <f aca="true" t="shared" si="27" ref="AU37:AU46">AT37/AS37*100</f>
        <v>100</v>
      </c>
      <c r="AV37" s="143">
        <f t="shared" si="22"/>
        <v>0</v>
      </c>
      <c r="AW37" s="169">
        <f t="shared" si="23"/>
        <v>0</v>
      </c>
      <c r="AX37" s="145">
        <f t="shared" si="7"/>
        <v>366.7</v>
      </c>
      <c r="AY37" s="145">
        <f t="shared" si="8"/>
        <v>366.7</v>
      </c>
      <c r="AZ37" s="145">
        <f t="shared" si="9"/>
        <v>0</v>
      </c>
    </row>
    <row r="38" spans="1:52" ht="34.5" customHeight="1">
      <c r="A38" s="151">
        <v>27</v>
      </c>
      <c r="B38" s="197" t="s">
        <v>52</v>
      </c>
      <c r="C38" s="166">
        <v>-184</v>
      </c>
      <c r="D38" s="167">
        <v>614.9</v>
      </c>
      <c r="E38" s="167">
        <v>0</v>
      </c>
      <c r="F38" s="165">
        <f t="shared" si="1"/>
        <v>0</v>
      </c>
      <c r="G38" s="167">
        <v>556.2</v>
      </c>
      <c r="H38" s="167">
        <v>774.4</v>
      </c>
      <c r="I38" s="165">
        <f t="shared" si="2"/>
        <v>139.23049262855088</v>
      </c>
      <c r="J38" s="167"/>
      <c r="K38" s="167"/>
      <c r="L38" s="143" t="e">
        <f t="shared" si="3"/>
        <v>#DIV/0!</v>
      </c>
      <c r="M38" s="167">
        <f t="shared" si="24"/>
        <v>1171.1</v>
      </c>
      <c r="N38" s="167">
        <f t="shared" si="25"/>
        <v>774.4</v>
      </c>
      <c r="O38" s="143">
        <f t="shared" si="12"/>
        <v>66.12586457177014</v>
      </c>
      <c r="P38" s="167"/>
      <c r="Q38" s="167"/>
      <c r="R38" s="143" t="e">
        <f t="shared" si="4"/>
        <v>#DIV/0!</v>
      </c>
      <c r="S38" s="167"/>
      <c r="T38" s="167"/>
      <c r="U38" s="143" t="e">
        <f t="shared" si="5"/>
        <v>#DIV/0!</v>
      </c>
      <c r="V38" s="167"/>
      <c r="W38" s="167"/>
      <c r="X38" s="143" t="e">
        <f t="shared" si="6"/>
        <v>#DIV/0!</v>
      </c>
      <c r="Y38" s="167">
        <f t="shared" si="26"/>
        <v>0</v>
      </c>
      <c r="Z38" s="167">
        <f t="shared" si="26"/>
        <v>0</v>
      </c>
      <c r="AA38" s="143"/>
      <c r="AB38" s="167"/>
      <c r="AC38" s="167"/>
      <c r="AD38" s="167"/>
      <c r="AE38" s="167"/>
      <c r="AF38" s="167"/>
      <c r="AG38" s="168"/>
      <c r="AH38" s="167"/>
      <c r="AI38" s="167"/>
      <c r="AJ38" s="167">
        <f t="shared" si="13"/>
        <v>0</v>
      </c>
      <c r="AK38" s="167">
        <f t="shared" si="14"/>
        <v>0</v>
      </c>
      <c r="AL38" s="143" t="e">
        <f t="shared" si="20"/>
        <v>#DIV/0!</v>
      </c>
      <c r="AM38" s="167"/>
      <c r="AN38" s="167"/>
      <c r="AO38" s="167"/>
      <c r="AP38" s="167"/>
      <c r="AQ38" s="167"/>
      <c r="AR38" s="167"/>
      <c r="AS38" s="167">
        <f>M38+Y38+AJ38+AM38+AO38+AQ38</f>
        <v>1171.1</v>
      </c>
      <c r="AT38" s="167">
        <f t="shared" si="21"/>
        <v>774.4</v>
      </c>
      <c r="AU38" s="143">
        <f t="shared" si="27"/>
        <v>66.12586457177014</v>
      </c>
      <c r="AV38" s="143">
        <f t="shared" si="22"/>
        <v>396.69999999999993</v>
      </c>
      <c r="AW38" s="169">
        <f>C38+AS38-AT38</f>
        <v>212.69999999999993</v>
      </c>
      <c r="AX38" s="145">
        <f t="shared" si="7"/>
        <v>1171.1</v>
      </c>
      <c r="AY38" s="145">
        <f t="shared" si="8"/>
        <v>774.4</v>
      </c>
      <c r="AZ38" s="145">
        <f t="shared" si="9"/>
        <v>212.69999999999993</v>
      </c>
    </row>
    <row r="39" spans="1:52" ht="34.5" customHeight="1">
      <c r="A39" s="151">
        <v>28</v>
      </c>
      <c r="B39" s="198" t="s">
        <v>53</v>
      </c>
      <c r="C39" s="166">
        <v>-416.4</v>
      </c>
      <c r="D39" s="167">
        <v>934.9</v>
      </c>
      <c r="E39" s="167">
        <v>0</v>
      </c>
      <c r="F39" s="165">
        <f t="shared" si="1"/>
        <v>0</v>
      </c>
      <c r="G39" s="167">
        <v>919.1</v>
      </c>
      <c r="H39" s="167">
        <v>872.8</v>
      </c>
      <c r="I39" s="165">
        <f t="shared" si="2"/>
        <v>94.96246327929495</v>
      </c>
      <c r="J39" s="167"/>
      <c r="K39" s="167"/>
      <c r="L39" s="143" t="e">
        <f t="shared" si="3"/>
        <v>#DIV/0!</v>
      </c>
      <c r="M39" s="167">
        <f t="shared" si="24"/>
        <v>1854</v>
      </c>
      <c r="N39" s="167">
        <f t="shared" si="25"/>
        <v>872.8</v>
      </c>
      <c r="O39" s="143">
        <f t="shared" si="12"/>
        <v>47.07659115426105</v>
      </c>
      <c r="P39" s="167"/>
      <c r="Q39" s="167"/>
      <c r="R39" s="143" t="e">
        <f t="shared" si="4"/>
        <v>#DIV/0!</v>
      </c>
      <c r="S39" s="167"/>
      <c r="T39" s="167"/>
      <c r="U39" s="143" t="e">
        <f t="shared" si="5"/>
        <v>#DIV/0!</v>
      </c>
      <c r="V39" s="167"/>
      <c r="W39" s="167"/>
      <c r="X39" s="143" t="e">
        <f t="shared" si="6"/>
        <v>#DIV/0!</v>
      </c>
      <c r="Y39" s="167">
        <f t="shared" si="26"/>
        <v>0</v>
      </c>
      <c r="Z39" s="167">
        <f t="shared" si="26"/>
        <v>0</v>
      </c>
      <c r="AA39" s="143"/>
      <c r="AB39" s="167"/>
      <c r="AC39" s="167"/>
      <c r="AD39" s="167"/>
      <c r="AE39" s="167"/>
      <c r="AF39" s="167"/>
      <c r="AG39" s="168"/>
      <c r="AH39" s="167"/>
      <c r="AI39" s="167"/>
      <c r="AJ39" s="167">
        <f t="shared" si="13"/>
        <v>0</v>
      </c>
      <c r="AK39" s="167">
        <f t="shared" si="14"/>
        <v>0</v>
      </c>
      <c r="AL39" s="143" t="e">
        <f t="shared" si="20"/>
        <v>#DIV/0!</v>
      </c>
      <c r="AM39" s="167"/>
      <c r="AN39" s="167"/>
      <c r="AO39" s="167"/>
      <c r="AP39" s="167"/>
      <c r="AQ39" s="167"/>
      <c r="AR39" s="167"/>
      <c r="AS39" s="167">
        <f t="shared" si="21"/>
        <v>1854</v>
      </c>
      <c r="AT39" s="167">
        <f t="shared" si="21"/>
        <v>872.8</v>
      </c>
      <c r="AU39" s="143">
        <f t="shared" si="27"/>
        <v>47.07659115426105</v>
      </c>
      <c r="AV39" s="143">
        <f t="shared" si="22"/>
        <v>981.2</v>
      </c>
      <c r="AW39" s="169">
        <f t="shared" si="23"/>
        <v>564.8</v>
      </c>
      <c r="AX39" s="145">
        <f t="shared" si="7"/>
        <v>1854</v>
      </c>
      <c r="AY39" s="145">
        <f t="shared" si="8"/>
        <v>872.8</v>
      </c>
      <c r="AZ39" s="145">
        <f t="shared" si="9"/>
        <v>564.8</v>
      </c>
    </row>
    <row r="40" spans="1:52" ht="34.5" customHeight="1">
      <c r="A40" s="151">
        <v>29</v>
      </c>
      <c r="B40" s="198" t="s">
        <v>54</v>
      </c>
      <c r="C40" s="166">
        <v>-194.4</v>
      </c>
      <c r="D40" s="167">
        <v>359.2</v>
      </c>
      <c r="E40" s="167">
        <v>101.5</v>
      </c>
      <c r="F40" s="165">
        <f t="shared" si="1"/>
        <v>28.25723830734967</v>
      </c>
      <c r="G40" s="167">
        <v>385.6</v>
      </c>
      <c r="H40" s="167">
        <v>321.3</v>
      </c>
      <c r="I40" s="165">
        <f t="shared" si="2"/>
        <v>83.32468879668049</v>
      </c>
      <c r="J40" s="167"/>
      <c r="K40" s="167"/>
      <c r="L40" s="143" t="e">
        <f t="shared" si="3"/>
        <v>#DIV/0!</v>
      </c>
      <c r="M40" s="167">
        <f t="shared" si="24"/>
        <v>744.8</v>
      </c>
      <c r="N40" s="167">
        <f t="shared" si="25"/>
        <v>422.8</v>
      </c>
      <c r="O40" s="143">
        <f t="shared" si="12"/>
        <v>56.766917293233085</v>
      </c>
      <c r="P40" s="167"/>
      <c r="Q40" s="167"/>
      <c r="R40" s="143" t="e">
        <f t="shared" si="4"/>
        <v>#DIV/0!</v>
      </c>
      <c r="S40" s="167"/>
      <c r="T40" s="167"/>
      <c r="U40" s="143" t="e">
        <f t="shared" si="5"/>
        <v>#DIV/0!</v>
      </c>
      <c r="V40" s="167"/>
      <c r="W40" s="167"/>
      <c r="X40" s="143" t="e">
        <f t="shared" si="6"/>
        <v>#DIV/0!</v>
      </c>
      <c r="Y40" s="167">
        <f t="shared" si="26"/>
        <v>0</v>
      </c>
      <c r="Z40" s="167">
        <f t="shared" si="26"/>
        <v>0</v>
      </c>
      <c r="AA40" s="143"/>
      <c r="AB40" s="167"/>
      <c r="AC40" s="167"/>
      <c r="AD40" s="167"/>
      <c r="AE40" s="167"/>
      <c r="AF40" s="167"/>
      <c r="AG40" s="168"/>
      <c r="AH40" s="167"/>
      <c r="AI40" s="167"/>
      <c r="AJ40" s="167">
        <f t="shared" si="13"/>
        <v>0</v>
      </c>
      <c r="AK40" s="167">
        <f t="shared" si="14"/>
        <v>0</v>
      </c>
      <c r="AL40" s="168" t="e">
        <f t="shared" si="20"/>
        <v>#DIV/0!</v>
      </c>
      <c r="AM40" s="167"/>
      <c r="AN40" s="167"/>
      <c r="AO40" s="167"/>
      <c r="AP40" s="167"/>
      <c r="AQ40" s="167"/>
      <c r="AR40" s="167"/>
      <c r="AS40" s="167">
        <f t="shared" si="21"/>
        <v>744.8</v>
      </c>
      <c r="AT40" s="167">
        <f t="shared" si="21"/>
        <v>422.8</v>
      </c>
      <c r="AU40" s="143">
        <f t="shared" si="27"/>
        <v>56.766917293233085</v>
      </c>
      <c r="AV40" s="143">
        <f t="shared" si="22"/>
        <v>321.99999999999994</v>
      </c>
      <c r="AW40" s="169">
        <f t="shared" si="23"/>
        <v>127.59999999999997</v>
      </c>
      <c r="AX40" s="145">
        <f t="shared" si="7"/>
        <v>744.8</v>
      </c>
      <c r="AY40" s="145">
        <f t="shared" si="8"/>
        <v>422.8</v>
      </c>
      <c r="AZ40" s="145">
        <f t="shared" si="9"/>
        <v>127.59999999999997</v>
      </c>
    </row>
    <row r="41" spans="1:52" s="176" customFormat="1" ht="34.5" customHeight="1">
      <c r="A41" s="151">
        <v>30</v>
      </c>
      <c r="B41" s="198" t="s">
        <v>55</v>
      </c>
      <c r="C41" s="166">
        <v>-766</v>
      </c>
      <c r="D41" s="167">
        <v>863.5</v>
      </c>
      <c r="E41" s="167">
        <v>15.2</v>
      </c>
      <c r="F41" s="165">
        <f t="shared" si="1"/>
        <v>1.7602779386218876</v>
      </c>
      <c r="G41" s="167">
        <v>901.6</v>
      </c>
      <c r="H41" s="167">
        <v>300.1</v>
      </c>
      <c r="I41" s="165">
        <f t="shared" si="2"/>
        <v>33.285270629991125</v>
      </c>
      <c r="J41" s="167"/>
      <c r="K41" s="167"/>
      <c r="L41" s="143" t="e">
        <f t="shared" si="3"/>
        <v>#DIV/0!</v>
      </c>
      <c r="M41" s="167">
        <f t="shared" si="24"/>
        <v>1765.1</v>
      </c>
      <c r="N41" s="167">
        <f t="shared" si="25"/>
        <v>315.3</v>
      </c>
      <c r="O41" s="143">
        <f t="shared" si="12"/>
        <v>17.863010594300608</v>
      </c>
      <c r="P41" s="167"/>
      <c r="Q41" s="167"/>
      <c r="R41" s="143" t="e">
        <f t="shared" si="4"/>
        <v>#DIV/0!</v>
      </c>
      <c r="S41" s="167"/>
      <c r="T41" s="167"/>
      <c r="U41" s="143" t="e">
        <f t="shared" si="5"/>
        <v>#DIV/0!</v>
      </c>
      <c r="V41" s="167"/>
      <c r="W41" s="167"/>
      <c r="X41" s="143" t="e">
        <f t="shared" si="6"/>
        <v>#DIV/0!</v>
      </c>
      <c r="Y41" s="167">
        <f t="shared" si="26"/>
        <v>0</v>
      </c>
      <c r="Z41" s="167">
        <f t="shared" si="26"/>
        <v>0</v>
      </c>
      <c r="AA41" s="143"/>
      <c r="AB41" s="167"/>
      <c r="AC41" s="167"/>
      <c r="AD41" s="175"/>
      <c r="AE41" s="167"/>
      <c r="AF41" s="167"/>
      <c r="AG41" s="168"/>
      <c r="AH41" s="167"/>
      <c r="AI41" s="167"/>
      <c r="AJ41" s="167">
        <f t="shared" si="13"/>
        <v>0</v>
      </c>
      <c r="AK41" s="167">
        <f t="shared" si="14"/>
        <v>0</v>
      </c>
      <c r="AL41" s="168" t="e">
        <f t="shared" si="20"/>
        <v>#DIV/0!</v>
      </c>
      <c r="AM41" s="167"/>
      <c r="AN41" s="167"/>
      <c r="AO41" s="167"/>
      <c r="AP41" s="167"/>
      <c r="AQ41" s="167"/>
      <c r="AR41" s="167"/>
      <c r="AS41" s="167">
        <f t="shared" si="21"/>
        <v>1765.1</v>
      </c>
      <c r="AT41" s="167">
        <f t="shared" si="21"/>
        <v>315.3</v>
      </c>
      <c r="AU41" s="165">
        <f t="shared" si="27"/>
        <v>17.863010594300608</v>
      </c>
      <c r="AV41" s="143">
        <f t="shared" si="22"/>
        <v>1449.8</v>
      </c>
      <c r="AW41" s="169">
        <f t="shared" si="23"/>
        <v>683.8</v>
      </c>
      <c r="AX41" s="145">
        <f t="shared" si="7"/>
        <v>1765.1</v>
      </c>
      <c r="AY41" s="145">
        <f t="shared" si="8"/>
        <v>315.3</v>
      </c>
      <c r="AZ41" s="145">
        <f t="shared" si="9"/>
        <v>683.8</v>
      </c>
    </row>
    <row r="42" spans="1:52" ht="34.5" customHeight="1">
      <c r="A42" s="151">
        <v>31</v>
      </c>
      <c r="B42" s="198" t="s">
        <v>56</v>
      </c>
      <c r="C42" s="173">
        <v>0</v>
      </c>
      <c r="D42" s="174"/>
      <c r="E42" s="174"/>
      <c r="F42" s="168" t="e">
        <f t="shared" si="1"/>
        <v>#DIV/0!</v>
      </c>
      <c r="G42" s="167"/>
      <c r="H42" s="167"/>
      <c r="I42" s="168" t="e">
        <f t="shared" si="2"/>
        <v>#DIV/0!</v>
      </c>
      <c r="J42" s="167"/>
      <c r="K42" s="167"/>
      <c r="L42" s="168" t="e">
        <f t="shared" si="3"/>
        <v>#DIV/0!</v>
      </c>
      <c r="M42" s="175">
        <f t="shared" si="24"/>
        <v>0</v>
      </c>
      <c r="N42" s="175">
        <f t="shared" si="25"/>
        <v>0</v>
      </c>
      <c r="O42" s="168" t="e">
        <f t="shared" si="12"/>
        <v>#DIV/0!</v>
      </c>
      <c r="P42" s="175"/>
      <c r="Q42" s="175"/>
      <c r="R42" s="168" t="e">
        <f t="shared" si="4"/>
        <v>#DIV/0!</v>
      </c>
      <c r="S42" s="167"/>
      <c r="T42" s="167"/>
      <c r="U42" s="143" t="e">
        <f t="shared" si="5"/>
        <v>#DIV/0!</v>
      </c>
      <c r="V42" s="167"/>
      <c r="W42" s="167"/>
      <c r="X42" s="143" t="e">
        <f t="shared" si="6"/>
        <v>#DIV/0!</v>
      </c>
      <c r="Y42" s="167"/>
      <c r="Z42" s="167"/>
      <c r="AA42" s="143"/>
      <c r="AB42" s="167"/>
      <c r="AC42" s="167"/>
      <c r="AD42" s="175" t="e">
        <f>AC42/AB42*100</f>
        <v>#DIV/0!</v>
      </c>
      <c r="AE42" s="167"/>
      <c r="AF42" s="167"/>
      <c r="AG42" s="168" t="e">
        <f>AF42/AE42*100</f>
        <v>#DIV/0!</v>
      </c>
      <c r="AH42" s="167"/>
      <c r="AI42" s="167"/>
      <c r="AJ42" s="175">
        <f t="shared" si="13"/>
        <v>0</v>
      </c>
      <c r="AK42" s="175">
        <f t="shared" si="14"/>
        <v>0</v>
      </c>
      <c r="AL42" s="143"/>
      <c r="AM42" s="167"/>
      <c r="AN42" s="167"/>
      <c r="AO42" s="167"/>
      <c r="AP42" s="167"/>
      <c r="AQ42" s="167"/>
      <c r="AR42" s="167"/>
      <c r="AS42" s="167"/>
      <c r="AT42" s="167"/>
      <c r="AU42" s="143"/>
      <c r="AV42" s="143"/>
      <c r="AW42" s="169"/>
      <c r="AX42" s="145">
        <f t="shared" si="7"/>
        <v>0</v>
      </c>
      <c r="AY42" s="145">
        <f t="shared" si="8"/>
        <v>0</v>
      </c>
      <c r="AZ42" s="145">
        <f t="shared" si="9"/>
        <v>0</v>
      </c>
    </row>
    <row r="43" spans="1:52" s="176" customFormat="1" ht="34.5" customHeight="1">
      <c r="A43" s="151">
        <v>32</v>
      </c>
      <c r="B43" s="170" t="s">
        <v>57</v>
      </c>
      <c r="C43" s="173"/>
      <c r="D43" s="174"/>
      <c r="E43" s="174"/>
      <c r="F43" s="168" t="e">
        <f t="shared" si="1"/>
        <v>#DIV/0!</v>
      </c>
      <c r="G43" s="167"/>
      <c r="H43" s="167"/>
      <c r="I43" s="168" t="e">
        <f t="shared" si="2"/>
        <v>#DIV/0!</v>
      </c>
      <c r="J43" s="167"/>
      <c r="K43" s="167"/>
      <c r="L43" s="168" t="e">
        <f t="shared" si="3"/>
        <v>#DIV/0!</v>
      </c>
      <c r="M43" s="175">
        <f t="shared" si="24"/>
        <v>0</v>
      </c>
      <c r="N43" s="175">
        <f t="shared" si="25"/>
        <v>0</v>
      </c>
      <c r="O43" s="168" t="e">
        <f t="shared" si="12"/>
        <v>#DIV/0!</v>
      </c>
      <c r="P43" s="175"/>
      <c r="Q43" s="175"/>
      <c r="R43" s="168" t="e">
        <f t="shared" si="4"/>
        <v>#DIV/0!</v>
      </c>
      <c r="S43" s="167"/>
      <c r="T43" s="167"/>
      <c r="U43" s="143" t="e">
        <f t="shared" si="5"/>
        <v>#DIV/0!</v>
      </c>
      <c r="V43" s="167"/>
      <c r="W43" s="167"/>
      <c r="X43" s="143" t="e">
        <f t="shared" si="6"/>
        <v>#DIV/0!</v>
      </c>
      <c r="Y43" s="167"/>
      <c r="Z43" s="167"/>
      <c r="AA43" s="143"/>
      <c r="AB43" s="167"/>
      <c r="AC43" s="167"/>
      <c r="AD43" s="167"/>
      <c r="AE43" s="167"/>
      <c r="AF43" s="167"/>
      <c r="AG43" s="168" t="e">
        <f>AF43/AE43*100</f>
        <v>#DIV/0!</v>
      </c>
      <c r="AH43" s="167"/>
      <c r="AI43" s="167"/>
      <c r="AJ43" s="175">
        <f t="shared" si="13"/>
        <v>0</v>
      </c>
      <c r="AK43" s="175">
        <f t="shared" si="14"/>
        <v>0</v>
      </c>
      <c r="AL43" s="143"/>
      <c r="AM43" s="167"/>
      <c r="AN43" s="167"/>
      <c r="AO43" s="167"/>
      <c r="AP43" s="167"/>
      <c r="AQ43" s="167"/>
      <c r="AR43" s="167"/>
      <c r="AS43" s="167"/>
      <c r="AT43" s="167"/>
      <c r="AU43" s="143"/>
      <c r="AV43" s="143"/>
      <c r="AW43" s="169"/>
      <c r="AX43" s="145">
        <f t="shared" si="7"/>
        <v>0</v>
      </c>
      <c r="AY43" s="145">
        <f t="shared" si="8"/>
        <v>0</v>
      </c>
      <c r="AZ43" s="145">
        <f t="shared" si="9"/>
        <v>0</v>
      </c>
    </row>
    <row r="44" spans="1:52" s="176" customFormat="1" ht="34.5" customHeight="1">
      <c r="A44" s="151">
        <v>33</v>
      </c>
      <c r="B44" s="198" t="s">
        <v>58</v>
      </c>
      <c r="C44" s="166">
        <v>-496.2</v>
      </c>
      <c r="D44" s="167">
        <v>505.5</v>
      </c>
      <c r="E44" s="167">
        <v>0</v>
      </c>
      <c r="F44" s="165">
        <f t="shared" si="1"/>
        <v>0</v>
      </c>
      <c r="G44" s="167">
        <v>461.2</v>
      </c>
      <c r="H44" s="167">
        <v>486.9</v>
      </c>
      <c r="I44" s="165">
        <f t="shared" si="2"/>
        <v>105.5724197745013</v>
      </c>
      <c r="J44" s="167"/>
      <c r="K44" s="167"/>
      <c r="L44" s="143" t="e">
        <f t="shared" si="3"/>
        <v>#DIV/0!</v>
      </c>
      <c r="M44" s="167">
        <f t="shared" si="24"/>
        <v>966.7</v>
      </c>
      <c r="N44" s="167">
        <f t="shared" si="25"/>
        <v>486.9</v>
      </c>
      <c r="O44" s="143">
        <f t="shared" si="12"/>
        <v>50.367228716251155</v>
      </c>
      <c r="P44" s="167"/>
      <c r="Q44" s="167"/>
      <c r="R44" s="143" t="e">
        <f t="shared" si="4"/>
        <v>#DIV/0!</v>
      </c>
      <c r="S44" s="167"/>
      <c r="T44" s="167"/>
      <c r="U44" s="143" t="e">
        <f t="shared" si="5"/>
        <v>#DIV/0!</v>
      </c>
      <c r="V44" s="167"/>
      <c r="W44" s="167"/>
      <c r="X44" s="143" t="e">
        <f t="shared" si="6"/>
        <v>#DIV/0!</v>
      </c>
      <c r="Y44" s="167">
        <f>P44+S44+V44</f>
        <v>0</v>
      </c>
      <c r="Z44" s="167">
        <f>Q44+T44+W44</f>
        <v>0</v>
      </c>
      <c r="AA44" s="143" t="e">
        <f>Z44/Y44*100</f>
        <v>#DIV/0!</v>
      </c>
      <c r="AB44" s="167"/>
      <c r="AC44" s="167"/>
      <c r="AD44" s="143" t="e">
        <f>AC44/AB44*100</f>
        <v>#DIV/0!</v>
      </c>
      <c r="AE44" s="167"/>
      <c r="AF44" s="167"/>
      <c r="AG44" s="168"/>
      <c r="AH44" s="167"/>
      <c r="AI44" s="167"/>
      <c r="AJ44" s="167">
        <f t="shared" si="13"/>
        <v>0</v>
      </c>
      <c r="AK44" s="167">
        <f t="shared" si="14"/>
        <v>0</v>
      </c>
      <c r="AL44" s="143" t="e">
        <f>AK44/AJ44*100</f>
        <v>#DIV/0!</v>
      </c>
      <c r="AM44" s="167"/>
      <c r="AN44" s="167"/>
      <c r="AO44" s="167"/>
      <c r="AP44" s="167"/>
      <c r="AQ44" s="167"/>
      <c r="AR44" s="167"/>
      <c r="AS44" s="167">
        <f>M44+Y44+AJ44+AM44+AO44+AQ44</f>
        <v>966.7</v>
      </c>
      <c r="AT44" s="167">
        <f>N44+Z44+AK44+AN44+AP44+AR44</f>
        <v>486.9</v>
      </c>
      <c r="AU44" s="143">
        <f t="shared" si="27"/>
        <v>50.367228716251155</v>
      </c>
      <c r="AV44" s="143">
        <f>AS44-AT44</f>
        <v>479.80000000000007</v>
      </c>
      <c r="AW44" s="169">
        <f>C44+AS44-AT44</f>
        <v>-16.39999999999992</v>
      </c>
      <c r="AX44" s="145">
        <f t="shared" si="7"/>
        <v>966.7</v>
      </c>
      <c r="AY44" s="145">
        <f t="shared" si="8"/>
        <v>486.9</v>
      </c>
      <c r="AZ44" s="145">
        <f t="shared" si="9"/>
        <v>-16.39999999999992</v>
      </c>
    </row>
    <row r="45" spans="1:52" s="157" customFormat="1" ht="34.5" customHeight="1">
      <c r="A45" s="152">
        <v>34</v>
      </c>
      <c r="B45" s="199" t="s">
        <v>59</v>
      </c>
      <c r="C45" s="191">
        <f>C46+C47</f>
        <v>-9219</v>
      </c>
      <c r="D45" s="191">
        <f>D46+D47</f>
        <v>15530.5</v>
      </c>
      <c r="E45" s="191">
        <f>E46+E47</f>
        <v>0</v>
      </c>
      <c r="F45" s="165">
        <f t="shared" si="1"/>
        <v>0</v>
      </c>
      <c r="G45" s="191">
        <f>G46+G47</f>
        <v>18226.8</v>
      </c>
      <c r="H45" s="191">
        <f>H46+H47</f>
        <v>12279.5</v>
      </c>
      <c r="I45" s="165">
        <f t="shared" si="2"/>
        <v>67.37057519696272</v>
      </c>
      <c r="J45" s="191">
        <f>J46+J47</f>
        <v>0</v>
      </c>
      <c r="K45" s="191">
        <f>K46+K47</f>
        <v>0</v>
      </c>
      <c r="L45" s="143" t="e">
        <f t="shared" si="3"/>
        <v>#DIV/0!</v>
      </c>
      <c r="M45" s="191">
        <f>M46+M47</f>
        <v>33757.3</v>
      </c>
      <c r="N45" s="191">
        <f>N46+N47</f>
        <v>12279.5</v>
      </c>
      <c r="O45" s="143">
        <f t="shared" si="12"/>
        <v>36.37583574515734</v>
      </c>
      <c r="P45" s="191">
        <f>P46+P47</f>
        <v>0</v>
      </c>
      <c r="Q45" s="191">
        <f>Q46+Q47</f>
        <v>0</v>
      </c>
      <c r="R45" s="143" t="e">
        <f t="shared" si="4"/>
        <v>#DIV/0!</v>
      </c>
      <c r="S45" s="191">
        <f>S46+S47</f>
        <v>0</v>
      </c>
      <c r="T45" s="191">
        <f>T46+T47</f>
        <v>0</v>
      </c>
      <c r="U45" s="143" t="e">
        <f t="shared" si="5"/>
        <v>#DIV/0!</v>
      </c>
      <c r="V45" s="191">
        <f>V46+V47</f>
        <v>0</v>
      </c>
      <c r="W45" s="191">
        <f>W46+W47</f>
        <v>0</v>
      </c>
      <c r="X45" s="143" t="e">
        <f t="shared" si="6"/>
        <v>#DIV/0!</v>
      </c>
      <c r="Y45" s="191">
        <f>Y46+Y47</f>
        <v>0</v>
      </c>
      <c r="Z45" s="191">
        <f>Z46+Z47</f>
        <v>0</v>
      </c>
      <c r="AA45" s="143" t="e">
        <f>Z45/Y45*100</f>
        <v>#DIV/0!</v>
      </c>
      <c r="AB45" s="191">
        <f>AB46+AB47</f>
        <v>0</v>
      </c>
      <c r="AC45" s="191">
        <f>AC46+AC47</f>
        <v>0</v>
      </c>
      <c r="AD45" s="164" t="e">
        <f>AC45/AB45*100</f>
        <v>#DIV/0!</v>
      </c>
      <c r="AE45" s="191">
        <f>AE46+AE47</f>
        <v>0</v>
      </c>
      <c r="AF45" s="191">
        <f>AF46+AF47</f>
        <v>0</v>
      </c>
      <c r="AG45" s="168" t="e">
        <f>AF45/AE45*100</f>
        <v>#DIV/0!</v>
      </c>
      <c r="AH45" s="191">
        <f>AH46+AH47</f>
        <v>0</v>
      </c>
      <c r="AI45" s="191">
        <f>AI46+AI47</f>
        <v>0</v>
      </c>
      <c r="AJ45" s="191">
        <f>AJ46+AJ47</f>
        <v>0</v>
      </c>
      <c r="AK45" s="191">
        <f>AK46+AK47</f>
        <v>0</v>
      </c>
      <c r="AL45" s="143" t="e">
        <f>AK45/AJ45*100</f>
        <v>#DIV/0!</v>
      </c>
      <c r="AM45" s="191">
        <f aca="true" t="shared" si="28" ref="AM45:AT45">AM46+AM47</f>
        <v>0</v>
      </c>
      <c r="AN45" s="191">
        <f t="shared" si="28"/>
        <v>0</v>
      </c>
      <c r="AO45" s="191">
        <f t="shared" si="28"/>
        <v>0</v>
      </c>
      <c r="AP45" s="191">
        <f t="shared" si="28"/>
        <v>0</v>
      </c>
      <c r="AQ45" s="191">
        <f>AQ46+AQ47</f>
        <v>0</v>
      </c>
      <c r="AR45" s="191">
        <f>AR46+AR47</f>
        <v>0</v>
      </c>
      <c r="AS45" s="191">
        <f t="shared" si="28"/>
        <v>33757.3</v>
      </c>
      <c r="AT45" s="191">
        <f t="shared" si="28"/>
        <v>12279.5</v>
      </c>
      <c r="AU45" s="143">
        <f t="shared" si="27"/>
        <v>36.37583574515734</v>
      </c>
      <c r="AV45" s="200">
        <f>AV46+AV47</f>
        <v>21477.8</v>
      </c>
      <c r="AW45" s="200">
        <f>AW46+AW47</f>
        <v>12258.8</v>
      </c>
      <c r="AX45" s="145">
        <f t="shared" si="7"/>
        <v>33757.3</v>
      </c>
      <c r="AY45" s="145">
        <f t="shared" si="8"/>
        <v>12279.5</v>
      </c>
      <c r="AZ45" s="145">
        <f t="shared" si="9"/>
        <v>12258.800000000003</v>
      </c>
    </row>
    <row r="46" spans="1:52" s="157" customFormat="1" ht="34.5" customHeight="1">
      <c r="A46" s="152"/>
      <c r="B46" s="142" t="s">
        <v>64</v>
      </c>
      <c r="C46" s="166">
        <v>-9219</v>
      </c>
      <c r="D46" s="167">
        <v>14319</v>
      </c>
      <c r="E46" s="167">
        <v>0</v>
      </c>
      <c r="F46" s="165">
        <f t="shared" si="1"/>
        <v>0</v>
      </c>
      <c r="G46" s="167">
        <v>16648</v>
      </c>
      <c r="H46" s="167">
        <v>11034</v>
      </c>
      <c r="I46" s="165">
        <f t="shared" si="2"/>
        <v>66.27823161941375</v>
      </c>
      <c r="J46" s="167"/>
      <c r="K46" s="167"/>
      <c r="L46" s="143" t="e">
        <f t="shared" si="3"/>
        <v>#DIV/0!</v>
      </c>
      <c r="M46" s="167">
        <f>D46+G46+J46</f>
        <v>30967</v>
      </c>
      <c r="N46" s="167">
        <f>E46+H46+K46</f>
        <v>11034</v>
      </c>
      <c r="O46" s="143">
        <f t="shared" si="12"/>
        <v>35.63147867084315</v>
      </c>
      <c r="P46" s="167"/>
      <c r="Q46" s="167"/>
      <c r="R46" s="143" t="e">
        <f t="shared" si="4"/>
        <v>#DIV/0!</v>
      </c>
      <c r="S46" s="167"/>
      <c r="T46" s="167"/>
      <c r="U46" s="143" t="e">
        <f t="shared" si="5"/>
        <v>#DIV/0!</v>
      </c>
      <c r="V46" s="167"/>
      <c r="W46" s="167"/>
      <c r="X46" s="143" t="e">
        <f t="shared" si="6"/>
        <v>#DIV/0!</v>
      </c>
      <c r="Y46" s="167">
        <f>P46+S46+V46</f>
        <v>0</v>
      </c>
      <c r="Z46" s="167">
        <f>Q46+T46+W46</f>
        <v>0</v>
      </c>
      <c r="AA46" s="143" t="e">
        <f>Z46/Y46*100</f>
        <v>#DIV/0!</v>
      </c>
      <c r="AB46" s="167"/>
      <c r="AC46" s="167"/>
      <c r="AD46" s="143" t="e">
        <f>AC46/AB46*100</f>
        <v>#DIV/0!</v>
      </c>
      <c r="AE46" s="171"/>
      <c r="AF46" s="171"/>
      <c r="AG46" s="168"/>
      <c r="AH46" s="171"/>
      <c r="AI46" s="171"/>
      <c r="AJ46" s="167">
        <f>AB46+AE46+AH46</f>
        <v>0</v>
      </c>
      <c r="AK46" s="167">
        <f>AC46+AF46+AI46</f>
        <v>0</v>
      </c>
      <c r="AL46" s="143" t="e">
        <f>AK46/AJ46*100</f>
        <v>#DIV/0!</v>
      </c>
      <c r="AM46" s="171"/>
      <c r="AN46" s="171"/>
      <c r="AO46" s="171"/>
      <c r="AP46" s="171"/>
      <c r="AQ46" s="171"/>
      <c r="AR46" s="171"/>
      <c r="AS46" s="167">
        <f>M46+Y46+AJ46+AM46+AO46+AQ46</f>
        <v>30967</v>
      </c>
      <c r="AT46" s="167">
        <f>N46+Z46+AK46+AN46+AP46+AR46</f>
        <v>11034</v>
      </c>
      <c r="AU46" s="167">
        <f t="shared" si="27"/>
        <v>35.63147867084315</v>
      </c>
      <c r="AV46" s="143">
        <f>AS46-AT46</f>
        <v>19933</v>
      </c>
      <c r="AW46" s="169">
        <f>C46+AS46-AT46</f>
        <v>10714</v>
      </c>
      <c r="AX46" s="145">
        <f t="shared" si="7"/>
        <v>30967</v>
      </c>
      <c r="AY46" s="145">
        <f t="shared" si="8"/>
        <v>11034</v>
      </c>
      <c r="AZ46" s="145">
        <f t="shared" si="9"/>
        <v>10714</v>
      </c>
    </row>
    <row r="47" spans="1:52" s="157" customFormat="1" ht="34.5" customHeight="1">
      <c r="A47" s="152"/>
      <c r="B47" s="142" t="s">
        <v>65</v>
      </c>
      <c r="C47" s="166">
        <v>0</v>
      </c>
      <c r="D47" s="167">
        <v>1211.5</v>
      </c>
      <c r="E47" s="167">
        <v>0</v>
      </c>
      <c r="F47" s="165">
        <v>9.5</v>
      </c>
      <c r="G47" s="171">
        <v>1578.8</v>
      </c>
      <c r="H47" s="171">
        <v>1245.5</v>
      </c>
      <c r="I47" s="165">
        <f t="shared" si="2"/>
        <v>78.88902964276666</v>
      </c>
      <c r="J47" s="171"/>
      <c r="K47" s="171"/>
      <c r="L47" s="143" t="e">
        <f>K47/J47*100</f>
        <v>#DIV/0!</v>
      </c>
      <c r="M47" s="167">
        <f>D47+G47+J47</f>
        <v>2790.3</v>
      </c>
      <c r="N47" s="167">
        <f>E47+H47+K47</f>
        <v>1245.5</v>
      </c>
      <c r="O47" s="143">
        <f t="shared" si="12"/>
        <v>44.63677740744723</v>
      </c>
      <c r="P47" s="171"/>
      <c r="Q47" s="171"/>
      <c r="R47" s="143" t="e">
        <f t="shared" si="4"/>
        <v>#DIV/0!</v>
      </c>
      <c r="S47" s="171"/>
      <c r="T47" s="171"/>
      <c r="U47" s="143" t="e">
        <f t="shared" si="5"/>
        <v>#DIV/0!</v>
      </c>
      <c r="V47" s="171"/>
      <c r="W47" s="171"/>
      <c r="X47" s="143" t="e">
        <f t="shared" si="6"/>
        <v>#DIV/0!</v>
      </c>
      <c r="Y47" s="167">
        <f>P47+S47+V47</f>
        <v>0</v>
      </c>
      <c r="Z47" s="167">
        <f>Q47+T47+W47</f>
        <v>0</v>
      </c>
      <c r="AA47" s="143"/>
      <c r="AB47" s="171"/>
      <c r="AC47" s="171"/>
      <c r="AD47" s="143" t="e">
        <f>AC47/AB47*100</f>
        <v>#DIV/0!</v>
      </c>
      <c r="AE47" s="171"/>
      <c r="AF47" s="171"/>
      <c r="AG47" s="201"/>
      <c r="AH47" s="171"/>
      <c r="AI47" s="171"/>
      <c r="AJ47" s="167">
        <f>AB47+AE47+AH47</f>
        <v>0</v>
      </c>
      <c r="AK47" s="167">
        <f>AC47+AF47+AI47</f>
        <v>0</v>
      </c>
      <c r="AL47" s="143" t="e">
        <f>AK47/AJ47*100</f>
        <v>#DIV/0!</v>
      </c>
      <c r="AM47" s="171"/>
      <c r="AN47" s="171"/>
      <c r="AO47" s="171"/>
      <c r="AP47" s="171"/>
      <c r="AQ47" s="171"/>
      <c r="AR47" s="171"/>
      <c r="AS47" s="167">
        <f>M47+Y47+AJ47+AM47+AO47+AQ47</f>
        <v>2790.3</v>
      </c>
      <c r="AT47" s="167">
        <f>N47+Z47+AK47+AN47+AP47+AR47</f>
        <v>1245.5</v>
      </c>
      <c r="AU47" s="167">
        <f>AT47/AS47*100</f>
        <v>44.63677740744723</v>
      </c>
      <c r="AV47" s="143">
        <f>AS47-AT47</f>
        <v>1544.8000000000002</v>
      </c>
      <c r="AW47" s="169">
        <f>C47+AS47-AT47</f>
        <v>1544.8000000000002</v>
      </c>
      <c r="AX47" s="145">
        <f t="shared" si="7"/>
        <v>2790.3</v>
      </c>
      <c r="AY47" s="145">
        <f t="shared" si="8"/>
        <v>1245.5</v>
      </c>
      <c r="AZ47" s="145">
        <f t="shared" si="9"/>
        <v>1544.8000000000002</v>
      </c>
    </row>
    <row r="48" spans="1:52" s="157" customFormat="1" ht="34.5" customHeight="1">
      <c r="A48" s="152"/>
      <c r="B48" s="142" t="s">
        <v>101</v>
      </c>
      <c r="C48" s="166"/>
      <c r="D48" s="167"/>
      <c r="E48" s="167"/>
      <c r="F48" s="165"/>
      <c r="G48" s="171"/>
      <c r="H48" s="171"/>
      <c r="I48" s="165"/>
      <c r="J48" s="171"/>
      <c r="K48" s="171"/>
      <c r="L48" s="143"/>
      <c r="M48" s="167"/>
      <c r="N48" s="167"/>
      <c r="O48" s="143"/>
      <c r="P48" s="171"/>
      <c r="Q48" s="171"/>
      <c r="R48" s="143"/>
      <c r="S48" s="171"/>
      <c r="T48" s="171"/>
      <c r="U48" s="143"/>
      <c r="V48" s="171"/>
      <c r="W48" s="171"/>
      <c r="X48" s="143"/>
      <c r="Y48" s="167"/>
      <c r="Z48" s="167"/>
      <c r="AA48" s="143"/>
      <c r="AB48" s="171"/>
      <c r="AC48" s="171"/>
      <c r="AD48" s="143"/>
      <c r="AE48" s="171"/>
      <c r="AF48" s="171"/>
      <c r="AG48" s="201"/>
      <c r="AH48" s="171"/>
      <c r="AI48" s="171"/>
      <c r="AJ48" s="167"/>
      <c r="AK48" s="167"/>
      <c r="AL48" s="143"/>
      <c r="AM48" s="171"/>
      <c r="AN48" s="171"/>
      <c r="AO48" s="171"/>
      <c r="AP48" s="171"/>
      <c r="AQ48" s="171"/>
      <c r="AR48" s="171"/>
      <c r="AS48" s="167"/>
      <c r="AT48" s="167"/>
      <c r="AU48" s="167"/>
      <c r="AV48" s="143"/>
      <c r="AW48" s="169"/>
      <c r="AX48" s="145"/>
      <c r="AY48" s="145"/>
      <c r="AZ48" s="145"/>
    </row>
    <row r="49" spans="1:52" s="157" customFormat="1" ht="34.5" customHeight="1">
      <c r="A49" s="152"/>
      <c r="B49" s="199" t="s">
        <v>60</v>
      </c>
      <c r="C49" s="191">
        <f>C7+C45</f>
        <v>-13809.8</v>
      </c>
      <c r="D49" s="191">
        <f>D7+D45</f>
        <v>24873.600000000002</v>
      </c>
      <c r="E49" s="191">
        <f>E7+E45</f>
        <v>478.09999999999997</v>
      </c>
      <c r="F49" s="165">
        <v>9.5</v>
      </c>
      <c r="G49" s="191">
        <f>G7+G45</f>
        <v>27529.600000000002</v>
      </c>
      <c r="H49" s="191">
        <f>H7+H45</f>
        <v>20441</v>
      </c>
      <c r="I49" s="165">
        <f t="shared" si="2"/>
        <v>74.25098802743229</v>
      </c>
      <c r="J49" s="191">
        <f>J7+J45</f>
        <v>0</v>
      </c>
      <c r="K49" s="191">
        <f>K7+K45</f>
        <v>0</v>
      </c>
      <c r="L49" s="143" t="e">
        <f t="shared" si="3"/>
        <v>#DIV/0!</v>
      </c>
      <c r="M49" s="191">
        <f>M7+M45</f>
        <v>52403.2</v>
      </c>
      <c r="N49" s="191">
        <f>N7+N45</f>
        <v>20919.1</v>
      </c>
      <c r="O49" s="143">
        <f t="shared" si="12"/>
        <v>39.919508732291156</v>
      </c>
      <c r="P49" s="191">
        <f>P7+P45</f>
        <v>0</v>
      </c>
      <c r="Q49" s="191">
        <f>Q7+Q45</f>
        <v>0</v>
      </c>
      <c r="R49" s="143" t="e">
        <f t="shared" si="4"/>
        <v>#DIV/0!</v>
      </c>
      <c r="S49" s="191">
        <f>S7+S45</f>
        <v>0</v>
      </c>
      <c r="T49" s="191">
        <f>T7+T45</f>
        <v>0</v>
      </c>
      <c r="U49" s="143" t="e">
        <f t="shared" si="5"/>
        <v>#DIV/0!</v>
      </c>
      <c r="V49" s="191">
        <f>V7+V45</f>
        <v>0</v>
      </c>
      <c r="W49" s="191">
        <f>W7+W45</f>
        <v>0</v>
      </c>
      <c r="X49" s="143" t="e">
        <f t="shared" si="6"/>
        <v>#DIV/0!</v>
      </c>
      <c r="Y49" s="191">
        <f>Y7+Y45</f>
        <v>0</v>
      </c>
      <c r="Z49" s="191">
        <f>Z7+Z45</f>
        <v>0</v>
      </c>
      <c r="AA49" s="143" t="e">
        <f>Z49/Y49*100</f>
        <v>#DIV/0!</v>
      </c>
      <c r="AB49" s="191">
        <f aca="true" t="shared" si="29" ref="AB49:AI49">AB7+AB45</f>
        <v>0</v>
      </c>
      <c r="AC49" s="191">
        <f t="shared" si="29"/>
        <v>0</v>
      </c>
      <c r="AD49" s="191" t="e">
        <f t="shared" si="29"/>
        <v>#DIV/0!</v>
      </c>
      <c r="AE49" s="191">
        <f t="shared" si="29"/>
        <v>0</v>
      </c>
      <c r="AF49" s="191">
        <f t="shared" si="29"/>
        <v>0</v>
      </c>
      <c r="AG49" s="191" t="e">
        <f t="shared" si="29"/>
        <v>#DIV/0!</v>
      </c>
      <c r="AH49" s="191">
        <f t="shared" si="29"/>
        <v>0</v>
      </c>
      <c r="AI49" s="191">
        <f t="shared" si="29"/>
        <v>0</v>
      </c>
      <c r="AJ49" s="191">
        <f aca="true" t="shared" si="30" ref="AJ49:AR49">AJ7+AJ45</f>
        <v>0</v>
      </c>
      <c r="AK49" s="191">
        <f t="shared" si="30"/>
        <v>0</v>
      </c>
      <c r="AL49" s="191" t="e">
        <f t="shared" si="30"/>
        <v>#DIV/0!</v>
      </c>
      <c r="AM49" s="191">
        <f t="shared" si="30"/>
        <v>0</v>
      </c>
      <c r="AN49" s="191">
        <f t="shared" si="30"/>
        <v>0</v>
      </c>
      <c r="AO49" s="191">
        <f t="shared" si="30"/>
        <v>0</v>
      </c>
      <c r="AP49" s="191">
        <f t="shared" si="30"/>
        <v>0</v>
      </c>
      <c r="AQ49" s="191">
        <f t="shared" si="30"/>
        <v>0</v>
      </c>
      <c r="AR49" s="191">
        <f t="shared" si="30"/>
        <v>0</v>
      </c>
      <c r="AS49" s="191">
        <f>AS7+AS45</f>
        <v>52403.2</v>
      </c>
      <c r="AT49" s="191">
        <f>AT7+AT45</f>
        <v>20919.1</v>
      </c>
      <c r="AU49" s="167">
        <f>AT49/AS49*100</f>
        <v>39.919508732291156</v>
      </c>
      <c r="AV49" s="191">
        <f>AV7+AV45</f>
        <v>31484.100000000002</v>
      </c>
      <c r="AW49" s="191">
        <f>AW7+AW45</f>
        <v>17674.3</v>
      </c>
      <c r="AX49" s="145">
        <f t="shared" si="7"/>
        <v>52403.2</v>
      </c>
      <c r="AY49" s="145">
        <f t="shared" si="8"/>
        <v>20919.1</v>
      </c>
      <c r="AZ49" s="145">
        <f t="shared" si="9"/>
        <v>17674.299999999996</v>
      </c>
    </row>
    <row r="50" spans="1:49" s="205" customFormat="1" ht="65.25" customHeight="1">
      <c r="A50" s="264" t="s">
        <v>66</v>
      </c>
      <c r="B50" s="264"/>
      <c r="C50" s="264"/>
      <c r="D50" s="202"/>
      <c r="E50" s="202"/>
      <c r="F50" s="202"/>
      <c r="G50" s="203"/>
      <c r="H50" s="203"/>
      <c r="I50" s="204"/>
      <c r="J50" s="203"/>
      <c r="K50" s="203"/>
      <c r="L50" s="204"/>
      <c r="M50" s="204"/>
      <c r="N50" s="204"/>
      <c r="O50" s="204"/>
      <c r="P50" s="203"/>
      <c r="Q50" s="203"/>
      <c r="R50" s="204"/>
      <c r="S50" s="203"/>
      <c r="T50" s="203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3"/>
      <c r="AT50" s="203"/>
      <c r="AU50" s="204"/>
      <c r="AV50" s="203"/>
      <c r="AW50" s="203" t="s">
        <v>67</v>
      </c>
    </row>
    <row r="51" spans="1:49" s="157" customFormat="1" ht="18.75" customHeight="1" hidden="1">
      <c r="A51" s="152"/>
      <c r="B51" s="157" t="s">
        <v>14</v>
      </c>
      <c r="C51" s="206"/>
      <c r="D51" s="207"/>
      <c r="E51" s="207"/>
      <c r="F51" s="207"/>
      <c r="G51" s="208"/>
      <c r="H51" s="208"/>
      <c r="I51" s="209"/>
      <c r="J51" s="208"/>
      <c r="K51" s="208"/>
      <c r="L51" s="209"/>
      <c r="M51" s="209"/>
      <c r="N51" s="209"/>
      <c r="O51" s="209"/>
      <c r="P51" s="208"/>
      <c r="Q51" s="208"/>
      <c r="R51" s="209"/>
      <c r="S51" s="208"/>
      <c r="T51" s="208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8"/>
      <c r="AT51" s="208"/>
      <c r="AU51" s="209"/>
      <c r="AV51" s="208"/>
      <c r="AW51" s="208"/>
    </row>
    <row r="52" spans="1:49" s="157" customFormat="1" ht="15.75" customHeight="1" hidden="1">
      <c r="A52" s="153"/>
      <c r="C52" s="206"/>
      <c r="D52" s="210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11"/>
    </row>
    <row r="53" spans="1:49" s="157" customFormat="1" ht="18.75" customHeight="1" hidden="1">
      <c r="A53" s="152"/>
      <c r="B53" s="157" t="s">
        <v>15</v>
      </c>
      <c r="C53" s="206"/>
      <c r="D53" s="210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11"/>
    </row>
    <row r="54" spans="1:49" s="216" customFormat="1" ht="43.5" customHeight="1">
      <c r="A54" s="154"/>
      <c r="B54" s="261" t="s">
        <v>19</v>
      </c>
      <c r="C54" s="261"/>
      <c r="D54" s="261"/>
      <c r="E54" s="212"/>
      <c r="F54" s="213"/>
      <c r="G54" s="214"/>
      <c r="H54" s="214"/>
      <c r="I54" s="215"/>
      <c r="J54" s="214"/>
      <c r="K54" s="214"/>
      <c r="L54" s="215"/>
      <c r="M54" s="215"/>
      <c r="N54" s="215"/>
      <c r="O54" s="215"/>
      <c r="P54" s="214"/>
      <c r="Q54" s="214"/>
      <c r="R54" s="215"/>
      <c r="S54" s="214"/>
      <c r="T54" s="214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4"/>
      <c r="AT54" s="214"/>
      <c r="AU54" s="215"/>
      <c r="AV54" s="214"/>
      <c r="AW54" s="214"/>
    </row>
    <row r="55" spans="2:49" ht="42" customHeight="1" hidden="1">
      <c r="B55" s="260" t="s">
        <v>6</v>
      </c>
      <c r="C55" s="260"/>
      <c r="D55" s="157"/>
      <c r="E55" s="157"/>
      <c r="G55" s="217"/>
      <c r="H55" s="217"/>
      <c r="I55" s="213"/>
      <c r="J55" s="217"/>
      <c r="K55" s="217"/>
      <c r="L55" s="213"/>
      <c r="M55" s="213"/>
      <c r="N55" s="213"/>
      <c r="O55" s="213"/>
      <c r="P55" s="217"/>
      <c r="Q55" s="217"/>
      <c r="R55" s="213"/>
      <c r="S55" s="217"/>
      <c r="T55" s="217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5"/>
      <c r="AF55" s="215"/>
      <c r="AG55" s="215"/>
      <c r="AH55" s="215"/>
      <c r="AI55" s="215"/>
      <c r="AJ55" s="213"/>
      <c r="AK55" s="213"/>
      <c r="AL55" s="213"/>
      <c r="AM55" s="215"/>
      <c r="AN55" s="215"/>
      <c r="AO55" s="215"/>
      <c r="AP55" s="215"/>
      <c r="AQ55" s="215"/>
      <c r="AR55" s="215"/>
      <c r="AS55" s="212"/>
      <c r="AT55" s="212"/>
      <c r="AU55" s="213"/>
      <c r="AV55" s="217"/>
      <c r="AW55" s="218" t="s">
        <v>18</v>
      </c>
    </row>
    <row r="56" spans="1:53" ht="73.5" customHeight="1" hidden="1">
      <c r="A56" s="259" t="s">
        <v>17</v>
      </c>
      <c r="B56" s="259"/>
      <c r="C56" s="259"/>
      <c r="D56" s="219"/>
      <c r="E56" s="219"/>
      <c r="F56" s="215"/>
      <c r="G56" s="208"/>
      <c r="H56" s="208"/>
      <c r="I56" s="209"/>
      <c r="J56" s="208"/>
      <c r="K56" s="208"/>
      <c r="L56" s="209"/>
      <c r="M56" s="209"/>
      <c r="N56" s="209"/>
      <c r="O56" s="209"/>
      <c r="P56" s="208"/>
      <c r="Q56" s="208"/>
      <c r="R56" s="209"/>
      <c r="S56" s="208"/>
      <c r="T56" s="208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13"/>
      <c r="AF56" s="213"/>
      <c r="AG56" s="213"/>
      <c r="AH56" s="213"/>
      <c r="AI56" s="213"/>
      <c r="AJ56" s="209"/>
      <c r="AK56" s="209"/>
      <c r="AL56" s="209"/>
      <c r="AM56" s="213"/>
      <c r="AN56" s="213"/>
      <c r="AO56" s="213"/>
      <c r="AP56" s="213"/>
      <c r="AQ56" s="213"/>
      <c r="AR56" s="213"/>
      <c r="AS56" s="208"/>
      <c r="AT56" s="208"/>
      <c r="AU56" s="209"/>
      <c r="AV56" s="208"/>
      <c r="AW56" s="208"/>
      <c r="AX56" s="214"/>
      <c r="AY56" s="214"/>
      <c r="AZ56" s="215"/>
      <c r="BA56" s="220" t="s">
        <v>16</v>
      </c>
    </row>
    <row r="57" spans="3:49" ht="45" customHeight="1">
      <c r="C57" s="221"/>
      <c r="D57" s="222"/>
      <c r="E57" s="222"/>
      <c r="F57" s="223"/>
      <c r="G57" s="167">
        <v>142.7</v>
      </c>
      <c r="H57" s="167">
        <v>103.3</v>
      </c>
      <c r="I57" s="143"/>
      <c r="J57" s="167">
        <v>142.7</v>
      </c>
      <c r="K57" s="167">
        <v>103.3</v>
      </c>
      <c r="L57" s="143"/>
      <c r="M57" s="143"/>
      <c r="N57" s="143"/>
      <c r="O57" s="143"/>
      <c r="P57" s="167">
        <v>142.7</v>
      </c>
      <c r="Q57" s="167">
        <v>103.3</v>
      </c>
      <c r="R57" s="143"/>
      <c r="S57" s="167">
        <v>142.7</v>
      </c>
      <c r="T57" s="167">
        <v>103.3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209"/>
      <c r="AF57" s="209"/>
      <c r="AG57" s="209"/>
      <c r="AH57" s="209"/>
      <c r="AI57" s="209"/>
      <c r="AJ57" s="143"/>
      <c r="AK57" s="143"/>
      <c r="AL57" s="143"/>
      <c r="AM57" s="209"/>
      <c r="AN57" s="209"/>
      <c r="AO57" s="209"/>
      <c r="AP57" s="209"/>
      <c r="AQ57" s="209"/>
      <c r="AR57" s="209"/>
      <c r="AS57" s="167">
        <v>1154.2</v>
      </c>
      <c r="AT57" s="167">
        <v>1213.3</v>
      </c>
      <c r="AU57" s="143"/>
      <c r="AV57" s="167"/>
      <c r="AW57" s="169">
        <f>C57+D57-E57</f>
        <v>0</v>
      </c>
    </row>
    <row r="58" spans="2:49" ht="18.75">
      <c r="B58" s="146" t="s">
        <v>7</v>
      </c>
      <c r="C58" s="224">
        <v>0</v>
      </c>
      <c r="D58" s="167"/>
      <c r="E58" s="167"/>
      <c r="F58" s="143"/>
      <c r="G58" s="208"/>
      <c r="H58" s="208"/>
      <c r="I58" s="209"/>
      <c r="J58" s="208"/>
      <c r="K58" s="208"/>
      <c r="L58" s="209"/>
      <c r="M58" s="209"/>
      <c r="N58" s="209"/>
      <c r="O58" s="209"/>
      <c r="P58" s="208"/>
      <c r="Q58" s="208"/>
      <c r="R58" s="209"/>
      <c r="S58" s="208"/>
      <c r="T58" s="208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143"/>
      <c r="AF58" s="143"/>
      <c r="AG58" s="143"/>
      <c r="AH58" s="207"/>
      <c r="AI58" s="207"/>
      <c r="AJ58" s="209"/>
      <c r="AK58" s="209"/>
      <c r="AL58" s="209"/>
      <c r="AM58" s="207"/>
      <c r="AN58" s="207"/>
      <c r="AO58" s="207"/>
      <c r="AP58" s="207"/>
      <c r="AQ58" s="207"/>
      <c r="AR58" s="207"/>
      <c r="AS58" s="208">
        <v>1415.7</v>
      </c>
      <c r="AT58" s="208">
        <v>1436.1</v>
      </c>
      <c r="AU58" s="209"/>
      <c r="AV58" s="208"/>
      <c r="AW58" s="169">
        <f>C58+D58-E58</f>
        <v>0</v>
      </c>
    </row>
    <row r="59" spans="2:49" ht="18.75">
      <c r="B59" s="146" t="s">
        <v>8</v>
      </c>
      <c r="C59" s="225">
        <v>-3.7</v>
      </c>
      <c r="D59" s="214">
        <v>552.6</v>
      </c>
      <c r="E59" s="214">
        <v>564.7</v>
      </c>
      <c r="F59" s="215"/>
      <c r="G59" s="208"/>
      <c r="H59" s="208"/>
      <c r="I59" s="209"/>
      <c r="J59" s="208"/>
      <c r="K59" s="208"/>
      <c r="L59" s="209"/>
      <c r="M59" s="209"/>
      <c r="N59" s="209"/>
      <c r="O59" s="209"/>
      <c r="P59" s="208"/>
      <c r="Q59" s="208"/>
      <c r="R59" s="209"/>
      <c r="S59" s="208"/>
      <c r="T59" s="208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8"/>
      <c r="AT59" s="208"/>
      <c r="AU59" s="209"/>
      <c r="AV59" s="208"/>
      <c r="AW59" s="208"/>
    </row>
    <row r="60" spans="3:49" ht="24.75" customHeight="1">
      <c r="C60" s="225"/>
      <c r="D60" s="214"/>
      <c r="E60" s="214"/>
      <c r="F60" s="215"/>
      <c r="G60" s="208"/>
      <c r="H60" s="208"/>
      <c r="I60" s="209"/>
      <c r="J60" s="208"/>
      <c r="K60" s="208"/>
      <c r="L60" s="209"/>
      <c r="M60" s="209"/>
      <c r="N60" s="209"/>
      <c r="O60" s="209"/>
      <c r="P60" s="208"/>
      <c r="Q60" s="208"/>
      <c r="R60" s="209"/>
      <c r="S60" s="208"/>
      <c r="T60" s="208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8"/>
      <c r="AT60" s="208"/>
      <c r="AU60" s="209"/>
      <c r="AV60" s="208"/>
      <c r="AW60" s="208"/>
    </row>
    <row r="61" spans="3:49" ht="24.75" customHeight="1">
      <c r="C61" s="225"/>
      <c r="D61" s="214"/>
      <c r="E61" s="214"/>
      <c r="F61" s="215"/>
      <c r="G61" s="208"/>
      <c r="H61" s="208"/>
      <c r="I61" s="209"/>
      <c r="J61" s="208"/>
      <c r="K61" s="208"/>
      <c r="L61" s="209"/>
      <c r="M61" s="209"/>
      <c r="N61" s="209"/>
      <c r="O61" s="209"/>
      <c r="P61" s="208"/>
      <c r="Q61" s="208"/>
      <c r="R61" s="209"/>
      <c r="S61" s="208"/>
      <c r="T61" s="208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8"/>
      <c r="AT61" s="208"/>
      <c r="AU61" s="209"/>
      <c r="AV61" s="208"/>
      <c r="AW61" s="208">
        <f>AW9+AW17+AW20+AW26+AW38+AW40+AW42</f>
        <v>372.7999999999999</v>
      </c>
    </row>
    <row r="62" spans="2:49" ht="18.75">
      <c r="B62" s="146" t="s">
        <v>9</v>
      </c>
      <c r="C62" s="225">
        <f>C9+C17+C20+C26+C38+C40+C42</f>
        <v>-1024</v>
      </c>
      <c r="D62" s="214"/>
      <c r="E62" s="214"/>
      <c r="F62" s="215"/>
      <c r="G62" s="208"/>
      <c r="H62" s="208"/>
      <c r="I62" s="209"/>
      <c r="J62" s="208"/>
      <c r="K62" s="208"/>
      <c r="L62" s="209"/>
      <c r="M62" s="209"/>
      <c r="N62" s="209"/>
      <c r="O62" s="209"/>
      <c r="P62" s="208"/>
      <c r="Q62" s="208"/>
      <c r="R62" s="209"/>
      <c r="S62" s="208"/>
      <c r="T62" s="208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8"/>
      <c r="AT62" s="208"/>
      <c r="AU62" s="209"/>
      <c r="AV62" s="208"/>
      <c r="AW62" s="208">
        <f>AW11+AW13+AW14+AW16+AW18+AW19+AW25</f>
        <v>983.6999999999999</v>
      </c>
    </row>
    <row r="63" spans="2:49" ht="18.75">
      <c r="B63" s="146" t="s">
        <v>10</v>
      </c>
      <c r="C63" s="225">
        <f>C11+C13+C14+C16+C18+C19+C25</f>
        <v>75</v>
      </c>
      <c r="D63" s="214"/>
      <c r="E63" s="214"/>
      <c r="F63" s="215"/>
      <c r="G63" s="208"/>
      <c r="H63" s="208"/>
      <c r="I63" s="209"/>
      <c r="J63" s="208"/>
      <c r="K63" s="208"/>
      <c r="L63" s="209"/>
      <c r="M63" s="209"/>
      <c r="N63" s="209"/>
      <c r="O63" s="209"/>
      <c r="P63" s="208"/>
      <c r="Q63" s="208"/>
      <c r="R63" s="209"/>
      <c r="S63" s="208"/>
      <c r="T63" s="208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8"/>
      <c r="AT63" s="208"/>
      <c r="AU63" s="209"/>
      <c r="AV63" s="208"/>
      <c r="AW63" s="208"/>
    </row>
    <row r="64" spans="7:49" ht="24.75" customHeight="1">
      <c r="G64" s="208"/>
      <c r="H64" s="208"/>
      <c r="I64" s="209"/>
      <c r="J64" s="208"/>
      <c r="K64" s="208"/>
      <c r="L64" s="209"/>
      <c r="M64" s="209"/>
      <c r="N64" s="209"/>
      <c r="O64" s="209"/>
      <c r="P64" s="208"/>
      <c r="Q64" s="208"/>
      <c r="R64" s="209"/>
      <c r="S64" s="208"/>
      <c r="T64" s="208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8"/>
      <c r="AT64" s="208"/>
      <c r="AU64" s="209"/>
      <c r="AV64" s="208"/>
      <c r="AW64" s="208"/>
    </row>
    <row r="65" spans="7:49" ht="24.75" customHeight="1">
      <c r="G65" s="208"/>
      <c r="H65" s="208"/>
      <c r="I65" s="209"/>
      <c r="J65" s="208"/>
      <c r="K65" s="208"/>
      <c r="L65" s="209"/>
      <c r="M65" s="209"/>
      <c r="N65" s="209"/>
      <c r="O65" s="209"/>
      <c r="P65" s="208"/>
      <c r="Q65" s="208"/>
      <c r="R65" s="209"/>
      <c r="S65" s="208"/>
      <c r="T65" s="208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8"/>
      <c r="AT65" s="208"/>
      <c r="AU65" s="209"/>
      <c r="AV65" s="208"/>
      <c r="AW65" s="208"/>
    </row>
    <row r="66" spans="7:49" ht="24.75" customHeight="1">
      <c r="G66" s="208"/>
      <c r="H66" s="208"/>
      <c r="I66" s="209"/>
      <c r="J66" s="208"/>
      <c r="K66" s="208"/>
      <c r="L66" s="209"/>
      <c r="M66" s="209"/>
      <c r="N66" s="209"/>
      <c r="O66" s="209"/>
      <c r="P66" s="208"/>
      <c r="Q66" s="208"/>
      <c r="R66" s="209"/>
      <c r="S66" s="208"/>
      <c r="T66" s="208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8"/>
      <c r="AT66" s="208"/>
      <c r="AU66" s="209"/>
      <c r="AV66" s="208"/>
      <c r="AW66" s="208"/>
    </row>
    <row r="67" spans="7:49" ht="24.75" customHeight="1">
      <c r="G67" s="208"/>
      <c r="H67" s="208"/>
      <c r="I67" s="209"/>
      <c r="J67" s="208"/>
      <c r="K67" s="208"/>
      <c r="L67" s="209"/>
      <c r="M67" s="209"/>
      <c r="N67" s="209"/>
      <c r="O67" s="209"/>
      <c r="P67" s="208"/>
      <c r="Q67" s="208"/>
      <c r="R67" s="209"/>
      <c r="S67" s="208"/>
      <c r="T67" s="208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8"/>
      <c r="AT67" s="208"/>
      <c r="AU67" s="209"/>
      <c r="AV67" s="208"/>
      <c r="AW67" s="208"/>
    </row>
    <row r="68" spans="7:49" ht="24.75" customHeight="1">
      <c r="G68" s="208"/>
      <c r="H68" s="208"/>
      <c r="I68" s="209"/>
      <c r="J68" s="208"/>
      <c r="K68" s="208"/>
      <c r="L68" s="209"/>
      <c r="M68" s="209"/>
      <c r="N68" s="209"/>
      <c r="O68" s="209"/>
      <c r="P68" s="208"/>
      <c r="Q68" s="208"/>
      <c r="R68" s="209"/>
      <c r="S68" s="208"/>
      <c r="T68" s="208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8"/>
      <c r="AT68" s="208"/>
      <c r="AU68" s="209"/>
      <c r="AV68" s="208"/>
      <c r="AW68" s="208"/>
    </row>
    <row r="69" spans="7:49" ht="24.75" customHeight="1">
      <c r="G69" s="208"/>
      <c r="H69" s="208"/>
      <c r="I69" s="209"/>
      <c r="J69" s="208"/>
      <c r="K69" s="208"/>
      <c r="L69" s="209"/>
      <c r="M69" s="209"/>
      <c r="N69" s="209"/>
      <c r="O69" s="209"/>
      <c r="P69" s="208"/>
      <c r="Q69" s="208"/>
      <c r="R69" s="209"/>
      <c r="S69" s="208"/>
      <c r="T69" s="208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8"/>
      <c r="AT69" s="208"/>
      <c r="AU69" s="209"/>
      <c r="AV69" s="208"/>
      <c r="AW69" s="208"/>
    </row>
    <row r="70" spans="7:49" ht="24.75" customHeight="1">
      <c r="G70" s="208"/>
      <c r="H70" s="208"/>
      <c r="I70" s="209"/>
      <c r="J70" s="208"/>
      <c r="K70" s="208"/>
      <c r="L70" s="209"/>
      <c r="M70" s="209"/>
      <c r="N70" s="209"/>
      <c r="O70" s="209"/>
      <c r="P70" s="208"/>
      <c r="Q70" s="208"/>
      <c r="R70" s="209"/>
      <c r="S70" s="208"/>
      <c r="T70" s="208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8"/>
      <c r="AT70" s="208"/>
      <c r="AU70" s="209"/>
      <c r="AV70" s="208"/>
      <c r="AW70" s="208"/>
    </row>
    <row r="71" spans="7:49" ht="24.75" customHeight="1">
      <c r="G71" s="208"/>
      <c r="H71" s="208"/>
      <c r="I71" s="209"/>
      <c r="J71" s="208"/>
      <c r="K71" s="208"/>
      <c r="L71" s="209"/>
      <c r="M71" s="209"/>
      <c r="N71" s="209"/>
      <c r="O71" s="209"/>
      <c r="P71" s="208"/>
      <c r="Q71" s="208"/>
      <c r="R71" s="209"/>
      <c r="S71" s="208"/>
      <c r="T71" s="208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8"/>
      <c r="AT71" s="208"/>
      <c r="AU71" s="209"/>
      <c r="AV71" s="208"/>
      <c r="AW71" s="208"/>
    </row>
    <row r="72" spans="7:49" ht="24.75" customHeight="1">
      <c r="G72" s="208"/>
      <c r="H72" s="208"/>
      <c r="I72" s="209"/>
      <c r="J72" s="208"/>
      <c r="K72" s="208"/>
      <c r="L72" s="209"/>
      <c r="M72" s="209"/>
      <c r="N72" s="209"/>
      <c r="O72" s="209"/>
      <c r="P72" s="208"/>
      <c r="Q72" s="208"/>
      <c r="R72" s="209"/>
      <c r="S72" s="208"/>
      <c r="T72" s="208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8"/>
      <c r="AT72" s="208"/>
      <c r="AU72" s="209"/>
      <c r="AV72" s="208"/>
      <c r="AW72" s="208"/>
    </row>
    <row r="73" spans="7:49" ht="24.75" customHeight="1">
      <c r="G73" s="208"/>
      <c r="H73" s="208"/>
      <c r="I73" s="209"/>
      <c r="J73" s="208"/>
      <c r="K73" s="208"/>
      <c r="L73" s="209"/>
      <c r="M73" s="209"/>
      <c r="N73" s="209"/>
      <c r="O73" s="209"/>
      <c r="P73" s="208"/>
      <c r="Q73" s="208"/>
      <c r="R73" s="209"/>
      <c r="S73" s="208"/>
      <c r="T73" s="208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8"/>
      <c r="AT73" s="208"/>
      <c r="AU73" s="209"/>
      <c r="AV73" s="208"/>
      <c r="AW73" s="208"/>
    </row>
    <row r="74" spans="7:49" ht="24.75" customHeight="1">
      <c r="G74" s="208"/>
      <c r="H74" s="208"/>
      <c r="I74" s="209"/>
      <c r="J74" s="208"/>
      <c r="K74" s="208"/>
      <c r="L74" s="209"/>
      <c r="M74" s="209"/>
      <c r="N74" s="209"/>
      <c r="O74" s="209"/>
      <c r="P74" s="208"/>
      <c r="Q74" s="208"/>
      <c r="R74" s="209"/>
      <c r="S74" s="208"/>
      <c r="T74" s="208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8"/>
      <c r="AT74" s="208"/>
      <c r="AU74" s="209"/>
      <c r="AV74" s="208"/>
      <c r="AW74" s="208"/>
    </row>
    <row r="75" spans="7:49" ht="24.75" customHeight="1">
      <c r="G75" s="208"/>
      <c r="H75" s="208"/>
      <c r="I75" s="209"/>
      <c r="J75" s="208"/>
      <c r="K75" s="208"/>
      <c r="L75" s="209"/>
      <c r="M75" s="209"/>
      <c r="N75" s="209"/>
      <c r="O75" s="209"/>
      <c r="P75" s="208"/>
      <c r="Q75" s="208"/>
      <c r="R75" s="209"/>
      <c r="S75" s="208"/>
      <c r="T75" s="208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8"/>
      <c r="AT75" s="208"/>
      <c r="AU75" s="209"/>
      <c r="AV75" s="208"/>
      <c r="AW75" s="208"/>
    </row>
    <row r="76" spans="7:49" ht="24.75" customHeight="1">
      <c r="G76" s="208"/>
      <c r="H76" s="208"/>
      <c r="I76" s="209"/>
      <c r="J76" s="208"/>
      <c r="K76" s="208"/>
      <c r="L76" s="209"/>
      <c r="M76" s="209"/>
      <c r="N76" s="209"/>
      <c r="O76" s="209"/>
      <c r="P76" s="208"/>
      <c r="Q76" s="208"/>
      <c r="R76" s="209"/>
      <c r="S76" s="208"/>
      <c r="T76" s="208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8"/>
      <c r="AT76" s="208"/>
      <c r="AU76" s="209"/>
      <c r="AV76" s="208"/>
      <c r="AW76" s="208"/>
    </row>
    <row r="77" spans="7:49" ht="24.75" customHeight="1">
      <c r="G77" s="208"/>
      <c r="H77" s="208"/>
      <c r="I77" s="209"/>
      <c r="J77" s="208"/>
      <c r="K77" s="208"/>
      <c r="L77" s="209"/>
      <c r="M77" s="209"/>
      <c r="N77" s="209"/>
      <c r="O77" s="209"/>
      <c r="P77" s="208"/>
      <c r="Q77" s="208"/>
      <c r="R77" s="209"/>
      <c r="S77" s="208"/>
      <c r="T77" s="208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8"/>
      <c r="AT77" s="208"/>
      <c r="AU77" s="209"/>
      <c r="AV77" s="208"/>
      <c r="AW77" s="208"/>
    </row>
    <row r="78" spans="7:49" ht="24.75" customHeight="1">
      <c r="G78" s="208"/>
      <c r="H78" s="208"/>
      <c r="I78" s="209"/>
      <c r="J78" s="208"/>
      <c r="K78" s="208"/>
      <c r="L78" s="209"/>
      <c r="M78" s="209"/>
      <c r="N78" s="209"/>
      <c r="O78" s="209"/>
      <c r="P78" s="208"/>
      <c r="Q78" s="208"/>
      <c r="R78" s="209"/>
      <c r="S78" s="208"/>
      <c r="T78" s="208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8"/>
      <c r="AT78" s="208"/>
      <c r="AU78" s="209"/>
      <c r="AV78" s="208"/>
      <c r="AW78" s="208"/>
    </row>
    <row r="79" spans="7:49" ht="24.75" customHeight="1">
      <c r="G79" s="208"/>
      <c r="H79" s="208"/>
      <c r="I79" s="209"/>
      <c r="J79" s="208"/>
      <c r="K79" s="208"/>
      <c r="L79" s="209"/>
      <c r="M79" s="209"/>
      <c r="N79" s="209"/>
      <c r="O79" s="209"/>
      <c r="P79" s="208"/>
      <c r="Q79" s="208"/>
      <c r="R79" s="209"/>
      <c r="S79" s="208"/>
      <c r="T79" s="208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8"/>
      <c r="AT79" s="208"/>
      <c r="AU79" s="209"/>
      <c r="AV79" s="208"/>
      <c r="AW79" s="208"/>
    </row>
    <row r="80" spans="7:49" ht="24.75" customHeight="1">
      <c r="G80" s="208"/>
      <c r="H80" s="208"/>
      <c r="I80" s="209"/>
      <c r="J80" s="208"/>
      <c r="K80" s="208"/>
      <c r="L80" s="209"/>
      <c r="M80" s="209"/>
      <c r="N80" s="209"/>
      <c r="O80" s="209"/>
      <c r="P80" s="208"/>
      <c r="Q80" s="208"/>
      <c r="R80" s="209"/>
      <c r="S80" s="208"/>
      <c r="T80" s="208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8"/>
      <c r="AT80" s="208"/>
      <c r="AU80" s="209"/>
      <c r="AV80" s="208"/>
      <c r="AW80" s="208"/>
    </row>
    <row r="81" spans="7:49" ht="24.75" customHeight="1">
      <c r="G81" s="208"/>
      <c r="H81" s="208"/>
      <c r="I81" s="209"/>
      <c r="J81" s="208"/>
      <c r="K81" s="208"/>
      <c r="L81" s="209"/>
      <c r="M81" s="209"/>
      <c r="N81" s="209"/>
      <c r="O81" s="209"/>
      <c r="P81" s="208"/>
      <c r="Q81" s="208"/>
      <c r="R81" s="209"/>
      <c r="S81" s="208"/>
      <c r="T81" s="208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8"/>
      <c r="AT81" s="208"/>
      <c r="AU81" s="209"/>
      <c r="AV81" s="208"/>
      <c r="AW81" s="208"/>
    </row>
    <row r="82" spans="7:49" ht="24.75" customHeight="1">
      <c r="G82" s="208"/>
      <c r="H82" s="208"/>
      <c r="I82" s="209"/>
      <c r="J82" s="208"/>
      <c r="K82" s="208"/>
      <c r="L82" s="209"/>
      <c r="M82" s="209"/>
      <c r="N82" s="209"/>
      <c r="O82" s="209"/>
      <c r="P82" s="208"/>
      <c r="Q82" s="208"/>
      <c r="R82" s="209"/>
      <c r="S82" s="208"/>
      <c r="T82" s="208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8"/>
      <c r="AT82" s="208"/>
      <c r="AU82" s="209"/>
      <c r="AV82" s="208"/>
      <c r="AW82" s="208"/>
    </row>
    <row r="83" spans="7:49" ht="24.75" customHeight="1">
      <c r="G83" s="208"/>
      <c r="H83" s="208"/>
      <c r="I83" s="209"/>
      <c r="J83" s="208"/>
      <c r="K83" s="208"/>
      <c r="L83" s="209"/>
      <c r="M83" s="209"/>
      <c r="N83" s="209"/>
      <c r="O83" s="209"/>
      <c r="P83" s="208"/>
      <c r="Q83" s="208"/>
      <c r="R83" s="209"/>
      <c r="S83" s="208"/>
      <c r="T83" s="208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8"/>
      <c r="AT83" s="208"/>
      <c r="AU83" s="209"/>
      <c r="AV83" s="208"/>
      <c r="AW83" s="208"/>
    </row>
    <row r="84" spans="7:49" ht="24.75" customHeight="1">
      <c r="G84" s="208"/>
      <c r="H84" s="208"/>
      <c r="I84" s="209"/>
      <c r="J84" s="208"/>
      <c r="K84" s="208"/>
      <c r="L84" s="209"/>
      <c r="M84" s="209"/>
      <c r="N84" s="209"/>
      <c r="O84" s="209"/>
      <c r="P84" s="208"/>
      <c r="Q84" s="208"/>
      <c r="R84" s="209"/>
      <c r="S84" s="208"/>
      <c r="T84" s="208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8"/>
      <c r="AT84" s="208"/>
      <c r="AU84" s="209"/>
      <c r="AV84" s="208"/>
      <c r="AW84" s="208"/>
    </row>
    <row r="85" spans="7:49" ht="24.75" customHeight="1">
      <c r="G85" s="208"/>
      <c r="H85" s="208"/>
      <c r="I85" s="209"/>
      <c r="J85" s="208"/>
      <c r="K85" s="208"/>
      <c r="L85" s="209"/>
      <c r="M85" s="209"/>
      <c r="N85" s="209"/>
      <c r="O85" s="209"/>
      <c r="P85" s="208"/>
      <c r="Q85" s="208"/>
      <c r="R85" s="209"/>
      <c r="S85" s="208"/>
      <c r="T85" s="208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8"/>
      <c r="AT85" s="208"/>
      <c r="AU85" s="209"/>
      <c r="AV85" s="208"/>
      <c r="AW85" s="208"/>
    </row>
    <row r="86" spans="7:49" ht="24.75" customHeight="1">
      <c r="G86" s="208"/>
      <c r="H86" s="208"/>
      <c r="I86" s="209"/>
      <c r="J86" s="208"/>
      <c r="K86" s="208"/>
      <c r="L86" s="209"/>
      <c r="M86" s="209"/>
      <c r="N86" s="209"/>
      <c r="O86" s="209"/>
      <c r="P86" s="208"/>
      <c r="Q86" s="208"/>
      <c r="R86" s="209"/>
      <c r="S86" s="208"/>
      <c r="T86" s="208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8"/>
      <c r="AT86" s="208"/>
      <c r="AU86" s="209"/>
      <c r="AV86" s="208"/>
      <c r="AW86" s="208"/>
    </row>
    <row r="87" spans="7:49" ht="24.75" customHeight="1">
      <c r="G87" s="208"/>
      <c r="H87" s="208"/>
      <c r="I87" s="209"/>
      <c r="J87" s="208"/>
      <c r="K87" s="208"/>
      <c r="L87" s="209"/>
      <c r="M87" s="209"/>
      <c r="N87" s="209"/>
      <c r="O87" s="209"/>
      <c r="P87" s="208"/>
      <c r="Q87" s="208"/>
      <c r="R87" s="209"/>
      <c r="S87" s="208"/>
      <c r="T87" s="208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8"/>
      <c r="AT87" s="208"/>
      <c r="AU87" s="209"/>
      <c r="AV87" s="208"/>
      <c r="AW87" s="208"/>
    </row>
    <row r="88" spans="7:49" ht="24.75" customHeight="1">
      <c r="G88" s="208"/>
      <c r="H88" s="208"/>
      <c r="I88" s="209"/>
      <c r="J88" s="208"/>
      <c r="K88" s="208"/>
      <c r="L88" s="209"/>
      <c r="M88" s="209"/>
      <c r="N88" s="209"/>
      <c r="O88" s="209"/>
      <c r="P88" s="208"/>
      <c r="Q88" s="208"/>
      <c r="R88" s="209"/>
      <c r="S88" s="208"/>
      <c r="T88" s="208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8"/>
      <c r="AT88" s="208"/>
      <c r="AU88" s="209"/>
      <c r="AV88" s="208"/>
      <c r="AW88" s="208"/>
    </row>
    <row r="89" spans="7:49" ht="24.75" customHeight="1">
      <c r="G89" s="208"/>
      <c r="H89" s="208"/>
      <c r="I89" s="209"/>
      <c r="J89" s="208"/>
      <c r="K89" s="208"/>
      <c r="L89" s="209"/>
      <c r="M89" s="209"/>
      <c r="N89" s="209"/>
      <c r="O89" s="209"/>
      <c r="P89" s="208"/>
      <c r="Q89" s="208"/>
      <c r="R89" s="209"/>
      <c r="S89" s="208"/>
      <c r="T89" s="208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8"/>
      <c r="AT89" s="208"/>
      <c r="AU89" s="209"/>
      <c r="AV89" s="208"/>
      <c r="AW89" s="208"/>
    </row>
    <row r="90" spans="7:49" ht="24.75" customHeight="1">
      <c r="G90" s="208"/>
      <c r="H90" s="208"/>
      <c r="I90" s="209"/>
      <c r="J90" s="208"/>
      <c r="K90" s="208"/>
      <c r="L90" s="209"/>
      <c r="M90" s="209"/>
      <c r="N90" s="209"/>
      <c r="O90" s="209"/>
      <c r="P90" s="208"/>
      <c r="Q90" s="208"/>
      <c r="R90" s="209"/>
      <c r="S90" s="208"/>
      <c r="T90" s="208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8"/>
      <c r="AT90" s="208"/>
      <c r="AU90" s="209"/>
      <c r="AV90" s="208"/>
      <c r="AW90" s="208"/>
    </row>
    <row r="91" spans="7:49" ht="24.75" customHeight="1">
      <c r="G91" s="208"/>
      <c r="H91" s="208"/>
      <c r="I91" s="209"/>
      <c r="J91" s="208"/>
      <c r="K91" s="208"/>
      <c r="L91" s="209"/>
      <c r="M91" s="209"/>
      <c r="N91" s="209"/>
      <c r="O91" s="209"/>
      <c r="P91" s="208"/>
      <c r="Q91" s="208"/>
      <c r="R91" s="209"/>
      <c r="S91" s="208"/>
      <c r="T91" s="208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8"/>
      <c r="AT91" s="208"/>
      <c r="AU91" s="209"/>
      <c r="AV91" s="208"/>
      <c r="AW91" s="208"/>
    </row>
    <row r="92" spans="7:49" ht="24.75" customHeight="1">
      <c r="G92" s="208"/>
      <c r="H92" s="208"/>
      <c r="I92" s="209"/>
      <c r="J92" s="208"/>
      <c r="K92" s="208"/>
      <c r="L92" s="209"/>
      <c r="M92" s="209"/>
      <c r="N92" s="209"/>
      <c r="O92" s="209"/>
      <c r="P92" s="208"/>
      <c r="Q92" s="208"/>
      <c r="R92" s="209"/>
      <c r="S92" s="208"/>
      <c r="T92" s="208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8"/>
      <c r="AT92" s="208"/>
      <c r="AU92" s="209"/>
      <c r="AV92" s="208"/>
      <c r="AW92" s="208"/>
    </row>
    <row r="93" spans="7:49" ht="24.75" customHeight="1">
      <c r="G93" s="208"/>
      <c r="H93" s="208"/>
      <c r="I93" s="209"/>
      <c r="J93" s="208"/>
      <c r="K93" s="208"/>
      <c r="L93" s="209"/>
      <c r="M93" s="209"/>
      <c r="N93" s="209"/>
      <c r="O93" s="209"/>
      <c r="P93" s="208"/>
      <c r="Q93" s="208"/>
      <c r="R93" s="209"/>
      <c r="S93" s="208"/>
      <c r="T93" s="208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8"/>
      <c r="AT93" s="208"/>
      <c r="AU93" s="209"/>
      <c r="AV93" s="208"/>
      <c r="AW93" s="208"/>
    </row>
    <row r="94" spans="7:49" ht="24.75" customHeight="1">
      <c r="G94" s="208"/>
      <c r="H94" s="208"/>
      <c r="I94" s="209"/>
      <c r="J94" s="208"/>
      <c r="K94" s="208"/>
      <c r="L94" s="209"/>
      <c r="M94" s="209"/>
      <c r="N94" s="209"/>
      <c r="O94" s="209"/>
      <c r="P94" s="208"/>
      <c r="Q94" s="208"/>
      <c r="R94" s="209"/>
      <c r="S94" s="208"/>
      <c r="T94" s="208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8"/>
      <c r="AT94" s="208"/>
      <c r="AU94" s="209"/>
      <c r="AV94" s="208"/>
      <c r="AW94" s="208"/>
    </row>
    <row r="95" spans="7:49" ht="24.75" customHeight="1">
      <c r="G95" s="208"/>
      <c r="H95" s="208"/>
      <c r="I95" s="209"/>
      <c r="J95" s="208"/>
      <c r="K95" s="208"/>
      <c r="L95" s="209"/>
      <c r="M95" s="209"/>
      <c r="N95" s="209"/>
      <c r="O95" s="209"/>
      <c r="P95" s="208"/>
      <c r="Q95" s="208"/>
      <c r="R95" s="209"/>
      <c r="S95" s="208"/>
      <c r="T95" s="208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8"/>
      <c r="AT95" s="208"/>
      <c r="AU95" s="209"/>
      <c r="AV95" s="208"/>
      <c r="AW95" s="208"/>
    </row>
    <row r="96" spans="7:49" ht="24.75" customHeight="1">
      <c r="G96" s="208"/>
      <c r="H96" s="208"/>
      <c r="I96" s="209"/>
      <c r="J96" s="208"/>
      <c r="K96" s="208"/>
      <c r="L96" s="209"/>
      <c r="M96" s="209"/>
      <c r="N96" s="209"/>
      <c r="O96" s="209"/>
      <c r="P96" s="208"/>
      <c r="Q96" s="208"/>
      <c r="R96" s="209"/>
      <c r="S96" s="208"/>
      <c r="T96" s="208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8"/>
      <c r="AT96" s="208"/>
      <c r="AU96" s="209"/>
      <c r="AV96" s="208"/>
      <c r="AW96" s="208"/>
    </row>
    <row r="97" spans="7:49" ht="24.75" customHeight="1">
      <c r="G97" s="208"/>
      <c r="H97" s="208"/>
      <c r="I97" s="209"/>
      <c r="J97" s="208"/>
      <c r="K97" s="208"/>
      <c r="L97" s="209"/>
      <c r="M97" s="209"/>
      <c r="N97" s="209"/>
      <c r="O97" s="209"/>
      <c r="P97" s="208"/>
      <c r="Q97" s="208"/>
      <c r="R97" s="209"/>
      <c r="S97" s="208"/>
      <c r="T97" s="208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8"/>
      <c r="AT97" s="208"/>
      <c r="AU97" s="209"/>
      <c r="AV97" s="208"/>
      <c r="AW97" s="208"/>
    </row>
    <row r="98" spans="7:49" ht="18.75">
      <c r="G98" s="208"/>
      <c r="H98" s="208"/>
      <c r="I98" s="209"/>
      <c r="J98" s="208"/>
      <c r="K98" s="208"/>
      <c r="L98" s="209"/>
      <c r="M98" s="209"/>
      <c r="N98" s="209"/>
      <c r="O98" s="209"/>
      <c r="P98" s="208"/>
      <c r="Q98" s="208"/>
      <c r="R98" s="209"/>
      <c r="S98" s="208"/>
      <c r="T98" s="208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8"/>
      <c r="AT98" s="208"/>
      <c r="AU98" s="209"/>
      <c r="AV98" s="208"/>
      <c r="AW98" s="208"/>
    </row>
    <row r="99" spans="7:49" ht="18.75">
      <c r="G99" s="208"/>
      <c r="H99" s="208"/>
      <c r="I99" s="209"/>
      <c r="J99" s="208"/>
      <c r="K99" s="208"/>
      <c r="L99" s="209"/>
      <c r="M99" s="209"/>
      <c r="N99" s="209"/>
      <c r="O99" s="209"/>
      <c r="P99" s="208"/>
      <c r="Q99" s="208"/>
      <c r="R99" s="209"/>
      <c r="S99" s="208"/>
      <c r="T99" s="208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8"/>
      <c r="AT99" s="208"/>
      <c r="AU99" s="209"/>
      <c r="AV99" s="208"/>
      <c r="AW99" s="208"/>
    </row>
    <row r="100" spans="7:49" ht="18.75">
      <c r="G100" s="208"/>
      <c r="H100" s="208"/>
      <c r="I100" s="209"/>
      <c r="J100" s="208"/>
      <c r="K100" s="208"/>
      <c r="L100" s="209"/>
      <c r="M100" s="209"/>
      <c r="N100" s="209"/>
      <c r="O100" s="209"/>
      <c r="P100" s="208"/>
      <c r="Q100" s="208"/>
      <c r="R100" s="209"/>
      <c r="S100" s="208"/>
      <c r="T100" s="208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8"/>
      <c r="AT100" s="208"/>
      <c r="AU100" s="209"/>
      <c r="AV100" s="208"/>
      <c r="AW100" s="208"/>
    </row>
    <row r="101" spans="7:49" ht="18.75">
      <c r="G101" s="208"/>
      <c r="H101" s="208"/>
      <c r="I101" s="209"/>
      <c r="J101" s="208"/>
      <c r="K101" s="208"/>
      <c r="L101" s="209"/>
      <c r="M101" s="209"/>
      <c r="N101" s="209"/>
      <c r="O101" s="209"/>
      <c r="P101" s="208"/>
      <c r="Q101" s="208"/>
      <c r="R101" s="209"/>
      <c r="S101" s="208"/>
      <c r="T101" s="208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8"/>
      <c r="AT101" s="208"/>
      <c r="AU101" s="209"/>
      <c r="AV101" s="208"/>
      <c r="AW101" s="208"/>
    </row>
    <row r="102" spans="7:49" ht="18.75">
      <c r="G102" s="208"/>
      <c r="H102" s="208"/>
      <c r="I102" s="209"/>
      <c r="J102" s="208"/>
      <c r="K102" s="208"/>
      <c r="L102" s="209"/>
      <c r="M102" s="209"/>
      <c r="N102" s="209"/>
      <c r="O102" s="209"/>
      <c r="P102" s="208"/>
      <c r="Q102" s="208"/>
      <c r="R102" s="209"/>
      <c r="S102" s="208"/>
      <c r="T102" s="208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8"/>
      <c r="AT102" s="208"/>
      <c r="AU102" s="209"/>
      <c r="AV102" s="208"/>
      <c r="AW102" s="208"/>
    </row>
    <row r="103" spans="7:49" ht="18.75">
      <c r="G103" s="208"/>
      <c r="H103" s="208"/>
      <c r="I103" s="209"/>
      <c r="J103" s="208"/>
      <c r="K103" s="208"/>
      <c r="L103" s="209"/>
      <c r="M103" s="209"/>
      <c r="N103" s="209"/>
      <c r="O103" s="209"/>
      <c r="P103" s="208"/>
      <c r="Q103" s="208"/>
      <c r="R103" s="209"/>
      <c r="S103" s="208"/>
      <c r="T103" s="208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8"/>
      <c r="AT103" s="208"/>
      <c r="AU103" s="209"/>
      <c r="AV103" s="208"/>
      <c r="AW103" s="208"/>
    </row>
    <row r="104" spans="7:49" ht="18.75">
      <c r="G104" s="208"/>
      <c r="H104" s="208"/>
      <c r="I104" s="209"/>
      <c r="J104" s="208"/>
      <c r="K104" s="208"/>
      <c r="L104" s="209"/>
      <c r="M104" s="209"/>
      <c r="N104" s="209"/>
      <c r="O104" s="209"/>
      <c r="P104" s="208"/>
      <c r="Q104" s="208"/>
      <c r="R104" s="209"/>
      <c r="S104" s="208"/>
      <c r="T104" s="208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8"/>
      <c r="AT104" s="208"/>
      <c r="AU104" s="209"/>
      <c r="AV104" s="208"/>
      <c r="AW104" s="208"/>
    </row>
    <row r="105" spans="31:44" ht="18.75">
      <c r="AE105" s="209"/>
      <c r="AF105" s="209"/>
      <c r="AG105" s="209"/>
      <c r="AH105" s="209"/>
      <c r="AI105" s="209"/>
      <c r="AM105" s="209"/>
      <c r="AN105" s="209"/>
      <c r="AO105" s="209"/>
      <c r="AP105" s="209"/>
      <c r="AQ105" s="209"/>
      <c r="AR105" s="209"/>
    </row>
  </sheetData>
  <sheetProtection/>
  <mergeCells count="25">
    <mergeCell ref="AW5:AW6"/>
    <mergeCell ref="AV5:AV6"/>
    <mergeCell ref="Y5:AA5"/>
    <mergeCell ref="J5:L5"/>
    <mergeCell ref="A50:C50"/>
    <mergeCell ref="P5:R5"/>
    <mergeCell ref="AE5:AG5"/>
    <mergeCell ref="A56:C56"/>
    <mergeCell ref="B55:C55"/>
    <mergeCell ref="AQ5:AR5"/>
    <mergeCell ref="AB5:AD5"/>
    <mergeCell ref="AJ5:AL5"/>
    <mergeCell ref="AO5:AP5"/>
    <mergeCell ref="B54:D54"/>
    <mergeCell ref="AH5:AI5"/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</mergeCells>
  <printOptions horizontalCentered="1"/>
  <pageMargins left="0" right="0" top="0" bottom="0" header="0" footer="0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68" zoomScaleNormal="75" zoomScaleSheetLayoutView="68" zoomScalePageLayoutView="0" workbookViewId="0" topLeftCell="A3">
      <pane xSplit="6" ySplit="5" topLeftCell="AU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Z50" sqref="AZ50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customWidth="1"/>
    <col min="5" max="5" width="19.87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4.1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42" t="s">
        <v>100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</row>
    <row r="3" spans="1:49" s="30" customFormat="1" ht="60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</row>
    <row r="4" spans="2:49" ht="34.5" customHeight="1">
      <c r="B4" s="238"/>
      <c r="C4" s="238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35" t="s">
        <v>68</v>
      </c>
      <c r="E5" s="236"/>
      <c r="F5" s="237"/>
      <c r="G5" s="232" t="s">
        <v>70</v>
      </c>
      <c r="H5" s="233"/>
      <c r="I5" s="234"/>
      <c r="J5" s="245" t="s">
        <v>71</v>
      </c>
      <c r="K5" s="246"/>
      <c r="L5" s="247"/>
      <c r="M5" s="232" t="s">
        <v>85</v>
      </c>
      <c r="N5" s="233"/>
      <c r="O5" s="234"/>
      <c r="P5" s="232" t="s">
        <v>72</v>
      </c>
      <c r="Q5" s="233"/>
      <c r="R5" s="234"/>
      <c r="S5" s="245" t="s">
        <v>75</v>
      </c>
      <c r="T5" s="246"/>
      <c r="U5" s="247"/>
      <c r="V5" s="245" t="s">
        <v>76</v>
      </c>
      <c r="W5" s="246"/>
      <c r="X5" s="247"/>
      <c r="Y5" s="232" t="s">
        <v>77</v>
      </c>
      <c r="Z5" s="233"/>
      <c r="AA5" s="234"/>
      <c r="AB5" s="232" t="s">
        <v>78</v>
      </c>
      <c r="AC5" s="233"/>
      <c r="AD5" s="234"/>
      <c r="AE5" s="232" t="s">
        <v>79</v>
      </c>
      <c r="AF5" s="233"/>
      <c r="AG5" s="234"/>
      <c r="AH5" s="232" t="s">
        <v>80</v>
      </c>
      <c r="AI5" s="234"/>
      <c r="AJ5" s="232" t="s">
        <v>81</v>
      </c>
      <c r="AK5" s="233"/>
      <c r="AL5" s="234"/>
      <c r="AM5" s="232" t="s">
        <v>82</v>
      </c>
      <c r="AN5" s="234"/>
      <c r="AO5" s="232" t="s">
        <v>83</v>
      </c>
      <c r="AP5" s="234"/>
      <c r="AQ5" s="232" t="s">
        <v>84</v>
      </c>
      <c r="AR5" s="234"/>
      <c r="AS5" s="235" t="s">
        <v>87</v>
      </c>
      <c r="AT5" s="236"/>
      <c r="AU5" s="237"/>
      <c r="AV5" s="240" t="s">
        <v>91</v>
      </c>
      <c r="AW5" s="240" t="s">
        <v>92</v>
      </c>
    </row>
    <row r="6" spans="1:49" ht="58.5" customHeight="1">
      <c r="A6" s="25" t="s">
        <v>2</v>
      </c>
      <c r="B6" s="26" t="s">
        <v>61</v>
      </c>
      <c r="C6" s="97" t="s">
        <v>90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41"/>
      <c r="AW6" s="241"/>
    </row>
    <row r="7" spans="1:52" s="8" customFormat="1" ht="34.5" customHeight="1">
      <c r="A7" s="38"/>
      <c r="B7" s="13" t="s">
        <v>62</v>
      </c>
      <c r="C7" s="94">
        <f aca="true" t="shared" si="0" ref="C7:AR7">SUM(C8:C44)-C33-C34-C35-C36</f>
        <v>6446.700000000001</v>
      </c>
      <c r="D7" s="94">
        <f t="shared" si="0"/>
        <v>5951.3</v>
      </c>
      <c r="E7" s="94">
        <f t="shared" si="0"/>
        <v>4961.499999999999</v>
      </c>
      <c r="F7" s="96">
        <f aca="true" t="shared" si="1" ref="F7:F28">E7/D7*100</f>
        <v>83.36833969048777</v>
      </c>
      <c r="G7" s="94">
        <f t="shared" si="0"/>
        <v>5212.1</v>
      </c>
      <c r="H7" s="94">
        <f t="shared" si="0"/>
        <v>4929.8</v>
      </c>
      <c r="I7" s="96">
        <f aca="true" t="shared" si="2" ref="I7:I44">H7/G7*100</f>
        <v>94.58375702691812</v>
      </c>
      <c r="J7" s="94">
        <f t="shared" si="0"/>
        <v>0</v>
      </c>
      <c r="K7" s="94">
        <f t="shared" si="0"/>
        <v>0</v>
      </c>
      <c r="L7" s="94" t="e">
        <f>K7/J7*100</f>
        <v>#DIV/0!</v>
      </c>
      <c r="M7" s="94">
        <f t="shared" si="0"/>
        <v>11163.4</v>
      </c>
      <c r="N7" s="94">
        <f t="shared" si="0"/>
        <v>9891.300000000001</v>
      </c>
      <c r="O7" s="94">
        <f>N7/M7*100</f>
        <v>88.60472615869719</v>
      </c>
      <c r="P7" s="94">
        <f t="shared" si="0"/>
        <v>0</v>
      </c>
      <c r="Q7" s="94">
        <f t="shared" si="0"/>
        <v>0</v>
      </c>
      <c r="R7" s="94" t="e">
        <f>Q7/P7*100</f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94" t="e">
        <f>Z7/Y7*100</f>
        <v>#DIV/0!</v>
      </c>
      <c r="AB7" s="94">
        <f t="shared" si="0"/>
        <v>0</v>
      </c>
      <c r="AC7" s="94">
        <f t="shared" si="0"/>
        <v>0</v>
      </c>
      <c r="AD7" s="94" t="e">
        <f>AC7/AB7*100</f>
        <v>#DIV/0!</v>
      </c>
      <c r="AE7" s="94">
        <f t="shared" si="0"/>
        <v>0</v>
      </c>
      <c r="AF7" s="94">
        <f t="shared" si="0"/>
        <v>0</v>
      </c>
      <c r="AG7" s="94" t="e">
        <f t="shared" si="0"/>
        <v>#DIV/0!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11163.4</v>
      </c>
      <c r="AT7" s="94">
        <f>SUM(AT8:AT44)-AT33-AT34-AT35-AT36</f>
        <v>9891.300000000001</v>
      </c>
      <c r="AU7" s="96">
        <f>AT7/AS7*100</f>
        <v>88.60472615869719</v>
      </c>
      <c r="AV7" s="94">
        <f>SUM(AV8:AV44)-AV33-AV34-AV35-AV36</f>
        <v>1272.0999999999997</v>
      </c>
      <c r="AW7" s="94">
        <f>SUM(AW8:AW44)-AW33-AW34-AW35-AW36</f>
        <v>7718.800000000001</v>
      </c>
      <c r="AX7" s="20">
        <f>M7+Y7+AJ7+AM7+AO7+AQ7</f>
        <v>11163.4</v>
      </c>
      <c r="AY7" s="20">
        <f>N7+Z7+AK7+AN7+AP7+AR7</f>
        <v>9891.300000000001</v>
      </c>
      <c r="AZ7" s="20">
        <f>C7+AX7-AY7</f>
        <v>7718.799999999997</v>
      </c>
    </row>
    <row r="8" spans="1:52" ht="34.5" customHeight="1">
      <c r="A8" s="6">
        <v>1</v>
      </c>
      <c r="B8" s="1" t="s">
        <v>27</v>
      </c>
      <c r="C8" s="2">
        <v>68.6</v>
      </c>
      <c r="D8" s="3">
        <v>726</v>
      </c>
      <c r="E8" s="3">
        <v>345.3</v>
      </c>
      <c r="F8" s="96">
        <f t="shared" si="1"/>
        <v>47.561983471074385</v>
      </c>
      <c r="G8" s="3">
        <v>628.3</v>
      </c>
      <c r="H8" s="3">
        <v>607.1</v>
      </c>
      <c r="I8" s="96">
        <f t="shared" si="2"/>
        <v>96.62581569314023</v>
      </c>
      <c r="J8" s="3"/>
      <c r="K8" s="3"/>
      <c r="L8" s="94" t="e">
        <f aca="true" t="shared" si="3" ref="L8:L49">K8/J8*100</f>
        <v>#DIV/0!</v>
      </c>
      <c r="M8" s="3">
        <f>D8+G8+J8</f>
        <v>1354.3</v>
      </c>
      <c r="N8" s="3">
        <f>E8+H8+K8</f>
        <v>952.4000000000001</v>
      </c>
      <c r="O8" s="94">
        <f>N8/M8*100</f>
        <v>70.3241526988112</v>
      </c>
      <c r="P8" s="3"/>
      <c r="Q8" s="3"/>
      <c r="R8" s="94" t="e">
        <f aca="true" t="shared" si="4" ref="R8:R49">Q8/P8*100</f>
        <v>#DIV/0!</v>
      </c>
      <c r="S8" s="3"/>
      <c r="T8" s="3"/>
      <c r="U8" s="14"/>
      <c r="V8" s="3"/>
      <c r="W8" s="3"/>
      <c r="X8" s="14"/>
      <c r="Y8" s="3">
        <f>P8+S8+V8</f>
        <v>0</v>
      </c>
      <c r="Z8" s="3">
        <f>Q8+T8+W8</f>
        <v>0</v>
      </c>
      <c r="AA8" s="94" t="e">
        <f aca="true" t="shared" si="5" ref="AA8:AA47">Z8/Y8*100</f>
        <v>#DIV/0!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 aca="true" t="shared" si="6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1354.3</v>
      </c>
      <c r="AT8" s="3">
        <f>N8+Z8+AK8+AN8+AP8+AR8</f>
        <v>952.4000000000001</v>
      </c>
      <c r="AU8" s="96">
        <f>AT8/AS8*100</f>
        <v>70.3241526988112</v>
      </c>
      <c r="AV8" s="14">
        <f aca="true" t="shared" si="7" ref="AV8:AV33">AS8-AT8</f>
        <v>401.89999999999986</v>
      </c>
      <c r="AW8" s="4">
        <f aca="true" t="shared" si="8" ref="AW8:AW33">C8+AS8-AT8</f>
        <v>470.4999999999998</v>
      </c>
      <c r="AX8" s="20">
        <f aca="true" t="shared" si="9" ref="AX8:AX46">M8+Y8+AJ8+AM8+AO8+AQ8</f>
        <v>1354.3</v>
      </c>
      <c r="AY8" s="20">
        <f aca="true" t="shared" si="10" ref="AY8:AY48">N8+Z8+AK8+AN8+AP8+AR8</f>
        <v>952.4000000000001</v>
      </c>
      <c r="AZ8" s="20">
        <f aca="true" t="shared" si="11" ref="AZ8:AZ46">C8+AX8-AY8</f>
        <v>470.4999999999998</v>
      </c>
    </row>
    <row r="9" spans="1:52" ht="34.5" customHeight="1">
      <c r="A9" s="6">
        <v>2</v>
      </c>
      <c r="B9" s="32" t="s">
        <v>28</v>
      </c>
      <c r="C9" s="2">
        <v>15.1</v>
      </c>
      <c r="D9" s="3">
        <v>170.1</v>
      </c>
      <c r="E9" s="3">
        <v>46.8</v>
      </c>
      <c r="F9" s="96">
        <f t="shared" si="1"/>
        <v>27.513227513227513</v>
      </c>
      <c r="G9" s="3">
        <v>156.5</v>
      </c>
      <c r="H9" s="3">
        <v>164.8</v>
      </c>
      <c r="I9" s="96">
        <f t="shared" si="2"/>
        <v>105.30351437699682</v>
      </c>
      <c r="J9" s="3"/>
      <c r="K9" s="3"/>
      <c r="L9" s="94" t="e">
        <f t="shared" si="3"/>
        <v>#DIV/0!</v>
      </c>
      <c r="M9" s="3">
        <f aca="true" t="shared" si="12" ref="M9:M31">D9+G9+J9</f>
        <v>326.6</v>
      </c>
      <c r="N9" s="3">
        <f aca="true" t="shared" si="13" ref="N9:N31">E9+H9+K9</f>
        <v>211.60000000000002</v>
      </c>
      <c r="O9" s="94">
        <f aca="true" t="shared" si="14" ref="O9:O49">N9/M9*100</f>
        <v>64.7887323943662</v>
      </c>
      <c r="P9" s="3"/>
      <c r="Q9" s="3"/>
      <c r="R9" s="94" t="e">
        <f t="shared" si="4"/>
        <v>#DIV/0!</v>
      </c>
      <c r="S9" s="3"/>
      <c r="T9" s="3"/>
      <c r="U9" s="14"/>
      <c r="V9" s="3"/>
      <c r="W9" s="3"/>
      <c r="X9" s="14"/>
      <c r="Y9" s="3">
        <f aca="true" t="shared" si="15" ref="Y9:Y44">P9+S9+V9</f>
        <v>0</v>
      </c>
      <c r="Z9" s="3">
        <f aca="true" t="shared" si="16" ref="Z9:Z44">Q9+T9+W9</f>
        <v>0</v>
      </c>
      <c r="AA9" s="94" t="e">
        <f t="shared" si="5"/>
        <v>#DIV/0!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7" ref="AJ9:AJ44">AB9+AE9+AH9</f>
        <v>0</v>
      </c>
      <c r="AK9" s="3">
        <f aca="true" t="shared" si="18" ref="AK9:AK44">AC9+AF9+AI9</f>
        <v>0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326.6</v>
      </c>
      <c r="AT9" s="3">
        <f aca="true" t="shared" si="20" ref="AT9:AT44">N9+Z9+AK9+AN9+AP9+AR9</f>
        <v>211.60000000000002</v>
      </c>
      <c r="AU9" s="96">
        <f>AT9/AS9*100</f>
        <v>64.7887323943662</v>
      </c>
      <c r="AV9" s="14">
        <f t="shared" si="7"/>
        <v>115</v>
      </c>
      <c r="AW9" s="4">
        <f t="shared" si="8"/>
        <v>130.10000000000002</v>
      </c>
      <c r="AX9" s="20">
        <f t="shared" si="9"/>
        <v>326.6</v>
      </c>
      <c r="AY9" s="20">
        <f t="shared" si="10"/>
        <v>211.60000000000002</v>
      </c>
      <c r="AZ9" s="20">
        <f t="shared" si="11"/>
        <v>130.10000000000002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96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3">
        <f t="shared" si="12"/>
        <v>0</v>
      </c>
      <c r="N10" s="93">
        <f t="shared" si="13"/>
        <v>0</v>
      </c>
      <c r="O10" s="28" t="e">
        <f t="shared" si="14"/>
        <v>#DIV/0!</v>
      </c>
      <c r="P10" s="93"/>
      <c r="Q10" s="93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4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6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30</v>
      </c>
      <c r="C11" s="2">
        <v>27</v>
      </c>
      <c r="D11" s="3">
        <v>53</v>
      </c>
      <c r="E11" s="3">
        <v>8</v>
      </c>
      <c r="F11" s="96">
        <f t="shared" si="1"/>
        <v>15.09433962264151</v>
      </c>
      <c r="G11" s="3">
        <v>31</v>
      </c>
      <c r="H11" s="3">
        <v>54</v>
      </c>
      <c r="I11" s="96">
        <f t="shared" si="2"/>
        <v>174.19354838709677</v>
      </c>
      <c r="J11" s="3"/>
      <c r="K11" s="3"/>
      <c r="L11" s="94" t="e">
        <f t="shared" si="3"/>
        <v>#DIV/0!</v>
      </c>
      <c r="M11" s="3">
        <f t="shared" si="12"/>
        <v>84</v>
      </c>
      <c r="N11" s="3">
        <f t="shared" si="13"/>
        <v>62</v>
      </c>
      <c r="O11" s="94">
        <f t="shared" si="14"/>
        <v>73.80952380952381</v>
      </c>
      <c r="P11" s="3"/>
      <c r="Q11" s="3"/>
      <c r="R11" s="94" t="e">
        <f t="shared" si="4"/>
        <v>#DIV/0!</v>
      </c>
      <c r="S11" s="3"/>
      <c r="T11" s="3"/>
      <c r="U11" s="14" t="e">
        <f>T11/S11*100</f>
        <v>#DIV/0!</v>
      </c>
      <c r="V11" s="3"/>
      <c r="W11" s="3"/>
      <c r="X11" s="28"/>
      <c r="Y11" s="3">
        <f t="shared" si="15"/>
        <v>0</v>
      </c>
      <c r="Z11" s="3">
        <f t="shared" si="16"/>
        <v>0</v>
      </c>
      <c r="AA11" s="94" t="e">
        <f t="shared" si="5"/>
        <v>#DIV/0!</v>
      </c>
      <c r="AB11" s="3"/>
      <c r="AC11" s="3"/>
      <c r="AD11" s="33"/>
      <c r="AE11" s="3"/>
      <c r="AF11" s="3"/>
      <c r="AG11" s="36"/>
      <c r="AH11" s="3"/>
      <c r="AI11" s="3"/>
      <c r="AJ11" s="3">
        <f t="shared" si="17"/>
        <v>0</v>
      </c>
      <c r="AK11" s="3">
        <f t="shared" si="18"/>
        <v>0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84</v>
      </c>
      <c r="AT11" s="3">
        <f t="shared" si="20"/>
        <v>62</v>
      </c>
      <c r="AU11" s="96">
        <f>AT11/AS11*100</f>
        <v>73.80952380952381</v>
      </c>
      <c r="AV11" s="14">
        <f t="shared" si="7"/>
        <v>22</v>
      </c>
      <c r="AW11" s="4">
        <f t="shared" si="8"/>
        <v>49</v>
      </c>
      <c r="AX11" s="20">
        <f t="shared" si="9"/>
        <v>84</v>
      </c>
      <c r="AY11" s="20">
        <f t="shared" si="10"/>
        <v>62</v>
      </c>
      <c r="AZ11" s="20">
        <f t="shared" si="11"/>
        <v>49</v>
      </c>
    </row>
    <row r="12" spans="1:52" ht="34.5" customHeight="1">
      <c r="A12" s="6">
        <v>5</v>
      </c>
      <c r="B12" s="1" t="s">
        <v>31</v>
      </c>
      <c r="C12" s="2">
        <v>147.4</v>
      </c>
      <c r="D12" s="3">
        <v>157.9</v>
      </c>
      <c r="E12" s="3">
        <v>133.5</v>
      </c>
      <c r="F12" s="96">
        <f t="shared" si="1"/>
        <v>84.54718176060798</v>
      </c>
      <c r="G12" s="3">
        <v>143.8</v>
      </c>
      <c r="H12" s="3">
        <v>141.1</v>
      </c>
      <c r="I12" s="96">
        <f t="shared" si="2"/>
        <v>98.12239221140472</v>
      </c>
      <c r="J12" s="3"/>
      <c r="K12" s="3"/>
      <c r="L12" s="94" t="e">
        <f t="shared" si="3"/>
        <v>#DIV/0!</v>
      </c>
      <c r="M12" s="3">
        <f t="shared" si="12"/>
        <v>301.70000000000005</v>
      </c>
      <c r="N12" s="3">
        <f t="shared" si="13"/>
        <v>274.6</v>
      </c>
      <c r="O12" s="94">
        <f t="shared" si="14"/>
        <v>91.01756711965528</v>
      </c>
      <c r="P12" s="3"/>
      <c r="Q12" s="3"/>
      <c r="R12" s="94" t="e">
        <f t="shared" si="4"/>
        <v>#DIV/0!</v>
      </c>
      <c r="S12" s="3"/>
      <c r="T12" s="3"/>
      <c r="U12" s="14"/>
      <c r="V12" s="3"/>
      <c r="W12" s="3"/>
      <c r="X12" s="14"/>
      <c r="Y12" s="3">
        <f t="shared" si="15"/>
        <v>0</v>
      </c>
      <c r="Z12" s="3">
        <f t="shared" si="16"/>
        <v>0</v>
      </c>
      <c r="AA12" s="94" t="e">
        <f t="shared" si="5"/>
        <v>#DIV/0!</v>
      </c>
      <c r="AB12" s="3"/>
      <c r="AC12" s="3"/>
      <c r="AD12" s="14"/>
      <c r="AE12" s="3"/>
      <c r="AF12" s="3"/>
      <c r="AG12" s="28"/>
      <c r="AH12" s="3"/>
      <c r="AI12" s="3"/>
      <c r="AJ12" s="3">
        <f t="shared" si="17"/>
        <v>0</v>
      </c>
      <c r="AK12" s="3">
        <f t="shared" si="18"/>
        <v>0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301.70000000000005</v>
      </c>
      <c r="AT12" s="3">
        <f t="shared" si="20"/>
        <v>274.6</v>
      </c>
      <c r="AU12" s="96">
        <f>AT12/AS12*100</f>
        <v>91.01756711965528</v>
      </c>
      <c r="AV12" s="14">
        <f t="shared" si="7"/>
        <v>27.100000000000023</v>
      </c>
      <c r="AW12" s="4">
        <f t="shared" si="8"/>
        <v>174.5</v>
      </c>
      <c r="AX12" s="20">
        <f t="shared" si="9"/>
        <v>301.70000000000005</v>
      </c>
      <c r="AY12" s="20">
        <f t="shared" si="10"/>
        <v>274.6</v>
      </c>
      <c r="AZ12" s="20">
        <f t="shared" si="11"/>
        <v>174.5</v>
      </c>
    </row>
    <row r="13" spans="1:52" ht="34.5" customHeight="1">
      <c r="A13" s="6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3">
        <f t="shared" si="12"/>
        <v>0</v>
      </c>
      <c r="N13" s="93">
        <f t="shared" si="13"/>
        <v>0</v>
      </c>
      <c r="O13" s="28" t="e">
        <f t="shared" si="14"/>
        <v>#DIV/0!</v>
      </c>
      <c r="P13" s="93"/>
      <c r="Q13" s="93"/>
      <c r="R13" s="28" t="e">
        <f t="shared" si="4"/>
        <v>#DIV/0!</v>
      </c>
      <c r="S13" s="93"/>
      <c r="T13" s="93"/>
      <c r="U13" s="28"/>
      <c r="V13" s="93"/>
      <c r="W13" s="93"/>
      <c r="X13" s="28"/>
      <c r="Y13" s="93">
        <f t="shared" si="15"/>
        <v>0</v>
      </c>
      <c r="Z13" s="93">
        <f t="shared" si="16"/>
        <v>0</v>
      </c>
      <c r="AA13" s="28" t="e">
        <f t="shared" si="5"/>
        <v>#DIV/0!</v>
      </c>
      <c r="AB13" s="93"/>
      <c r="AC13" s="93"/>
      <c r="AD13" s="28"/>
      <c r="AE13" s="93"/>
      <c r="AF13" s="93"/>
      <c r="AG13" s="28"/>
      <c r="AH13" s="93"/>
      <c r="AI13" s="93"/>
      <c r="AJ13" s="93">
        <f t="shared" si="17"/>
        <v>0</v>
      </c>
      <c r="AK13" s="93">
        <f t="shared" si="18"/>
        <v>0</v>
      </c>
      <c r="AL13" s="28" t="e">
        <f t="shared" si="6"/>
        <v>#DIV/0!</v>
      </c>
      <c r="AM13" s="93"/>
      <c r="AN13" s="93"/>
      <c r="AO13" s="93"/>
      <c r="AP13" s="93"/>
      <c r="AQ13" s="93"/>
      <c r="AR13" s="93"/>
      <c r="AS13" s="93">
        <f t="shared" si="19"/>
        <v>0</v>
      </c>
      <c r="AT13" s="93">
        <f t="shared" si="20"/>
        <v>0</v>
      </c>
      <c r="AU13" s="96"/>
      <c r="AV13" s="28">
        <f t="shared" si="7"/>
        <v>0</v>
      </c>
      <c r="AW13" s="99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63</v>
      </c>
      <c r="C14" s="2"/>
      <c r="D14" s="3"/>
      <c r="E14" s="3"/>
      <c r="F14" s="96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3">
        <f t="shared" si="12"/>
        <v>0</v>
      </c>
      <c r="N14" s="93">
        <f t="shared" si="13"/>
        <v>0</v>
      </c>
      <c r="O14" s="28" t="e">
        <f t="shared" si="14"/>
        <v>#DIV/0!</v>
      </c>
      <c r="P14" s="93"/>
      <c r="Q14" s="93"/>
      <c r="R14" s="28" t="e">
        <f t="shared" si="4"/>
        <v>#DIV/0!</v>
      </c>
      <c r="S14" s="93"/>
      <c r="T14" s="93"/>
      <c r="U14" s="28"/>
      <c r="V14" s="93"/>
      <c r="W14" s="93"/>
      <c r="X14" s="28"/>
      <c r="Y14" s="93">
        <f t="shared" si="15"/>
        <v>0</v>
      </c>
      <c r="Z14" s="93">
        <f t="shared" si="16"/>
        <v>0</v>
      </c>
      <c r="AA14" s="28" t="e">
        <f t="shared" si="5"/>
        <v>#DIV/0!</v>
      </c>
      <c r="AB14" s="93"/>
      <c r="AC14" s="93"/>
      <c r="AD14" s="28"/>
      <c r="AE14" s="93"/>
      <c r="AF14" s="93"/>
      <c r="AG14" s="28"/>
      <c r="AH14" s="93"/>
      <c r="AI14" s="93"/>
      <c r="AJ14" s="93"/>
      <c r="AK14" s="93"/>
      <c r="AL14" s="28"/>
      <c r="AM14" s="93"/>
      <c r="AN14" s="93"/>
      <c r="AO14" s="93"/>
      <c r="AP14" s="93"/>
      <c r="AQ14" s="93"/>
      <c r="AR14" s="93"/>
      <c r="AS14" s="93"/>
      <c r="AT14" s="3"/>
      <c r="AU14" s="96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33</v>
      </c>
      <c r="C15" s="2">
        <v>504.4</v>
      </c>
      <c r="D15" s="3">
        <v>402.1</v>
      </c>
      <c r="E15" s="3">
        <v>247.9</v>
      </c>
      <c r="F15" s="96">
        <f t="shared" si="1"/>
        <v>61.65133051479731</v>
      </c>
      <c r="G15" s="3">
        <v>379.4</v>
      </c>
      <c r="H15" s="3">
        <v>287.3</v>
      </c>
      <c r="I15" s="96">
        <f t="shared" si="2"/>
        <v>75.72482867685821</v>
      </c>
      <c r="J15" s="3"/>
      <c r="K15" s="3"/>
      <c r="L15" s="94" t="e">
        <f t="shared" si="3"/>
        <v>#DIV/0!</v>
      </c>
      <c r="M15" s="3">
        <f t="shared" si="12"/>
        <v>781.5</v>
      </c>
      <c r="N15" s="3">
        <f t="shared" si="13"/>
        <v>535.2</v>
      </c>
      <c r="O15" s="94">
        <f t="shared" si="14"/>
        <v>68.48368522072937</v>
      </c>
      <c r="P15" s="3"/>
      <c r="Q15" s="3"/>
      <c r="R15" s="94" t="e">
        <f t="shared" si="4"/>
        <v>#DIV/0!</v>
      </c>
      <c r="S15" s="3"/>
      <c r="T15" s="3"/>
      <c r="U15" s="14"/>
      <c r="V15" s="3"/>
      <c r="W15" s="3"/>
      <c r="X15" s="14"/>
      <c r="Y15" s="3">
        <f t="shared" si="15"/>
        <v>0</v>
      </c>
      <c r="Z15" s="3">
        <f t="shared" si="16"/>
        <v>0</v>
      </c>
      <c r="AA15" s="94" t="e">
        <f t="shared" si="5"/>
        <v>#DIV/0!</v>
      </c>
      <c r="AB15" s="3"/>
      <c r="AC15" s="3"/>
      <c r="AD15" s="14"/>
      <c r="AE15" s="3"/>
      <c r="AF15" s="3"/>
      <c r="AG15" s="14"/>
      <c r="AH15" s="3"/>
      <c r="AI15" s="3"/>
      <c r="AJ15" s="3">
        <f t="shared" si="17"/>
        <v>0</v>
      </c>
      <c r="AK15" s="3">
        <f t="shared" si="18"/>
        <v>0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781.5</v>
      </c>
      <c r="AT15" s="3">
        <f t="shared" si="20"/>
        <v>535.2</v>
      </c>
      <c r="AU15" s="96">
        <f>AT15/AS15*100</f>
        <v>68.48368522072937</v>
      </c>
      <c r="AV15" s="14">
        <f t="shared" si="7"/>
        <v>246.29999999999995</v>
      </c>
      <c r="AW15" s="4">
        <f t="shared" si="8"/>
        <v>750.7</v>
      </c>
      <c r="AX15" s="20">
        <f t="shared" si="9"/>
        <v>781.5</v>
      </c>
      <c r="AY15" s="20">
        <f t="shared" si="10"/>
        <v>535.2</v>
      </c>
      <c r="AZ15" s="20">
        <f t="shared" si="11"/>
        <v>750.7</v>
      </c>
    </row>
    <row r="16" spans="1:52" ht="34.5" customHeight="1">
      <c r="A16" s="6">
        <v>9</v>
      </c>
      <c r="B16" s="1" t="s">
        <v>34</v>
      </c>
      <c r="C16" s="2"/>
      <c r="D16" s="3"/>
      <c r="E16" s="3"/>
      <c r="F16" s="96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3">
        <f t="shared" si="12"/>
        <v>0</v>
      </c>
      <c r="N16" s="93">
        <f t="shared" si="13"/>
        <v>0</v>
      </c>
      <c r="O16" s="28" t="e">
        <f t="shared" si="14"/>
        <v>#DIV/0!</v>
      </c>
      <c r="P16" s="93"/>
      <c r="Q16" s="93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4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6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35</v>
      </c>
      <c r="C17" s="103"/>
      <c r="D17" s="41"/>
      <c r="E17" s="41"/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/>
      <c r="Q17" s="41"/>
      <c r="R17" s="28" t="e">
        <f t="shared" si="4"/>
        <v>#DIV/0!</v>
      </c>
      <c r="S17" s="41"/>
      <c r="T17" s="41"/>
      <c r="U17" s="33"/>
      <c r="V17" s="41"/>
      <c r="W17" s="41"/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/>
      <c r="AC17" s="41"/>
      <c r="AD17" s="33"/>
      <c r="AE17" s="41"/>
      <c r="AF17" s="41"/>
      <c r="AG17" s="33"/>
      <c r="AH17" s="41"/>
      <c r="AI17" s="41"/>
      <c r="AJ17" s="41">
        <f t="shared" si="17"/>
        <v>0</v>
      </c>
      <c r="AK17" s="41">
        <f t="shared" si="18"/>
        <v>0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41">
        <f t="shared" si="19"/>
        <v>0</v>
      </c>
      <c r="AT17" s="41">
        <f t="shared" si="20"/>
        <v>0</v>
      </c>
      <c r="AU17" s="28" t="e">
        <f>AT17/AS17*100</f>
        <v>#DIV/0!</v>
      </c>
      <c r="AV17" s="33">
        <f t="shared" si="7"/>
        <v>0</v>
      </c>
      <c r="AW17" s="100">
        <f t="shared" si="8"/>
        <v>0</v>
      </c>
      <c r="AX17" s="20">
        <f t="shared" si="9"/>
        <v>0</v>
      </c>
      <c r="AY17" s="20">
        <f t="shared" si="10"/>
        <v>0</v>
      </c>
      <c r="AZ17" s="20">
        <f t="shared" si="11"/>
        <v>0</v>
      </c>
    </row>
    <row r="18" spans="1:52" ht="34.5" customHeight="1">
      <c r="A18" s="6">
        <v>11</v>
      </c>
      <c r="B18" s="15" t="s">
        <v>36</v>
      </c>
      <c r="C18" s="2"/>
      <c r="D18" s="3"/>
      <c r="E18" s="3"/>
      <c r="F18" s="96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3">
        <f t="shared" si="12"/>
        <v>0</v>
      </c>
      <c r="N18" s="93">
        <f t="shared" si="13"/>
        <v>0</v>
      </c>
      <c r="O18" s="28" t="e">
        <f t="shared" si="14"/>
        <v>#DIV/0!</v>
      </c>
      <c r="P18" s="93"/>
      <c r="Q18" s="93"/>
      <c r="R18" s="28" t="e">
        <f t="shared" si="4"/>
        <v>#DIV/0!</v>
      </c>
      <c r="S18" s="93"/>
      <c r="T18" s="93"/>
      <c r="U18" s="28"/>
      <c r="V18" s="93"/>
      <c r="W18" s="93"/>
      <c r="X18" s="28"/>
      <c r="Y18" s="93">
        <f t="shared" si="15"/>
        <v>0</v>
      </c>
      <c r="Z18" s="93">
        <f t="shared" si="16"/>
        <v>0</v>
      </c>
      <c r="AA18" s="28" t="e">
        <f t="shared" si="5"/>
        <v>#DIV/0!</v>
      </c>
      <c r="AB18" s="93"/>
      <c r="AC18" s="93"/>
      <c r="AD18" s="28"/>
      <c r="AE18" s="93"/>
      <c r="AF18" s="93"/>
      <c r="AG18" s="28"/>
      <c r="AH18" s="93"/>
      <c r="AI18" s="93"/>
      <c r="AJ18" s="93"/>
      <c r="AK18" s="93"/>
      <c r="AL18" s="28" t="e">
        <f t="shared" si="6"/>
        <v>#DIV/0!</v>
      </c>
      <c r="AM18" s="93"/>
      <c r="AN18" s="93"/>
      <c r="AO18" s="93"/>
      <c r="AP18" s="93"/>
      <c r="AQ18" s="93"/>
      <c r="AR18" s="93"/>
      <c r="AS18" s="93"/>
      <c r="AT18" s="3"/>
      <c r="AU18" s="96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37</v>
      </c>
      <c r="C19" s="2">
        <f>10.7+(-13.5)</f>
        <v>-2.8000000000000007</v>
      </c>
      <c r="D19" s="3">
        <f>11.1+11</f>
        <v>22.1</v>
      </c>
      <c r="E19" s="3">
        <v>10</v>
      </c>
      <c r="F19" s="96">
        <f t="shared" si="1"/>
        <v>45.24886877828054</v>
      </c>
      <c r="G19" s="3">
        <f>10.1+10.4</f>
        <v>20.5</v>
      </c>
      <c r="H19" s="3">
        <f>2.1+11.2</f>
        <v>13.299999999999999</v>
      </c>
      <c r="I19" s="96">
        <f t="shared" si="2"/>
        <v>64.8780487804878</v>
      </c>
      <c r="J19" s="3"/>
      <c r="K19" s="3"/>
      <c r="L19" s="94" t="e">
        <f t="shared" si="3"/>
        <v>#DIV/0!</v>
      </c>
      <c r="M19" s="3">
        <f t="shared" si="12"/>
        <v>42.6</v>
      </c>
      <c r="N19" s="3">
        <f t="shared" si="13"/>
        <v>23.299999999999997</v>
      </c>
      <c r="O19" s="94">
        <f t="shared" si="14"/>
        <v>54.69483568075116</v>
      </c>
      <c r="P19" s="3"/>
      <c r="Q19" s="3"/>
      <c r="R19" s="94" t="e">
        <f t="shared" si="4"/>
        <v>#DIV/0!</v>
      </c>
      <c r="S19" s="3"/>
      <c r="T19" s="3"/>
      <c r="U19" s="14"/>
      <c r="V19" s="3"/>
      <c r="W19" s="3"/>
      <c r="X19" s="14"/>
      <c r="Y19" s="3">
        <f t="shared" si="15"/>
        <v>0</v>
      </c>
      <c r="Z19" s="3">
        <f t="shared" si="16"/>
        <v>0</v>
      </c>
      <c r="AA19" s="94" t="e">
        <f t="shared" si="5"/>
        <v>#DIV/0!</v>
      </c>
      <c r="AB19" s="3"/>
      <c r="AC19" s="3"/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42.6</v>
      </c>
      <c r="AT19" s="3">
        <f t="shared" si="20"/>
        <v>23.299999999999997</v>
      </c>
      <c r="AU19" s="96">
        <f>AT19/AS19*100</f>
        <v>54.69483568075116</v>
      </c>
      <c r="AV19" s="14">
        <f t="shared" si="7"/>
        <v>19.300000000000004</v>
      </c>
      <c r="AW19" s="4">
        <f t="shared" si="8"/>
        <v>16.5</v>
      </c>
      <c r="AX19" s="20">
        <f t="shared" si="9"/>
        <v>42.6</v>
      </c>
      <c r="AY19" s="20">
        <f t="shared" si="10"/>
        <v>23.299999999999997</v>
      </c>
      <c r="AZ19" s="20">
        <f t="shared" si="11"/>
        <v>16.5</v>
      </c>
    </row>
    <row r="20" spans="1:52" ht="34.5" customHeight="1">
      <c r="A20" s="6">
        <v>13</v>
      </c>
      <c r="B20" s="15" t="s">
        <v>38</v>
      </c>
      <c r="C20" s="2"/>
      <c r="D20" s="21"/>
      <c r="E20" s="21"/>
      <c r="F20" s="96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3">
        <f t="shared" si="12"/>
        <v>0</v>
      </c>
      <c r="N20" s="93">
        <f t="shared" si="13"/>
        <v>0</v>
      </c>
      <c r="O20" s="28" t="e">
        <f t="shared" si="14"/>
        <v>#DIV/0!</v>
      </c>
      <c r="P20" s="93"/>
      <c r="Q20" s="93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4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6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96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3">
        <f t="shared" si="12"/>
        <v>0</v>
      </c>
      <c r="N21" s="93">
        <f t="shared" si="13"/>
        <v>0</v>
      </c>
      <c r="O21" s="28" t="e">
        <f t="shared" si="14"/>
        <v>#DIV/0!</v>
      </c>
      <c r="P21" s="93"/>
      <c r="Q21" s="93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4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6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40</v>
      </c>
      <c r="C22" s="2">
        <v>8.3</v>
      </c>
      <c r="D22" s="3">
        <v>16</v>
      </c>
      <c r="E22" s="3">
        <v>16</v>
      </c>
      <c r="F22" s="96">
        <f t="shared" si="1"/>
        <v>100</v>
      </c>
      <c r="G22" s="41">
        <v>15.2</v>
      </c>
      <c r="H22" s="41">
        <v>1.8</v>
      </c>
      <c r="I22" s="33">
        <f t="shared" si="2"/>
        <v>11.842105263157896</v>
      </c>
      <c r="J22" s="41"/>
      <c r="K22" s="41"/>
      <c r="L22" s="94" t="e">
        <f t="shared" si="3"/>
        <v>#DIV/0!</v>
      </c>
      <c r="M22" s="3">
        <f t="shared" si="12"/>
        <v>31.2</v>
      </c>
      <c r="N22" s="3">
        <f t="shared" si="13"/>
        <v>17.8</v>
      </c>
      <c r="O22" s="94">
        <f t="shared" si="14"/>
        <v>57.05128205128206</v>
      </c>
      <c r="P22" s="41"/>
      <c r="Q22" s="41"/>
      <c r="R22" s="94" t="e">
        <f t="shared" si="4"/>
        <v>#DIV/0!</v>
      </c>
      <c r="S22" s="41"/>
      <c r="T22" s="41"/>
      <c r="U22" s="14"/>
      <c r="V22" s="41"/>
      <c r="W22" s="41"/>
      <c r="X22" s="14"/>
      <c r="Y22" s="3">
        <f t="shared" si="15"/>
        <v>0</v>
      </c>
      <c r="Z22" s="3">
        <f t="shared" si="16"/>
        <v>0</v>
      </c>
      <c r="AA22" s="94" t="e">
        <f t="shared" si="5"/>
        <v>#DIV/0!</v>
      </c>
      <c r="AB22" s="41"/>
      <c r="AC22" s="41"/>
      <c r="AD22" s="14"/>
      <c r="AE22" s="3"/>
      <c r="AF22" s="3"/>
      <c r="AG22" s="36"/>
      <c r="AH22" s="3"/>
      <c r="AI22" s="3"/>
      <c r="AJ22" s="3">
        <f t="shared" si="17"/>
        <v>0</v>
      </c>
      <c r="AK22" s="3">
        <f t="shared" si="18"/>
        <v>0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31.2</v>
      </c>
      <c r="AT22" s="3">
        <f t="shared" si="20"/>
        <v>17.8</v>
      </c>
      <c r="AU22" s="96">
        <f>AT22/AS22*100</f>
        <v>57.05128205128206</v>
      </c>
      <c r="AV22" s="14">
        <f t="shared" si="7"/>
        <v>13.399999999999999</v>
      </c>
      <c r="AW22" s="4">
        <f t="shared" si="8"/>
        <v>21.7</v>
      </c>
      <c r="AX22" s="20">
        <f t="shared" si="9"/>
        <v>31.2</v>
      </c>
      <c r="AY22" s="20">
        <f t="shared" si="10"/>
        <v>17.8</v>
      </c>
      <c r="AZ22" s="20">
        <f t="shared" si="11"/>
        <v>21.7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127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3">
        <f t="shared" si="12"/>
        <v>0</v>
      </c>
      <c r="N23" s="93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93">
        <f t="shared" si="15"/>
        <v>0</v>
      </c>
      <c r="Z23" s="93">
        <f t="shared" si="16"/>
        <v>0</v>
      </c>
      <c r="AA23" s="94" t="e">
        <f t="shared" si="5"/>
        <v>#DIV/0!</v>
      </c>
      <c r="AB23" s="42"/>
      <c r="AC23" s="42"/>
      <c r="AD23" s="42"/>
      <c r="AE23" s="77"/>
      <c r="AF23" s="77"/>
      <c r="AG23" s="77"/>
      <c r="AH23" s="77"/>
      <c r="AI23" s="77"/>
      <c r="AJ23" s="3"/>
      <c r="AK23" s="3"/>
      <c r="AL23" s="28" t="e">
        <f t="shared" si="6"/>
        <v>#DIV/0!</v>
      </c>
      <c r="AM23" s="77"/>
      <c r="AN23" s="77"/>
      <c r="AO23" s="77"/>
      <c r="AP23" s="77"/>
      <c r="AQ23" s="77"/>
      <c r="AR23" s="77"/>
      <c r="AS23" s="3"/>
      <c r="AT23" s="3"/>
      <c r="AU23" s="127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42</v>
      </c>
      <c r="C24" s="2">
        <v>532.2</v>
      </c>
      <c r="D24" s="3">
        <v>509.8</v>
      </c>
      <c r="E24" s="3">
        <v>306.6</v>
      </c>
      <c r="F24" s="96">
        <f t="shared" si="1"/>
        <v>60.14123185562966</v>
      </c>
      <c r="G24" s="3">
        <v>439.3</v>
      </c>
      <c r="H24" s="3">
        <v>321.6</v>
      </c>
      <c r="I24" s="96">
        <f t="shared" si="2"/>
        <v>73.20737536990667</v>
      </c>
      <c r="J24" s="3"/>
      <c r="K24" s="3"/>
      <c r="L24" s="94" t="e">
        <f t="shared" si="3"/>
        <v>#DIV/0!</v>
      </c>
      <c r="M24" s="3">
        <f t="shared" si="12"/>
        <v>949.1</v>
      </c>
      <c r="N24" s="3">
        <f t="shared" si="13"/>
        <v>628.2</v>
      </c>
      <c r="O24" s="94">
        <f t="shared" si="14"/>
        <v>66.18902117795807</v>
      </c>
      <c r="P24" s="3"/>
      <c r="Q24" s="3"/>
      <c r="R24" s="94" t="e">
        <f t="shared" si="4"/>
        <v>#DIV/0!</v>
      </c>
      <c r="S24" s="3"/>
      <c r="T24" s="3"/>
      <c r="U24" s="28" t="e">
        <f>T24/S24*100</f>
        <v>#DIV/0!</v>
      </c>
      <c r="V24" s="3"/>
      <c r="W24" s="3"/>
      <c r="X24" s="28"/>
      <c r="Y24" s="3">
        <f t="shared" si="15"/>
        <v>0</v>
      </c>
      <c r="Z24" s="3">
        <f t="shared" si="16"/>
        <v>0</v>
      </c>
      <c r="AA24" s="94" t="e">
        <f t="shared" si="5"/>
        <v>#DIV/0!</v>
      </c>
      <c r="AB24" s="3"/>
      <c r="AC24" s="3"/>
      <c r="AD24" s="94" t="e">
        <f>AC24/AB24*100</f>
        <v>#DIV/0!</v>
      </c>
      <c r="AE24" s="3"/>
      <c r="AF24" s="3"/>
      <c r="AG24" s="14"/>
      <c r="AH24" s="3"/>
      <c r="AI24" s="3"/>
      <c r="AJ24" s="3">
        <f t="shared" si="17"/>
        <v>0</v>
      </c>
      <c r="AK24" s="3">
        <f t="shared" si="18"/>
        <v>0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9"/>
        <v>949.1</v>
      </c>
      <c r="AT24" s="3">
        <f t="shared" si="20"/>
        <v>628.2</v>
      </c>
      <c r="AU24" s="96">
        <f>AT24/AS24*100</f>
        <v>66.18902117795807</v>
      </c>
      <c r="AV24" s="14">
        <f t="shared" si="7"/>
        <v>320.9</v>
      </c>
      <c r="AW24" s="4">
        <f t="shared" si="8"/>
        <v>853.1000000000001</v>
      </c>
      <c r="AX24" s="20">
        <f t="shared" si="9"/>
        <v>949.1</v>
      </c>
      <c r="AY24" s="20">
        <f t="shared" si="10"/>
        <v>628.2</v>
      </c>
      <c r="AZ24" s="20">
        <f t="shared" si="11"/>
        <v>853.1000000000001</v>
      </c>
    </row>
    <row r="25" spans="1:52" ht="34.5" customHeight="1">
      <c r="A25" s="6">
        <v>18</v>
      </c>
      <c r="B25" s="1" t="s">
        <v>43</v>
      </c>
      <c r="C25" s="2">
        <v>-3.5</v>
      </c>
      <c r="D25" s="3">
        <v>0.5</v>
      </c>
      <c r="E25" s="3">
        <v>0</v>
      </c>
      <c r="F25" s="96">
        <f t="shared" si="1"/>
        <v>0</v>
      </c>
      <c r="G25" s="41">
        <v>0.6</v>
      </c>
      <c r="H25" s="41">
        <v>0</v>
      </c>
      <c r="I25" s="96">
        <f t="shared" si="2"/>
        <v>0</v>
      </c>
      <c r="J25" s="41"/>
      <c r="K25" s="41"/>
      <c r="L25" s="94" t="e">
        <f t="shared" si="3"/>
        <v>#DIV/0!</v>
      </c>
      <c r="M25" s="3">
        <f t="shared" si="12"/>
        <v>1.1</v>
      </c>
      <c r="N25" s="3">
        <f t="shared" si="13"/>
        <v>0</v>
      </c>
      <c r="O25" s="94">
        <f t="shared" si="14"/>
        <v>0</v>
      </c>
      <c r="P25" s="41"/>
      <c r="Q25" s="41"/>
      <c r="R25" s="94" t="e">
        <f t="shared" si="4"/>
        <v>#DIV/0!</v>
      </c>
      <c r="S25" s="41"/>
      <c r="T25" s="41"/>
      <c r="U25" s="33"/>
      <c r="V25" s="41"/>
      <c r="W25" s="41"/>
      <c r="X25" s="14"/>
      <c r="Y25" s="3">
        <f t="shared" si="15"/>
        <v>0</v>
      </c>
      <c r="Z25" s="3">
        <f t="shared" si="16"/>
        <v>0</v>
      </c>
      <c r="AA25" s="94" t="e">
        <f t="shared" si="5"/>
        <v>#DIV/0!</v>
      </c>
      <c r="AB25" s="41"/>
      <c r="AC25" s="41"/>
      <c r="AD25" s="14"/>
      <c r="AE25" s="41"/>
      <c r="AF25" s="41"/>
      <c r="AG25" s="33"/>
      <c r="AH25" s="41"/>
      <c r="AI25" s="41"/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1.1</v>
      </c>
      <c r="AT25" s="3">
        <f t="shared" si="20"/>
        <v>0</v>
      </c>
      <c r="AU25" s="96">
        <f>AT25/AS25*100</f>
        <v>0</v>
      </c>
      <c r="AV25" s="14">
        <f t="shared" si="7"/>
        <v>1.1</v>
      </c>
      <c r="AW25" s="4">
        <f t="shared" si="8"/>
        <v>-2.4</v>
      </c>
      <c r="AX25" s="20">
        <f t="shared" si="9"/>
        <v>1.1</v>
      </c>
      <c r="AY25" s="20">
        <f t="shared" si="10"/>
        <v>0</v>
      </c>
      <c r="AZ25" s="20">
        <f t="shared" si="11"/>
        <v>-2.4</v>
      </c>
    </row>
    <row r="26" spans="1:52" ht="34.5" customHeight="1">
      <c r="A26" s="6">
        <v>19</v>
      </c>
      <c r="B26" s="15" t="s">
        <v>44</v>
      </c>
      <c r="C26" s="2"/>
      <c r="D26" s="41"/>
      <c r="E26" s="41"/>
      <c r="F26" s="96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3">
        <f t="shared" si="12"/>
        <v>0</v>
      </c>
      <c r="N26" s="93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4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6"/>
      <c r="AV26" s="28">
        <f t="shared" si="7"/>
        <v>0</v>
      </c>
      <c r="AW26" s="99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45</v>
      </c>
      <c r="C27" s="2"/>
      <c r="D27" s="3"/>
      <c r="E27" s="3"/>
      <c r="F27" s="96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3">
        <f t="shared" si="12"/>
        <v>0</v>
      </c>
      <c r="N27" s="93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4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6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01" t="s">
        <v>46</v>
      </c>
      <c r="C28" s="2">
        <v>333.9</v>
      </c>
      <c r="D28" s="3">
        <v>198.4</v>
      </c>
      <c r="E28" s="3">
        <v>258.2</v>
      </c>
      <c r="F28" s="96">
        <f t="shared" si="1"/>
        <v>130.14112903225805</v>
      </c>
      <c r="G28" s="41">
        <v>182</v>
      </c>
      <c r="H28" s="41">
        <v>174.5</v>
      </c>
      <c r="I28" s="96">
        <f t="shared" si="2"/>
        <v>95.87912087912088</v>
      </c>
      <c r="J28" s="41"/>
      <c r="K28" s="41"/>
      <c r="L28" s="94" t="e">
        <f t="shared" si="3"/>
        <v>#DIV/0!</v>
      </c>
      <c r="M28" s="3">
        <f t="shared" si="12"/>
        <v>380.4</v>
      </c>
      <c r="N28" s="3">
        <f t="shared" si="13"/>
        <v>432.7</v>
      </c>
      <c r="O28" s="94">
        <f t="shared" si="14"/>
        <v>113.74868559411146</v>
      </c>
      <c r="P28" s="41"/>
      <c r="Q28" s="41"/>
      <c r="R28" s="94" t="e">
        <f t="shared" si="4"/>
        <v>#DIV/0!</v>
      </c>
      <c r="S28" s="41"/>
      <c r="T28" s="41"/>
      <c r="U28" s="14"/>
      <c r="V28" s="41"/>
      <c r="W28" s="41"/>
      <c r="X28" s="14"/>
      <c r="Y28" s="3">
        <f t="shared" si="15"/>
        <v>0</v>
      </c>
      <c r="Z28" s="3">
        <f t="shared" si="16"/>
        <v>0</v>
      </c>
      <c r="AA28" s="94" t="e">
        <f t="shared" si="5"/>
        <v>#DIV/0!</v>
      </c>
      <c r="AB28" s="41"/>
      <c r="AC28" s="41"/>
      <c r="AD28" s="14"/>
      <c r="AE28" s="41"/>
      <c r="AF28" s="41"/>
      <c r="AG28" s="36"/>
      <c r="AH28" s="3"/>
      <c r="AI28" s="3"/>
      <c r="AJ28" s="3">
        <f t="shared" si="17"/>
        <v>0</v>
      </c>
      <c r="AK28" s="3">
        <f t="shared" si="18"/>
        <v>0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380.4</v>
      </c>
      <c r="AT28" s="3">
        <f t="shared" si="20"/>
        <v>432.7</v>
      </c>
      <c r="AU28" s="96">
        <f>AT28/AS28*100</f>
        <v>113.74868559411146</v>
      </c>
      <c r="AV28" s="14">
        <f t="shared" si="7"/>
        <v>-52.30000000000001</v>
      </c>
      <c r="AW28" s="4">
        <f t="shared" si="8"/>
        <v>281.59999999999997</v>
      </c>
      <c r="AX28" s="20">
        <f t="shared" si="9"/>
        <v>380.4</v>
      </c>
      <c r="AY28" s="20">
        <f t="shared" si="10"/>
        <v>432.7</v>
      </c>
      <c r="AZ28" s="20">
        <f t="shared" si="11"/>
        <v>281.59999999999997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126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3">
        <f t="shared" si="12"/>
        <v>0</v>
      </c>
      <c r="N29" s="93">
        <f t="shared" si="13"/>
        <v>0</v>
      </c>
      <c r="O29" s="28" t="e">
        <f t="shared" si="14"/>
        <v>#DIV/0!</v>
      </c>
      <c r="P29" s="92"/>
      <c r="Q29" s="92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4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8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126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3">
        <f t="shared" si="12"/>
        <v>0</v>
      </c>
      <c r="N30" s="93">
        <f t="shared" si="13"/>
        <v>0</v>
      </c>
      <c r="O30" s="28" t="e">
        <f t="shared" si="14"/>
        <v>#DIV/0!</v>
      </c>
      <c r="P30" s="129"/>
      <c r="Q30" s="129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4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6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126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3">
        <f t="shared" si="12"/>
        <v>0</v>
      </c>
      <c r="N31" s="93">
        <f t="shared" si="13"/>
        <v>0</v>
      </c>
      <c r="O31" s="28" t="e">
        <f t="shared" si="14"/>
        <v>#DIV/0!</v>
      </c>
      <c r="P31" s="92"/>
      <c r="Q31" s="92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4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8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52.3</v>
      </c>
      <c r="D32" s="45">
        <f aca="true" t="shared" si="21" ref="D32:AW32">D33+D34+D35+D36</f>
        <v>55.9</v>
      </c>
      <c r="E32" s="45">
        <f t="shared" si="21"/>
        <v>49.5</v>
      </c>
      <c r="F32" s="96">
        <f>E32/D32*100</f>
        <v>88.5509838998211</v>
      </c>
      <c r="G32" s="45">
        <f t="shared" si="21"/>
        <v>51.2</v>
      </c>
      <c r="H32" s="45">
        <f t="shared" si="21"/>
        <v>53.1</v>
      </c>
      <c r="I32" s="96">
        <f t="shared" si="2"/>
        <v>103.7109375</v>
      </c>
      <c r="J32" s="45">
        <f t="shared" si="21"/>
        <v>0</v>
      </c>
      <c r="K32" s="45">
        <f t="shared" si="21"/>
        <v>0</v>
      </c>
      <c r="L32" s="94" t="e">
        <f t="shared" si="3"/>
        <v>#DIV/0!</v>
      </c>
      <c r="M32" s="45">
        <f t="shared" si="21"/>
        <v>107.1</v>
      </c>
      <c r="N32" s="45">
        <f t="shared" si="21"/>
        <v>102.6</v>
      </c>
      <c r="O32" s="94">
        <f t="shared" si="14"/>
        <v>95.7983193277311</v>
      </c>
      <c r="P32" s="45">
        <f t="shared" si="21"/>
        <v>0</v>
      </c>
      <c r="Q32" s="45">
        <f t="shared" si="21"/>
        <v>0</v>
      </c>
      <c r="R32" s="28" t="e">
        <f t="shared" si="4"/>
        <v>#DIV/0!</v>
      </c>
      <c r="S32" s="45">
        <f t="shared" si="21"/>
        <v>0</v>
      </c>
      <c r="T32" s="45">
        <f t="shared" si="21"/>
        <v>0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0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107.1</v>
      </c>
      <c r="AT32" s="45">
        <f t="shared" si="21"/>
        <v>102.6</v>
      </c>
      <c r="AU32" s="96">
        <f>AT32/AS32*100</f>
        <v>95.7983193277311</v>
      </c>
      <c r="AV32" s="45">
        <f t="shared" si="21"/>
        <v>4.5</v>
      </c>
      <c r="AW32" s="45">
        <f t="shared" si="21"/>
        <v>56.79999999999998</v>
      </c>
      <c r="AX32" s="20">
        <f t="shared" si="9"/>
        <v>107.1</v>
      </c>
      <c r="AY32" s="20">
        <f t="shared" si="10"/>
        <v>102.6</v>
      </c>
      <c r="AZ32" s="20">
        <f t="shared" si="11"/>
        <v>56.79999999999998</v>
      </c>
    </row>
    <row r="33" spans="1:52" ht="34.5" customHeight="1">
      <c r="A33" s="6"/>
      <c r="B33" s="15" t="s">
        <v>74</v>
      </c>
      <c r="C33" s="2"/>
      <c r="D33" s="3"/>
      <c r="E33" s="3"/>
      <c r="F33" s="96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3">
        <f>D33+G33+J33</f>
        <v>0</v>
      </c>
      <c r="N33" s="93">
        <f>E33+H33+K33</f>
        <v>0</v>
      </c>
      <c r="O33" s="28" t="e">
        <f t="shared" si="14"/>
        <v>#DIV/0!</v>
      </c>
      <c r="P33" s="93"/>
      <c r="Q33" s="93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4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6"/>
      <c r="AV33" s="28">
        <f t="shared" si="7"/>
        <v>0</v>
      </c>
      <c r="AW33" s="99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21</v>
      </c>
      <c r="C34" s="2">
        <v>52.3</v>
      </c>
      <c r="D34" s="3">
        <v>55.9</v>
      </c>
      <c r="E34" s="3">
        <v>49.5</v>
      </c>
      <c r="F34" s="96">
        <f>E34/D34*100</f>
        <v>88.5509838998211</v>
      </c>
      <c r="G34" s="3">
        <v>51.2</v>
      </c>
      <c r="H34" s="3">
        <v>53.1</v>
      </c>
      <c r="I34" s="96">
        <f t="shared" si="2"/>
        <v>103.7109375</v>
      </c>
      <c r="J34" s="3"/>
      <c r="K34" s="3"/>
      <c r="L34" s="94" t="e">
        <f t="shared" si="3"/>
        <v>#DIV/0!</v>
      </c>
      <c r="M34" s="3">
        <f aca="true" t="shared" si="22" ref="M34:M44">D34+G34+J34</f>
        <v>107.1</v>
      </c>
      <c r="N34" s="3">
        <f aca="true" t="shared" si="23" ref="N34:N44">E34+H34+K34</f>
        <v>102.6</v>
      </c>
      <c r="O34" s="94">
        <f t="shared" si="14"/>
        <v>95.7983193277311</v>
      </c>
      <c r="P34" s="3"/>
      <c r="Q34" s="3"/>
      <c r="R34" s="28" t="e">
        <f t="shared" si="4"/>
        <v>#DIV/0!</v>
      </c>
      <c r="S34" s="3"/>
      <c r="T34" s="3"/>
      <c r="U34" s="28" t="e">
        <f>T34/S34*100</f>
        <v>#DIV/0!</v>
      </c>
      <c r="V34" s="3"/>
      <c r="W34" s="3"/>
      <c r="X34" s="28"/>
      <c r="Y34" s="3">
        <f t="shared" si="15"/>
        <v>0</v>
      </c>
      <c r="Z34" s="3">
        <f t="shared" si="16"/>
        <v>0</v>
      </c>
      <c r="AA34" s="28" t="e">
        <f t="shared" si="5"/>
        <v>#DIV/0!</v>
      </c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107.1</v>
      </c>
      <c r="AT34" s="3">
        <f>N34+Z34+AK34+AN34+AP34+AR34</f>
        <v>102.6</v>
      </c>
      <c r="AU34" s="96">
        <f>AT34/AS34*100</f>
        <v>95.7983193277311</v>
      </c>
      <c r="AV34" s="14">
        <f>AS34-AT34</f>
        <v>4.5</v>
      </c>
      <c r="AW34" s="4">
        <f>C34+AS34-AT34</f>
        <v>56.79999999999998</v>
      </c>
      <c r="AX34" s="20">
        <f t="shared" si="9"/>
        <v>107.1</v>
      </c>
      <c r="AY34" s="20">
        <f t="shared" si="10"/>
        <v>102.6</v>
      </c>
      <c r="AZ34" s="20">
        <f t="shared" si="11"/>
        <v>56.79999999999998</v>
      </c>
    </row>
    <row r="35" spans="1:52" ht="34.5" customHeight="1" hidden="1">
      <c r="A35" s="6"/>
      <c r="B35" s="15" t="s">
        <v>23</v>
      </c>
      <c r="C35" s="2"/>
      <c r="D35" s="3"/>
      <c r="E35" s="3"/>
      <c r="F35" s="96"/>
      <c r="G35" s="3"/>
      <c r="H35" s="3"/>
      <c r="I35" s="96" t="e">
        <f t="shared" si="2"/>
        <v>#DIV/0!</v>
      </c>
      <c r="J35" s="3"/>
      <c r="K35" s="3"/>
      <c r="L35" s="94" t="e">
        <f t="shared" si="3"/>
        <v>#DIV/0!</v>
      </c>
      <c r="M35" s="3">
        <f t="shared" si="22"/>
        <v>0</v>
      </c>
      <c r="N35" s="3">
        <f t="shared" si="23"/>
        <v>0</v>
      </c>
      <c r="O35" s="94" t="e">
        <f t="shared" si="14"/>
        <v>#DIV/0!</v>
      </c>
      <c r="P35" s="3"/>
      <c r="Q35" s="3"/>
      <c r="R35" s="94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4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6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96"/>
      <c r="G36" s="3"/>
      <c r="H36" s="3"/>
      <c r="I36" s="28" t="e">
        <f t="shared" si="2"/>
        <v>#DIV/0!</v>
      </c>
      <c r="J36" s="3"/>
      <c r="K36" s="3"/>
      <c r="L36" s="28" t="e">
        <f t="shared" si="3"/>
        <v>#DIV/0!</v>
      </c>
      <c r="M36" s="93">
        <f t="shared" si="22"/>
        <v>0</v>
      </c>
      <c r="N36" s="93">
        <f t="shared" si="23"/>
        <v>0</v>
      </c>
      <c r="O36" s="28" t="e">
        <f t="shared" si="14"/>
        <v>#DIV/0!</v>
      </c>
      <c r="P36" s="93"/>
      <c r="Q36" s="93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6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51</v>
      </c>
      <c r="C37" s="2">
        <v>655.4</v>
      </c>
      <c r="D37" s="3">
        <v>24.4</v>
      </c>
      <c r="E37" s="3">
        <v>519.9</v>
      </c>
      <c r="F37" s="96">
        <f aca="true" t="shared" si="24" ref="F37:F46">E37/D37*100</f>
        <v>2130.7377049180327</v>
      </c>
      <c r="G37" s="3">
        <v>24.5</v>
      </c>
      <c r="H37" s="3">
        <v>123.8</v>
      </c>
      <c r="I37" s="96">
        <f t="shared" si="2"/>
        <v>505.30612244897964</v>
      </c>
      <c r="J37" s="3"/>
      <c r="K37" s="3"/>
      <c r="L37" s="94" t="e">
        <f t="shared" si="3"/>
        <v>#DIV/0!</v>
      </c>
      <c r="M37" s="3">
        <f t="shared" si="22"/>
        <v>48.9</v>
      </c>
      <c r="N37" s="3">
        <f t="shared" si="23"/>
        <v>643.6999999999999</v>
      </c>
      <c r="O37" s="94">
        <f t="shared" si="14"/>
        <v>1316.3599182004089</v>
      </c>
      <c r="P37" s="3"/>
      <c r="Q37" s="3"/>
      <c r="R37" s="94" t="e">
        <f t="shared" si="4"/>
        <v>#DIV/0!</v>
      </c>
      <c r="S37" s="3"/>
      <c r="T37" s="3"/>
      <c r="U37" s="14"/>
      <c r="V37" s="3"/>
      <c r="W37" s="3"/>
      <c r="X37" s="14"/>
      <c r="Y37" s="3">
        <f t="shared" si="15"/>
        <v>0</v>
      </c>
      <c r="Z37" s="3">
        <f t="shared" si="16"/>
        <v>0</v>
      </c>
      <c r="AA37" s="94" t="e">
        <f t="shared" si="5"/>
        <v>#DIV/0!</v>
      </c>
      <c r="AB37" s="3"/>
      <c r="AC37" s="3"/>
      <c r="AD37" s="14"/>
      <c r="AE37" s="3"/>
      <c r="AF37" s="3"/>
      <c r="AG37" s="14"/>
      <c r="AH37" s="3"/>
      <c r="AI37" s="3"/>
      <c r="AJ37" s="3">
        <f t="shared" si="17"/>
        <v>0</v>
      </c>
      <c r="AK37" s="3">
        <f t="shared" si="18"/>
        <v>0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9"/>
        <v>48.9</v>
      </c>
      <c r="AT37" s="3">
        <f t="shared" si="20"/>
        <v>643.6999999999999</v>
      </c>
      <c r="AU37" s="96">
        <f aca="true" t="shared" si="25" ref="AU37:AU49">AT37/AS37*100</f>
        <v>1316.3599182004089</v>
      </c>
      <c r="AV37" s="14">
        <f aca="true" t="shared" si="26" ref="AV37:AV44">AS37-AT37</f>
        <v>-594.8</v>
      </c>
      <c r="AW37" s="4">
        <f aca="true" t="shared" si="27" ref="AW37:AW44">C37+AS37-AT37</f>
        <v>60.60000000000002</v>
      </c>
      <c r="AX37" s="20">
        <f t="shared" si="9"/>
        <v>48.9</v>
      </c>
      <c r="AY37" s="20">
        <f t="shared" si="10"/>
        <v>643.6999999999999</v>
      </c>
      <c r="AZ37" s="20">
        <f t="shared" si="11"/>
        <v>60.60000000000002</v>
      </c>
    </row>
    <row r="38" spans="1:52" ht="34.5" customHeight="1">
      <c r="A38" s="6">
        <v>27</v>
      </c>
      <c r="B38" s="104" t="s">
        <v>52</v>
      </c>
      <c r="C38" s="2">
        <v>155</v>
      </c>
      <c r="D38" s="3">
        <v>127.2</v>
      </c>
      <c r="E38" s="3">
        <v>151.3</v>
      </c>
      <c r="F38" s="96">
        <f t="shared" si="24"/>
        <v>118.94654088050316</v>
      </c>
      <c r="G38" s="3">
        <v>113.9</v>
      </c>
      <c r="H38" s="3">
        <v>127.2</v>
      </c>
      <c r="I38" s="96">
        <f t="shared" si="2"/>
        <v>111.67690956979806</v>
      </c>
      <c r="J38" s="3"/>
      <c r="K38" s="3"/>
      <c r="L38" s="94" t="e">
        <f t="shared" si="3"/>
        <v>#DIV/0!</v>
      </c>
      <c r="M38" s="3">
        <f t="shared" si="22"/>
        <v>241.10000000000002</v>
      </c>
      <c r="N38" s="3">
        <f t="shared" si="23"/>
        <v>278.5</v>
      </c>
      <c r="O38" s="94">
        <f t="shared" si="14"/>
        <v>115.51223558689338</v>
      </c>
      <c r="P38" s="3"/>
      <c r="Q38" s="3"/>
      <c r="R38" s="94" t="e">
        <f t="shared" si="4"/>
        <v>#DIV/0!</v>
      </c>
      <c r="S38" s="3"/>
      <c r="T38" s="3"/>
      <c r="U38" s="14"/>
      <c r="V38" s="3"/>
      <c r="W38" s="3"/>
      <c r="X38" s="14"/>
      <c r="Y38" s="3">
        <f t="shared" si="15"/>
        <v>0</v>
      </c>
      <c r="Z38" s="3">
        <f t="shared" si="16"/>
        <v>0</v>
      </c>
      <c r="AA38" s="94" t="e">
        <f t="shared" si="5"/>
        <v>#DIV/0!</v>
      </c>
      <c r="AB38" s="3"/>
      <c r="AC38" s="3"/>
      <c r="AD38" s="14"/>
      <c r="AE38" s="3"/>
      <c r="AF38" s="3"/>
      <c r="AG38" s="14"/>
      <c r="AH38" s="3"/>
      <c r="AI38" s="3"/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241.10000000000002</v>
      </c>
      <c r="AT38" s="3">
        <f t="shared" si="20"/>
        <v>278.5</v>
      </c>
      <c r="AU38" s="96">
        <f t="shared" si="25"/>
        <v>115.51223558689338</v>
      </c>
      <c r="AV38" s="14">
        <f t="shared" si="26"/>
        <v>-37.39999999999998</v>
      </c>
      <c r="AW38" s="4">
        <f t="shared" si="27"/>
        <v>117.60000000000002</v>
      </c>
      <c r="AX38" s="20">
        <f t="shared" si="9"/>
        <v>241.10000000000002</v>
      </c>
      <c r="AY38" s="20">
        <f t="shared" si="10"/>
        <v>278.5</v>
      </c>
      <c r="AZ38" s="20">
        <f t="shared" si="11"/>
        <v>117.60000000000002</v>
      </c>
    </row>
    <row r="39" spans="1:52" ht="34.5" customHeight="1">
      <c r="A39" s="6">
        <v>28</v>
      </c>
      <c r="B39" s="105" t="s">
        <v>53</v>
      </c>
      <c r="C39" s="2">
        <v>786.7</v>
      </c>
      <c r="D39" s="3">
        <v>444.8</v>
      </c>
      <c r="E39" s="3">
        <v>373.7</v>
      </c>
      <c r="F39" s="96">
        <f t="shared" si="24"/>
        <v>84.01528776978417</v>
      </c>
      <c r="G39" s="3">
        <v>384</v>
      </c>
      <c r="H39" s="3">
        <v>429.6</v>
      </c>
      <c r="I39" s="96">
        <f t="shared" si="2"/>
        <v>111.87500000000001</v>
      </c>
      <c r="J39" s="3"/>
      <c r="K39" s="3"/>
      <c r="L39" s="94" t="e">
        <f t="shared" si="3"/>
        <v>#DIV/0!</v>
      </c>
      <c r="M39" s="3">
        <f t="shared" si="22"/>
        <v>828.8</v>
      </c>
      <c r="N39" s="3">
        <f t="shared" si="23"/>
        <v>803.3</v>
      </c>
      <c r="O39" s="94">
        <f t="shared" si="14"/>
        <v>96.92326254826254</v>
      </c>
      <c r="P39" s="3"/>
      <c r="Q39" s="3"/>
      <c r="R39" s="28" t="e">
        <f t="shared" si="4"/>
        <v>#DIV/0!</v>
      </c>
      <c r="S39" s="3"/>
      <c r="T39" s="3"/>
      <c r="U39" s="14"/>
      <c r="V39" s="3"/>
      <c r="W39" s="3"/>
      <c r="X39" s="14"/>
      <c r="Y39" s="3">
        <f t="shared" si="15"/>
        <v>0</v>
      </c>
      <c r="Z39" s="3">
        <f t="shared" si="16"/>
        <v>0</v>
      </c>
      <c r="AA39" s="94" t="e">
        <f t="shared" si="5"/>
        <v>#DIV/0!</v>
      </c>
      <c r="AB39" s="3"/>
      <c r="AC39" s="3"/>
      <c r="AD39" s="14"/>
      <c r="AE39" s="3"/>
      <c r="AF39" s="3"/>
      <c r="AG39" s="14"/>
      <c r="AH39" s="3"/>
      <c r="AI39" s="3"/>
      <c r="AJ39" s="3">
        <f t="shared" si="17"/>
        <v>0</v>
      </c>
      <c r="AK39" s="3">
        <f t="shared" si="18"/>
        <v>0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9"/>
        <v>828.8</v>
      </c>
      <c r="AT39" s="3">
        <f t="shared" si="20"/>
        <v>803.3</v>
      </c>
      <c r="AU39" s="96">
        <f t="shared" si="25"/>
        <v>96.92326254826254</v>
      </c>
      <c r="AV39" s="14">
        <f t="shared" si="26"/>
        <v>25.5</v>
      </c>
      <c r="AW39" s="4">
        <f t="shared" si="27"/>
        <v>812.2</v>
      </c>
      <c r="AX39" s="20">
        <f t="shared" si="9"/>
        <v>828.8</v>
      </c>
      <c r="AY39" s="20">
        <f t="shared" si="10"/>
        <v>803.3</v>
      </c>
      <c r="AZ39" s="20">
        <f t="shared" si="11"/>
        <v>812.2</v>
      </c>
    </row>
    <row r="40" spans="1:52" ht="34.5" customHeight="1">
      <c r="A40" s="6">
        <v>29</v>
      </c>
      <c r="B40" s="105" t="s">
        <v>54</v>
      </c>
      <c r="C40" s="2">
        <v>699.8</v>
      </c>
      <c r="D40" s="3">
        <v>641.7</v>
      </c>
      <c r="E40" s="3">
        <v>762</v>
      </c>
      <c r="F40" s="96">
        <f t="shared" si="24"/>
        <v>118.74707807386629</v>
      </c>
      <c r="G40" s="3">
        <v>521</v>
      </c>
      <c r="H40" s="3">
        <v>770.6</v>
      </c>
      <c r="I40" s="96">
        <f t="shared" si="2"/>
        <v>147.90786948176583</v>
      </c>
      <c r="J40" s="3"/>
      <c r="K40" s="3"/>
      <c r="L40" s="94" t="e">
        <f t="shared" si="3"/>
        <v>#DIV/0!</v>
      </c>
      <c r="M40" s="3">
        <f t="shared" si="22"/>
        <v>1162.7</v>
      </c>
      <c r="N40" s="3">
        <f t="shared" si="23"/>
        <v>1532.6</v>
      </c>
      <c r="O40" s="94">
        <f t="shared" si="14"/>
        <v>131.81388148275565</v>
      </c>
      <c r="P40" s="3"/>
      <c r="Q40" s="3"/>
      <c r="R40" s="94" t="e">
        <f t="shared" si="4"/>
        <v>#DIV/0!</v>
      </c>
      <c r="S40" s="3"/>
      <c r="T40" s="3"/>
      <c r="U40" s="14"/>
      <c r="V40" s="3"/>
      <c r="W40" s="3"/>
      <c r="X40" s="14"/>
      <c r="Y40" s="3">
        <f t="shared" si="15"/>
        <v>0</v>
      </c>
      <c r="Z40" s="3">
        <f t="shared" si="16"/>
        <v>0</v>
      </c>
      <c r="AA40" s="94" t="e">
        <f t="shared" si="5"/>
        <v>#DIV/0!</v>
      </c>
      <c r="AB40" s="3"/>
      <c r="AC40" s="3"/>
      <c r="AD40" s="14"/>
      <c r="AE40" s="3"/>
      <c r="AF40" s="3"/>
      <c r="AG40" s="14"/>
      <c r="AH40" s="3"/>
      <c r="AI40" s="3"/>
      <c r="AJ40" s="3">
        <f t="shared" si="17"/>
        <v>0</v>
      </c>
      <c r="AK40" s="3">
        <f t="shared" si="18"/>
        <v>0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1162.7</v>
      </c>
      <c r="AT40" s="3">
        <f t="shared" si="20"/>
        <v>1532.6</v>
      </c>
      <c r="AU40" s="96">
        <f t="shared" si="25"/>
        <v>131.81388148275565</v>
      </c>
      <c r="AV40" s="14">
        <f t="shared" si="26"/>
        <v>-369.89999999999986</v>
      </c>
      <c r="AW40" s="4">
        <f t="shared" si="27"/>
        <v>329.9000000000001</v>
      </c>
      <c r="AX40" s="20">
        <f t="shared" si="9"/>
        <v>1162.7</v>
      </c>
      <c r="AY40" s="20">
        <f t="shared" si="10"/>
        <v>1532.6</v>
      </c>
      <c r="AZ40" s="20">
        <f t="shared" si="11"/>
        <v>329.9000000000001</v>
      </c>
    </row>
    <row r="41" spans="1:52" ht="34.5" customHeight="1">
      <c r="A41" s="6">
        <v>30</v>
      </c>
      <c r="B41" s="105" t="s">
        <v>55</v>
      </c>
      <c r="C41" s="2">
        <v>1395</v>
      </c>
      <c r="D41" s="3">
        <v>1461.6</v>
      </c>
      <c r="E41" s="3">
        <v>1130</v>
      </c>
      <c r="F41" s="96">
        <f t="shared" si="24"/>
        <v>77.31253420908594</v>
      </c>
      <c r="G41" s="3">
        <v>1248.2</v>
      </c>
      <c r="H41" s="3">
        <v>864.1</v>
      </c>
      <c r="I41" s="96">
        <f t="shared" si="2"/>
        <v>69.22768787053357</v>
      </c>
      <c r="J41" s="3"/>
      <c r="K41" s="3"/>
      <c r="L41" s="94" t="e">
        <f t="shared" si="3"/>
        <v>#DIV/0!</v>
      </c>
      <c r="M41" s="3">
        <f t="shared" si="22"/>
        <v>2709.8</v>
      </c>
      <c r="N41" s="3">
        <f t="shared" si="23"/>
        <v>1994.1</v>
      </c>
      <c r="O41" s="94">
        <f t="shared" si="14"/>
        <v>73.58845671267251</v>
      </c>
      <c r="P41" s="3"/>
      <c r="Q41" s="3"/>
      <c r="R41" s="94" t="e">
        <f t="shared" si="4"/>
        <v>#DIV/0!</v>
      </c>
      <c r="S41" s="3"/>
      <c r="T41" s="3"/>
      <c r="U41" s="28" t="e">
        <f>T41/S41*100</f>
        <v>#DIV/0!</v>
      </c>
      <c r="V41" s="3"/>
      <c r="W41" s="3"/>
      <c r="X41" s="28"/>
      <c r="Y41" s="3">
        <f t="shared" si="15"/>
        <v>0</v>
      </c>
      <c r="Z41" s="3">
        <f t="shared" si="16"/>
        <v>0</v>
      </c>
      <c r="AA41" s="94" t="e">
        <f t="shared" si="5"/>
        <v>#DIV/0!</v>
      </c>
      <c r="AB41" s="3"/>
      <c r="AC41" s="3"/>
      <c r="AD41" s="28"/>
      <c r="AE41" s="3"/>
      <c r="AF41" s="3"/>
      <c r="AG41" s="14"/>
      <c r="AH41" s="3"/>
      <c r="AI41" s="3"/>
      <c r="AJ41" s="3">
        <f t="shared" si="17"/>
        <v>0</v>
      </c>
      <c r="AK41" s="3">
        <f t="shared" si="18"/>
        <v>0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2709.8</v>
      </c>
      <c r="AT41" s="3">
        <f t="shared" si="20"/>
        <v>1994.1</v>
      </c>
      <c r="AU41" s="96">
        <f t="shared" si="25"/>
        <v>73.58845671267251</v>
      </c>
      <c r="AV41" s="14">
        <f t="shared" si="26"/>
        <v>715.7000000000003</v>
      </c>
      <c r="AW41" s="4">
        <f t="shared" si="27"/>
        <v>2110.7000000000003</v>
      </c>
      <c r="AX41" s="20">
        <f t="shared" si="9"/>
        <v>2709.8</v>
      </c>
      <c r="AY41" s="20">
        <f t="shared" si="10"/>
        <v>1994.1</v>
      </c>
      <c r="AZ41" s="20">
        <f t="shared" si="11"/>
        <v>2110.7000000000003</v>
      </c>
    </row>
    <row r="42" spans="1:52" ht="34.5" customHeight="1">
      <c r="A42" s="6">
        <v>31</v>
      </c>
      <c r="B42" s="105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3">
        <f t="shared" si="22"/>
        <v>0</v>
      </c>
      <c r="N42" s="93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99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57</v>
      </c>
      <c r="C43" s="2">
        <v>680.3</v>
      </c>
      <c r="D43" s="3">
        <v>372.5</v>
      </c>
      <c r="E43" s="3">
        <v>198.4</v>
      </c>
      <c r="F43" s="96">
        <f t="shared" si="24"/>
        <v>53.26174496644296</v>
      </c>
      <c r="G43" s="3">
        <v>350.8</v>
      </c>
      <c r="H43" s="3">
        <v>303.1</v>
      </c>
      <c r="I43" s="96">
        <f t="shared" si="2"/>
        <v>86.40250855188143</v>
      </c>
      <c r="J43" s="3"/>
      <c r="K43" s="3"/>
      <c r="L43" s="94" t="e">
        <f t="shared" si="3"/>
        <v>#DIV/0!</v>
      </c>
      <c r="M43" s="3">
        <f t="shared" si="22"/>
        <v>723.3</v>
      </c>
      <c r="N43" s="3">
        <f t="shared" si="23"/>
        <v>501.5</v>
      </c>
      <c r="O43" s="94">
        <f t="shared" si="14"/>
        <v>69.33499239596294</v>
      </c>
      <c r="P43" s="3"/>
      <c r="Q43" s="3"/>
      <c r="R43" s="94" t="e">
        <f t="shared" si="4"/>
        <v>#DIV/0!</v>
      </c>
      <c r="S43" s="3"/>
      <c r="T43" s="3"/>
      <c r="U43" s="28" t="e">
        <f>T43/S43*100</f>
        <v>#DIV/0!</v>
      </c>
      <c r="V43" s="3"/>
      <c r="W43" s="3"/>
      <c r="X43" s="28"/>
      <c r="Y43" s="3">
        <f t="shared" si="15"/>
        <v>0</v>
      </c>
      <c r="Z43" s="3">
        <f t="shared" si="16"/>
        <v>0</v>
      </c>
      <c r="AA43" s="94" t="e">
        <f t="shared" si="5"/>
        <v>#DIV/0!</v>
      </c>
      <c r="AB43" s="3"/>
      <c r="AC43" s="3"/>
      <c r="AD43" s="28"/>
      <c r="AE43" s="3"/>
      <c r="AF43" s="3"/>
      <c r="AG43" s="28"/>
      <c r="AH43" s="3"/>
      <c r="AI43" s="3"/>
      <c r="AJ43" s="3">
        <f t="shared" si="17"/>
        <v>0</v>
      </c>
      <c r="AK43" s="3">
        <f t="shared" si="18"/>
        <v>0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723.3</v>
      </c>
      <c r="AT43" s="3">
        <f t="shared" si="20"/>
        <v>501.5</v>
      </c>
      <c r="AU43" s="96">
        <f t="shared" si="25"/>
        <v>69.33499239596294</v>
      </c>
      <c r="AV43" s="14">
        <f t="shared" si="26"/>
        <v>221.79999999999995</v>
      </c>
      <c r="AW43" s="4">
        <f t="shared" si="27"/>
        <v>902.0999999999999</v>
      </c>
      <c r="AX43" s="20">
        <f t="shared" si="9"/>
        <v>723.3</v>
      </c>
      <c r="AY43" s="20">
        <f t="shared" si="10"/>
        <v>501.5</v>
      </c>
      <c r="AZ43" s="20">
        <f t="shared" si="11"/>
        <v>902.0999999999999</v>
      </c>
    </row>
    <row r="44" spans="1:52" ht="34.5" customHeight="1">
      <c r="A44" s="6">
        <v>33</v>
      </c>
      <c r="B44" s="105" t="s">
        <v>58</v>
      </c>
      <c r="C44" s="2">
        <v>391.6</v>
      </c>
      <c r="D44" s="3">
        <v>567.3</v>
      </c>
      <c r="E44" s="3">
        <v>404.4</v>
      </c>
      <c r="F44" s="96">
        <f t="shared" si="24"/>
        <v>71.28503437334743</v>
      </c>
      <c r="G44" s="3">
        <v>521.9</v>
      </c>
      <c r="H44" s="3">
        <v>492.8</v>
      </c>
      <c r="I44" s="96">
        <f t="shared" si="2"/>
        <v>94.4242191990803</v>
      </c>
      <c r="J44" s="3"/>
      <c r="K44" s="3"/>
      <c r="L44" s="94" t="e">
        <f t="shared" si="3"/>
        <v>#DIV/0!</v>
      </c>
      <c r="M44" s="3">
        <f t="shared" si="22"/>
        <v>1089.1999999999998</v>
      </c>
      <c r="N44" s="3">
        <f t="shared" si="23"/>
        <v>897.2</v>
      </c>
      <c r="O44" s="94">
        <f t="shared" si="14"/>
        <v>82.37238340066105</v>
      </c>
      <c r="P44" s="3"/>
      <c r="Q44" s="3"/>
      <c r="R44" s="94" t="e">
        <f t="shared" si="4"/>
        <v>#DIV/0!</v>
      </c>
      <c r="S44" s="3"/>
      <c r="T44" s="3"/>
      <c r="U44" s="14"/>
      <c r="V44" s="3"/>
      <c r="W44" s="3"/>
      <c r="X44" s="14"/>
      <c r="Y44" s="3">
        <f t="shared" si="15"/>
        <v>0</v>
      </c>
      <c r="Z44" s="3">
        <f t="shared" si="16"/>
        <v>0</v>
      </c>
      <c r="AA44" s="94" t="e">
        <f t="shared" si="5"/>
        <v>#DIV/0!</v>
      </c>
      <c r="AB44" s="3"/>
      <c r="AC44" s="3"/>
      <c r="AD44" s="14" t="e">
        <f>AC44/AB44*100</f>
        <v>#DIV/0!</v>
      </c>
      <c r="AE44" s="3"/>
      <c r="AF44" s="3"/>
      <c r="AG44" s="28"/>
      <c r="AH44" s="3"/>
      <c r="AI44" s="3"/>
      <c r="AJ44" s="3">
        <f t="shared" si="17"/>
        <v>0</v>
      </c>
      <c r="AK44" s="3">
        <f t="shared" si="18"/>
        <v>0</v>
      </c>
      <c r="AL44" s="14" t="e">
        <f t="shared" si="6"/>
        <v>#DIV/0!</v>
      </c>
      <c r="AM44" s="3"/>
      <c r="AN44" s="3"/>
      <c r="AO44" s="3"/>
      <c r="AP44" s="3"/>
      <c r="AQ44" s="3"/>
      <c r="AR44" s="3"/>
      <c r="AS44" s="3">
        <f t="shared" si="19"/>
        <v>1089.1999999999998</v>
      </c>
      <c r="AT44" s="3">
        <f t="shared" si="20"/>
        <v>897.2</v>
      </c>
      <c r="AU44" s="96">
        <f t="shared" si="25"/>
        <v>82.37238340066105</v>
      </c>
      <c r="AV44" s="14">
        <f t="shared" si="26"/>
        <v>191.99999999999977</v>
      </c>
      <c r="AW44" s="4">
        <f t="shared" si="27"/>
        <v>583.5999999999997</v>
      </c>
      <c r="AX44" s="20">
        <f t="shared" si="9"/>
        <v>1089.1999999999998</v>
      </c>
      <c r="AY44" s="20">
        <f t="shared" si="10"/>
        <v>897.2</v>
      </c>
      <c r="AZ44" s="20">
        <f t="shared" si="11"/>
        <v>583.5999999999997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126594.4</v>
      </c>
      <c r="D45" s="45">
        <f>D46+D47+D48</f>
        <v>66465.7</v>
      </c>
      <c r="E45" s="45">
        <f>E46+E47+E48</f>
        <v>31499.4</v>
      </c>
      <c r="F45" s="96">
        <f t="shared" si="24"/>
        <v>47.39196307268261</v>
      </c>
      <c r="G45" s="45">
        <f>G46+G47+G48</f>
        <v>65213.1</v>
      </c>
      <c r="H45" s="45">
        <f>H46+H47+H48</f>
        <v>42768.6</v>
      </c>
      <c r="I45" s="96">
        <f>H45/G45*100</f>
        <v>65.58283535056607</v>
      </c>
      <c r="J45" s="45">
        <f>J46+J47</f>
        <v>0</v>
      </c>
      <c r="K45" s="45">
        <f>K46+K47</f>
        <v>0</v>
      </c>
      <c r="L45" s="94" t="e">
        <f t="shared" si="3"/>
        <v>#DIV/0!</v>
      </c>
      <c r="M45" s="3">
        <f>M46+M47</f>
        <v>131654.5</v>
      </c>
      <c r="N45" s="3">
        <f>N46+N47</f>
        <v>74260.1</v>
      </c>
      <c r="O45" s="94">
        <f t="shared" si="14"/>
        <v>56.40528808358242</v>
      </c>
      <c r="P45" s="45">
        <f>P46+P47</f>
        <v>0</v>
      </c>
      <c r="Q45" s="45">
        <f>Q46+Q47</f>
        <v>0</v>
      </c>
      <c r="R45" s="94" t="e">
        <f t="shared" si="4"/>
        <v>#DIV/0!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3">
        <f>Y46+Y47</f>
        <v>0</v>
      </c>
      <c r="Z45" s="3">
        <f>Z46+Z47</f>
        <v>0</v>
      </c>
      <c r="AA45" s="94" t="e">
        <f t="shared" si="5"/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94">
        <f>AJ46+AJ47</f>
        <v>0</v>
      </c>
      <c r="AK45" s="94">
        <f>AK46+AK47</f>
        <v>0</v>
      </c>
      <c r="AL45" s="94" t="e">
        <f t="shared" si="6"/>
        <v>#DIV/0!</v>
      </c>
      <c r="AM45" s="45">
        <f>AM46+AM47</f>
        <v>0</v>
      </c>
      <c r="AN45" s="45">
        <f>AN46+AN47</f>
        <v>0</v>
      </c>
      <c r="AO45" s="45">
        <f>AO46+AO47</f>
        <v>0</v>
      </c>
      <c r="AP45" s="45">
        <f>AP46+AP47</f>
        <v>0</v>
      </c>
      <c r="AQ45" s="45">
        <f>AQ46+AQ47</f>
        <v>0</v>
      </c>
      <c r="AR45" s="45">
        <f>AR46+AR47</f>
        <v>0</v>
      </c>
      <c r="AS45" s="45">
        <f>AS46+AS47+AS48</f>
        <v>131678.8</v>
      </c>
      <c r="AT45" s="45">
        <f>AT46+AT47+AT48</f>
        <v>74268</v>
      </c>
      <c r="AU45" s="96">
        <f t="shared" si="25"/>
        <v>56.40087850132293</v>
      </c>
      <c r="AV45" s="46">
        <f>AV46+AV47+AV48</f>
        <v>57410.8</v>
      </c>
      <c r="AW45" s="46">
        <f>AW46+AW47+AW48</f>
        <v>184005.19999999998</v>
      </c>
      <c r="AX45" s="20">
        <f>AX46+AX47+AX48</f>
        <v>131678.8</v>
      </c>
      <c r="AY45" s="20">
        <f>AY46+AY47+AY48</f>
        <v>74268</v>
      </c>
      <c r="AZ45" s="20">
        <f>AZ46+AZ47+AZ48</f>
        <v>184005.19999999998</v>
      </c>
    </row>
    <row r="46" spans="1:52" s="8" customFormat="1" ht="34.5" customHeight="1">
      <c r="A46" s="38"/>
      <c r="B46" s="1" t="s">
        <v>64</v>
      </c>
      <c r="C46" s="2">
        <v>125199</v>
      </c>
      <c r="D46" s="3">
        <v>65267</v>
      </c>
      <c r="E46" s="3">
        <v>30654</v>
      </c>
      <c r="F46" s="96">
        <f t="shared" si="24"/>
        <v>46.967073712595955</v>
      </c>
      <c r="G46" s="3">
        <v>63864</v>
      </c>
      <c r="H46" s="3">
        <v>41634</v>
      </c>
      <c r="I46" s="96">
        <f>H46/G46*100</f>
        <v>65.19165727170237</v>
      </c>
      <c r="J46" s="3"/>
      <c r="K46" s="3"/>
      <c r="L46" s="94" t="e">
        <f t="shared" si="3"/>
        <v>#DIV/0!</v>
      </c>
      <c r="M46" s="3">
        <f aca="true" t="shared" si="28" ref="M46:N48">D46+G46+J46</f>
        <v>129131</v>
      </c>
      <c r="N46" s="3">
        <f t="shared" si="28"/>
        <v>72288</v>
      </c>
      <c r="O46" s="94">
        <f t="shared" si="14"/>
        <v>55.98036102872277</v>
      </c>
      <c r="P46" s="3"/>
      <c r="Q46" s="3"/>
      <c r="R46" s="94" t="e">
        <f t="shared" si="4"/>
        <v>#DIV/0!</v>
      </c>
      <c r="S46" s="3"/>
      <c r="T46" s="3"/>
      <c r="U46" s="14" t="e">
        <f>T46/S46*100</f>
        <v>#DIV/0!</v>
      </c>
      <c r="V46" s="3"/>
      <c r="W46" s="3"/>
      <c r="X46" s="14"/>
      <c r="Y46" s="3">
        <f>P46+S46+V46</f>
        <v>0</v>
      </c>
      <c r="Z46" s="3">
        <f>Q46+T46+W46</f>
        <v>0</v>
      </c>
      <c r="AA46" s="94" t="e">
        <f t="shared" si="5"/>
        <v>#DIV/0!</v>
      </c>
      <c r="AB46" s="3"/>
      <c r="AC46" s="3"/>
      <c r="AD46" s="14" t="e">
        <f>AC46/AB46*100</f>
        <v>#DIV/0!</v>
      </c>
      <c r="AE46" s="41"/>
      <c r="AF46" s="41"/>
      <c r="AG46" s="14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6"/>
        <v>#DIV/0!</v>
      </c>
      <c r="AM46" s="41"/>
      <c r="AN46" s="41"/>
      <c r="AO46" s="41"/>
      <c r="AP46" s="41"/>
      <c r="AQ46" s="41"/>
      <c r="AR46" s="41"/>
      <c r="AS46" s="3">
        <f aca="true" t="shared" si="29" ref="AS46:AT48">M46+Y46+AJ46+AM46+AO46+AQ46</f>
        <v>129131</v>
      </c>
      <c r="AT46" s="3">
        <f t="shared" si="29"/>
        <v>72288</v>
      </c>
      <c r="AU46" s="96">
        <f t="shared" si="25"/>
        <v>55.98036102872277</v>
      </c>
      <c r="AV46" s="14">
        <f>AS46-AT46</f>
        <v>56843</v>
      </c>
      <c r="AW46" s="4">
        <f>C46+AS46-AT46</f>
        <v>182042</v>
      </c>
      <c r="AX46" s="20">
        <f t="shared" si="9"/>
        <v>129131</v>
      </c>
      <c r="AY46" s="20">
        <f t="shared" si="10"/>
        <v>72288</v>
      </c>
      <c r="AZ46" s="20">
        <f t="shared" si="11"/>
        <v>182042</v>
      </c>
    </row>
    <row r="47" spans="1:52" s="8" customFormat="1" ht="34.5" customHeight="1">
      <c r="A47" s="38"/>
      <c r="B47" s="1" t="s">
        <v>65</v>
      </c>
      <c r="C47" s="2">
        <v>1391.4</v>
      </c>
      <c r="D47" s="3">
        <v>1182.3</v>
      </c>
      <c r="E47" s="3">
        <v>845.4</v>
      </c>
      <c r="F47" s="96">
        <f>E47/D47*100</f>
        <v>71.5046942400406</v>
      </c>
      <c r="G47" s="41">
        <v>1341.2</v>
      </c>
      <c r="H47" s="41">
        <v>1126.7</v>
      </c>
      <c r="I47" s="96">
        <f>H47/G47*100</f>
        <v>84.0068595287802</v>
      </c>
      <c r="J47" s="41"/>
      <c r="K47" s="41"/>
      <c r="L47" s="94" t="e">
        <f t="shared" si="3"/>
        <v>#DIV/0!</v>
      </c>
      <c r="M47" s="3">
        <f t="shared" si="28"/>
        <v>2523.5</v>
      </c>
      <c r="N47" s="3">
        <f t="shared" si="28"/>
        <v>1972.1</v>
      </c>
      <c r="O47" s="94">
        <f t="shared" si="14"/>
        <v>78.14939568060232</v>
      </c>
      <c r="P47" s="41"/>
      <c r="Q47" s="41"/>
      <c r="R47" s="94" t="e">
        <f t="shared" si="4"/>
        <v>#DIV/0!</v>
      </c>
      <c r="S47" s="41"/>
      <c r="T47" s="41"/>
      <c r="U47" s="14" t="e">
        <f>T47/S47*100</f>
        <v>#DIV/0!</v>
      </c>
      <c r="V47" s="41"/>
      <c r="W47" s="41"/>
      <c r="X47" s="14"/>
      <c r="Y47" s="3">
        <f>P47+S47+V47</f>
        <v>0</v>
      </c>
      <c r="Z47" s="3">
        <f>Q47+T47+W47</f>
        <v>0</v>
      </c>
      <c r="AA47" s="94" t="e">
        <f t="shared" si="5"/>
        <v>#DIV/0!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6"/>
        <v>#DIV/0!</v>
      </c>
      <c r="AM47" s="41"/>
      <c r="AN47" s="41"/>
      <c r="AO47" s="41"/>
      <c r="AP47" s="41"/>
      <c r="AQ47" s="41"/>
      <c r="AR47" s="41"/>
      <c r="AS47" s="3">
        <f t="shared" si="29"/>
        <v>2523.5</v>
      </c>
      <c r="AT47" s="3">
        <f t="shared" si="29"/>
        <v>1972.1</v>
      </c>
      <c r="AU47" s="96">
        <f t="shared" si="25"/>
        <v>78.14939568060232</v>
      </c>
      <c r="AV47" s="14">
        <f>AS47-AT47</f>
        <v>551.4000000000001</v>
      </c>
      <c r="AW47" s="4">
        <f>C47+AS47-AT47</f>
        <v>1942.8000000000002</v>
      </c>
      <c r="AX47" s="20">
        <f>M47+Y47+AJ47+AM47+AO47+AQ47</f>
        <v>2523.5</v>
      </c>
      <c r="AY47" s="20">
        <f t="shared" si="10"/>
        <v>1972.1</v>
      </c>
      <c r="AZ47" s="20">
        <f>C47+AX47-AY47</f>
        <v>1942.8000000000002</v>
      </c>
    </row>
    <row r="48" spans="1:52" s="8" customFormat="1" ht="34.5" customHeight="1">
      <c r="A48" s="38"/>
      <c r="B48" s="1" t="s">
        <v>101</v>
      </c>
      <c r="C48" s="2">
        <v>4</v>
      </c>
      <c r="D48" s="3">
        <v>16.4</v>
      </c>
      <c r="E48" s="3">
        <v>0</v>
      </c>
      <c r="F48" s="96">
        <f>E48/D48*100</f>
        <v>0</v>
      </c>
      <c r="G48" s="41">
        <v>7.9</v>
      </c>
      <c r="H48" s="41">
        <v>7.9</v>
      </c>
      <c r="I48" s="96">
        <f>H48/G48*100</f>
        <v>100</v>
      </c>
      <c r="J48" s="41"/>
      <c r="K48" s="41"/>
      <c r="L48" s="94"/>
      <c r="M48" s="3">
        <f t="shared" si="28"/>
        <v>24.299999999999997</v>
      </c>
      <c r="N48" s="3">
        <f t="shared" si="28"/>
        <v>7.9</v>
      </c>
      <c r="O48" s="94">
        <f t="shared" si="14"/>
        <v>32.51028806584363</v>
      </c>
      <c r="P48" s="41"/>
      <c r="Q48" s="41"/>
      <c r="R48" s="94"/>
      <c r="S48" s="41"/>
      <c r="T48" s="41"/>
      <c r="U48" s="14"/>
      <c r="V48" s="41"/>
      <c r="W48" s="41"/>
      <c r="X48" s="14"/>
      <c r="Y48" s="3"/>
      <c r="Z48" s="3"/>
      <c r="AA48" s="94"/>
      <c r="AB48" s="41"/>
      <c r="AC48" s="41"/>
      <c r="AD48" s="14"/>
      <c r="AE48" s="41"/>
      <c r="AF48" s="41"/>
      <c r="AG48" s="36"/>
      <c r="AH48" s="41"/>
      <c r="AI48" s="41"/>
      <c r="AJ48" s="3"/>
      <c r="AK48" s="3"/>
      <c r="AL48" s="14"/>
      <c r="AM48" s="41"/>
      <c r="AN48" s="41"/>
      <c r="AO48" s="41"/>
      <c r="AP48" s="41"/>
      <c r="AQ48" s="41"/>
      <c r="AR48" s="41"/>
      <c r="AS48" s="3">
        <f t="shared" si="29"/>
        <v>24.299999999999997</v>
      </c>
      <c r="AT48" s="3">
        <f t="shared" si="29"/>
        <v>7.9</v>
      </c>
      <c r="AU48" s="96">
        <f t="shared" si="25"/>
        <v>32.51028806584363</v>
      </c>
      <c r="AV48" s="14">
        <f>AS48-AT48</f>
        <v>16.4</v>
      </c>
      <c r="AW48" s="4">
        <f>C48+AS48-AT48</f>
        <v>20.4</v>
      </c>
      <c r="AX48" s="20">
        <f>M48+Y48+AJ48+AM48+AO48+AQ48</f>
        <v>24.299999999999997</v>
      </c>
      <c r="AY48" s="20">
        <f t="shared" si="10"/>
        <v>7.9</v>
      </c>
      <c r="AZ48" s="20">
        <f>C48+AX48-AY48</f>
        <v>20.4</v>
      </c>
    </row>
    <row r="49" spans="1:52" s="8" customFormat="1" ht="34.5" customHeight="1">
      <c r="A49" s="38"/>
      <c r="B49" s="16" t="s">
        <v>60</v>
      </c>
      <c r="C49" s="45">
        <f>C7+C45</f>
        <v>133041.1</v>
      </c>
      <c r="D49" s="45">
        <f>D7+D45</f>
        <v>72417</v>
      </c>
      <c r="E49" s="45">
        <f>E7+E45</f>
        <v>36460.9</v>
      </c>
      <c r="F49" s="96">
        <f>E49/D49*100</f>
        <v>50.34853694574478</v>
      </c>
      <c r="G49" s="45">
        <f>G7+G45</f>
        <v>70425.2</v>
      </c>
      <c r="H49" s="45">
        <f>H7+H45</f>
        <v>47698.4</v>
      </c>
      <c r="I49" s="96">
        <f>H49/G49*100</f>
        <v>67.72916512839154</v>
      </c>
      <c r="J49" s="45">
        <f>J7+J45</f>
        <v>0</v>
      </c>
      <c r="K49" s="45">
        <f>K7+K45</f>
        <v>0</v>
      </c>
      <c r="L49" s="94" t="e">
        <f t="shared" si="3"/>
        <v>#DIV/0!</v>
      </c>
      <c r="M49" s="45">
        <f>M7+M45</f>
        <v>142817.9</v>
      </c>
      <c r="N49" s="45">
        <f>N7+N45</f>
        <v>84151.40000000001</v>
      </c>
      <c r="O49" s="94">
        <f t="shared" si="14"/>
        <v>58.92216591897795</v>
      </c>
      <c r="P49" s="45">
        <f>P7+P45</f>
        <v>0</v>
      </c>
      <c r="Q49" s="45">
        <f>Q7+Q45</f>
        <v>0</v>
      </c>
      <c r="R49" s="94" t="e">
        <f t="shared" si="4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 aca="true" t="shared" si="30" ref="Z49:AR49">Z7+Z45</f>
        <v>0</v>
      </c>
      <c r="AA49" s="45" t="e">
        <f t="shared" si="30"/>
        <v>#DIV/0!</v>
      </c>
      <c r="AB49" s="45">
        <f t="shared" si="30"/>
        <v>0</v>
      </c>
      <c r="AC49" s="45">
        <f t="shared" si="30"/>
        <v>0</v>
      </c>
      <c r="AD49" s="45" t="e">
        <f t="shared" si="30"/>
        <v>#DIV/0!</v>
      </c>
      <c r="AE49" s="45">
        <f t="shared" si="30"/>
        <v>0</v>
      </c>
      <c r="AF49" s="45">
        <f t="shared" si="30"/>
        <v>0</v>
      </c>
      <c r="AG49" s="45" t="e">
        <f t="shared" si="30"/>
        <v>#DIV/0!</v>
      </c>
      <c r="AH49" s="45">
        <f t="shared" si="30"/>
        <v>0</v>
      </c>
      <c r="AI49" s="45">
        <f t="shared" si="30"/>
        <v>0</v>
      </c>
      <c r="AJ49" s="45">
        <f t="shared" si="30"/>
        <v>0</v>
      </c>
      <c r="AK49" s="45">
        <f t="shared" si="30"/>
        <v>0</v>
      </c>
      <c r="AL49" s="45" t="e">
        <f t="shared" si="30"/>
        <v>#DIV/0!</v>
      </c>
      <c r="AM49" s="45">
        <f t="shared" si="30"/>
        <v>0</v>
      </c>
      <c r="AN49" s="45">
        <f t="shared" si="30"/>
        <v>0</v>
      </c>
      <c r="AO49" s="45">
        <f t="shared" si="30"/>
        <v>0</v>
      </c>
      <c r="AP49" s="45">
        <f t="shared" si="30"/>
        <v>0</v>
      </c>
      <c r="AQ49" s="45">
        <f t="shared" si="30"/>
        <v>0</v>
      </c>
      <c r="AR49" s="45">
        <f t="shared" si="30"/>
        <v>0</v>
      </c>
      <c r="AS49" s="45">
        <f>AS7+AS45</f>
        <v>142842.19999999998</v>
      </c>
      <c r="AT49" s="45">
        <f>AT7+AT45</f>
        <v>84159.3</v>
      </c>
      <c r="AU49" s="96">
        <f t="shared" si="25"/>
        <v>58.9176727885737</v>
      </c>
      <c r="AV49" s="45">
        <f>AV7+AV45</f>
        <v>58682.9</v>
      </c>
      <c r="AW49" s="45">
        <f>AW7+AW45</f>
        <v>191723.99999999997</v>
      </c>
      <c r="AX49" s="20">
        <f>AX7+AX45</f>
        <v>142842.19999999998</v>
      </c>
      <c r="AY49" s="20">
        <f>AY7+AY45</f>
        <v>84159.3</v>
      </c>
      <c r="AZ49" s="20">
        <f>AZ7+AZ45</f>
        <v>191723.99999999997</v>
      </c>
    </row>
    <row r="50" spans="1:49" s="116" customFormat="1" ht="83.25" customHeight="1">
      <c r="A50" s="239" t="s">
        <v>66</v>
      </c>
      <c r="B50" s="239"/>
      <c r="C50" s="239"/>
      <c r="D50" s="122"/>
      <c r="E50" s="122"/>
      <c r="F50" s="123"/>
      <c r="G50" s="118"/>
      <c r="H50" s="118"/>
      <c r="I50" s="125"/>
      <c r="J50" s="118"/>
      <c r="K50" s="118"/>
      <c r="L50" s="125"/>
      <c r="M50" s="125"/>
      <c r="N50" s="125"/>
      <c r="O50" s="125"/>
      <c r="P50" s="118"/>
      <c r="Q50" s="118"/>
      <c r="R50" s="125"/>
      <c r="S50" s="118"/>
      <c r="T50" s="118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17"/>
      <c r="AF50" s="117"/>
      <c r="AG50" s="117"/>
      <c r="AH50" s="117"/>
      <c r="AI50" s="117"/>
      <c r="AJ50" s="125"/>
      <c r="AK50" s="125"/>
      <c r="AL50" s="125"/>
      <c r="AM50" s="117"/>
      <c r="AN50" s="117"/>
      <c r="AO50" s="117"/>
      <c r="AP50" s="117"/>
      <c r="AQ50" s="117"/>
      <c r="AR50" s="117"/>
      <c r="AS50" s="118"/>
      <c r="AT50" s="118"/>
      <c r="AU50" s="125"/>
      <c r="AV50" s="118"/>
      <c r="AW50" s="118" t="s">
        <v>67</v>
      </c>
    </row>
    <row r="51" spans="3:49" ht="38.25" customHeight="1">
      <c r="C51" s="63"/>
      <c r="D51" s="31"/>
      <c r="E51" s="31"/>
      <c r="F51" s="52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17"/>
      <c r="AF53" s="17"/>
      <c r="AG53" s="17"/>
      <c r="AH53" s="17"/>
      <c r="AI53" s="17"/>
      <c r="AJ53" s="62"/>
      <c r="AK53" s="62"/>
      <c r="AL53" s="62"/>
      <c r="AM53" s="17"/>
      <c r="AN53" s="17"/>
      <c r="AO53" s="17"/>
      <c r="AP53" s="17"/>
      <c r="AQ53" s="17"/>
      <c r="AR53" s="17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2"/>
      <c r="AF55" s="52"/>
      <c r="AG55" s="52"/>
      <c r="AH55" s="52"/>
      <c r="AI55" s="52"/>
      <c r="AJ55" s="62"/>
      <c r="AK55" s="62"/>
      <c r="AL55" s="62"/>
      <c r="AM55" s="52"/>
      <c r="AN55" s="52"/>
      <c r="AO55" s="52"/>
      <c r="AP55" s="52"/>
      <c r="AQ55" s="52"/>
      <c r="AR55" s="52"/>
      <c r="AS55" s="27"/>
      <c r="AT55" s="27"/>
      <c r="AU55" s="62"/>
      <c r="AV55" s="27"/>
      <c r="AW55" s="27"/>
    </row>
    <row r="56" spans="7:49" ht="38.2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58"/>
      <c r="AF56" s="58"/>
      <c r="AG56" s="58"/>
      <c r="AH56" s="58"/>
      <c r="AI56" s="58"/>
      <c r="AJ56" s="62"/>
      <c r="AK56" s="62"/>
      <c r="AL56" s="62"/>
      <c r="AM56" s="58"/>
      <c r="AN56" s="58"/>
      <c r="AO56" s="58"/>
      <c r="AP56" s="58"/>
      <c r="AQ56" s="58"/>
      <c r="AR56" s="58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  <row r="105" spans="31:44" ht="18.75">
      <c r="AE105" s="62"/>
      <c r="AF105" s="62"/>
      <c r="AG105" s="62"/>
      <c r="AH105" s="62"/>
      <c r="AI105" s="62"/>
      <c r="AM105" s="62"/>
      <c r="AN105" s="62"/>
      <c r="AO105" s="62"/>
      <c r="AP105" s="62"/>
      <c r="AQ105" s="62"/>
      <c r="AR105" s="62"/>
    </row>
  </sheetData>
  <sheetProtection/>
  <mergeCells count="21">
    <mergeCell ref="AH5:AI5"/>
    <mergeCell ref="A50:C50"/>
    <mergeCell ref="D5:F5"/>
    <mergeCell ref="M5:O5"/>
    <mergeCell ref="G5:I5"/>
    <mergeCell ref="AB5:AD5"/>
    <mergeCell ref="B4:C4"/>
    <mergeCell ref="P5:R5"/>
    <mergeCell ref="V5:X5"/>
    <mergeCell ref="J5:L5"/>
    <mergeCell ref="S5:U5"/>
    <mergeCell ref="A2:AW3"/>
    <mergeCell ref="Y5:AA5"/>
    <mergeCell ref="AV5:AV6"/>
    <mergeCell ref="AM5:AN5"/>
    <mergeCell ref="AO5:AP5"/>
    <mergeCell ref="AW5:AW6"/>
    <mergeCell ref="AE5:AG5"/>
    <mergeCell ref="AS5:AU5"/>
    <mergeCell ref="AJ5:AL5"/>
    <mergeCell ref="AQ5:AR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2020-03-18T13:02:16Z</cp:lastPrinted>
  <dcterms:created xsi:type="dcterms:W3CDTF">2001-09-14T09:33:50Z</dcterms:created>
  <dcterms:modified xsi:type="dcterms:W3CDTF">2020-03-19T08:44:26Z</dcterms:modified>
  <cp:category/>
  <cp:version/>
  <cp:contentType/>
  <cp:contentStatus/>
</cp:coreProperties>
</file>