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4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 refMode="R1C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<sst xmlns="http://schemas.openxmlformats.org/spreadsheetml/2006/main" count="973" uniqueCount="96">
  <si>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</si>
  <si>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</si>
  <si>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</si>
  <si>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</si>
  <si>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</si>
  <si>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</si>
  <si>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</si>
  <si>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</si>
  <si>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</si>
  <si>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</si>
  <si>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</si>
  <si>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</si>
  <si>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</si>
  <si>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</si>
  <si>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</si>
  <si>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</si>
  <si>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</si>
  <si>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</si>
  <si>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</si>
  <si>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</si>
  <si>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</si>
  <si>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</si>
  <si>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</si>
  <si>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</si>
  <si>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</si>
  <si>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</si>
  <si>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</si>
  <si>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</si>
  <si>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</si>
  <si>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</si>
  <si>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</si>
  <si>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</si>
  <si>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</si>
  <si>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</si>
  <si>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</si>
  <si>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</si>
  <si>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</si>
  <si>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</si>
  <si>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</si>
  <si>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</si>
  <si>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</si>
  <si>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</si>
  <si>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</si>
  <si>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</si>
  <si>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</si>
  <si>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</si>
  <si>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</si>
  <si>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</si>
  <si>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</si>
  <si>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</si>
  <si>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</si>
  <si>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</si>
  <si>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</si>
  <si>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</si>
  <si>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</si>
  <si>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</si>
  <si>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</si>
  <si>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</si>
  <si>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</si>
  <si>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</si>
  <si>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</si>
  <si>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</si>
  <si>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</si>
  <si>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</si>
  <si>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</si>
  <si>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</si>
  <si>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</si>
  <si>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</si>
  <si>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</si>
  <si>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</si>
  <si>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</si>
  <si>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</si>
  <si>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</si>
  <si>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</si>
  <si>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</si>
  <si>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</si>
  <si>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</si>
  <si>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</si>
  <si>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</si>
  <si>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</si>
  <si>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</si>
  <si>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</si>
  <si>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</si>
  <si>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</si>
  <si>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</si>
  <si>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</si>
  <si>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 xml:space="preserve">Заборгованість за 2019 рік станом на 01.11.2019 </t>
  </si>
  <si>
    <t>Загальна заборгованість станом на 01.11.2019 (з урахуванням боргів минулих років)</t>
  </si>
  <si>
    <t>Інформація щодо заборгованості споживачів за послуги теплопостачання станом на 01.11.2019</t>
  </si>
  <si>
    <t>Інформація щодо заборгованості населення за послуги теплопостачання станом на 01.11.2019</t>
  </si>
  <si>
    <t>Відшкодування пільг за надані послуги теплопостачання станом на 01.11.2019</t>
  </si>
  <si>
    <t>Відшкодування субсидій за надані послуги теплопостачання станом на 01.11.2019</t>
  </si>
  <si>
    <t>Інформація щодо заборгованості установ, які фінансуються з державного бюджету, за послуги теплопостачання станом на 01.11.2019</t>
  </si>
  <si>
    <t>Інформація щодо заборгованості установ, які фінансуються з місцевого бюджету, за послуги теплопостачання станом на 01.11.2019</t>
  </si>
  <si>
    <t>Інформація щодо заборгованості установ, які фінансуються з обласного бюджету, за послуги теплопостачання станом на 01.11.2019</t>
  </si>
  <si>
    <t>Інформація щодо заборгованості інших споживачів за послуги теплопостачання станом на 01.11.2019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</si>
</sst>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3">
      <pane xSplit="6" ySplit="6" topLeftCell="M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S5" sqref="AS5:AU5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customWidth="1"/>
    <col min="37" max="37" width="15.625" style="8" customWidth="1"/>
    <col min="38" max="38" width="12.00390625" style="8" hidden="1" customWidth="1"/>
    <col min="39" max="40" width="13.25390625" style="8" customWidth="1"/>
    <col min="41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227" t="s">
        <v>88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</row>
    <row r="3" spans="1:49" s="135" customFormat="1" ht="60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7"/>
      <c r="C4" s="237"/>
      <c r="AW4" s="11" t="s">
        <v>28</v>
      </c>
    </row>
    <row r="5" spans="1:51" ht="36.7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0" t="s">
        <v>74</v>
      </c>
      <c r="K5" s="231"/>
      <c r="L5" s="232"/>
      <c r="M5" s="230" t="s">
        <v>76</v>
      </c>
      <c r="N5" s="231"/>
      <c r="O5" s="232"/>
      <c r="P5" s="230" t="s">
        <v>75</v>
      </c>
      <c r="Q5" s="231"/>
      <c r="R5" s="232"/>
      <c r="S5" s="230" t="s">
        <v>78</v>
      </c>
      <c r="T5" s="231"/>
      <c r="U5" s="232"/>
      <c r="V5" s="230" t="s">
        <v>79</v>
      </c>
      <c r="W5" s="231"/>
      <c r="X5" s="232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  <c r="AY5" s="136">
        <f>AZ7-AV7</f>
        <v>-3.055902197957039E-10</v>
      </c>
    </row>
    <row r="6" spans="1:53" ht="59.2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  <c r="AX6" s="136"/>
      <c r="AY6" s="136"/>
      <c r="BA6" s="136"/>
    </row>
    <row r="7" spans="1:53" s="8" customFormat="1" ht="34.5" customHeight="1">
      <c r="A7" s="12"/>
      <c r="B7" s="13" t="s">
        <v>64</v>
      </c>
      <c r="C7" s="137">
        <f>населення!C8+льготи!C7+субсидии!C7+'держ.бюджет'!C7+'місц.-район.бюджет'!C7+обласной!C7+'госпрозрахунк.'!C7</f>
        <v>333042.5</v>
      </c>
      <c r="D7" s="137">
        <f>населення!D8+льготи!D7+субсидии!D7+'держ.бюджет'!D7+'місц.-район.бюджет'!D7+обласной!D7+'госпрозрахунк.'!D7</f>
        <v>281679.10000000003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47.65227523092767</v>
      </c>
      <c r="G7" s="137">
        <f>населення!G8+льготи!G7+субсидии!G7+'держ.бюджет'!G7+'місц.-район.бюджет'!G7+обласной!G7+'госпрозрахунк.'!G7</f>
        <v>223232.99999999997</v>
      </c>
      <c r="H7" s="137">
        <f>населення!H8+льготи!H7+субсидии!H7+'держ.бюджет'!H7+'місц.-район.бюджет'!H7+обласной!H7+'госпрозрахунк.'!H7</f>
        <v>176771.09999999998</v>
      </c>
      <c r="I7" s="14">
        <f aca="true" t="shared" si="0" ref="I7:I22">H7/G7*100</f>
        <v>79.18681377753289</v>
      </c>
      <c r="J7" s="137">
        <f>населення!J8+льготи!J7+субсидии!J7+'держ.бюджет'!J7+'місц.-район.бюджет'!J7+обласной!J7+'госпрозрахунк.'!J7</f>
        <v>182542.4</v>
      </c>
      <c r="K7" s="137">
        <f>населення!K8+льготи!K7+субсидии!K7+'держ.бюджет'!K7+'місц.-район.бюджет'!K7+обласной!K7+'госпрозрахунк.'!K7</f>
        <v>218688.09999999998</v>
      </c>
      <c r="L7" s="14">
        <f aca="true" t="shared" si="1" ref="L7:L48">K7/J7*100</f>
        <v>119.80126261076877</v>
      </c>
      <c r="M7" s="137">
        <f>населення!M8+льготи!M7+субсидии!M7+'держ.бюджет'!M7+'місц.-район.бюджет'!M7+обласной!M7+'госпрозрахунк.'!M7</f>
        <v>687454.4999999998</v>
      </c>
      <c r="N7" s="137">
        <f>населення!N8+льготи!N7+субсидии!N7+'держ.бюджет'!N7+'місц.-район.бюджет'!N7+обласной!N7+'госпрозрахунк.'!N7</f>
        <v>529685.7</v>
      </c>
      <c r="O7" s="137">
        <f>N7/M7*100</f>
        <v>77.05029205569244</v>
      </c>
      <c r="P7" s="137">
        <f>населення!P8+льготи!P7+субсидии!P7+'держ.бюджет'!P7+'місц.-район.бюджет'!P7+обласной!P7+'госпрозрахунк.'!P7</f>
        <v>34544.12</v>
      </c>
      <c r="Q7" s="137">
        <f>населення!Q8+льготи!Q7+субсидии!Q7+'держ.бюджет'!Q7+'місц.-район.бюджет'!Q7+обласной!Q7+'госпрозрахунк.'!Q7</f>
        <v>147019.69000000003</v>
      </c>
      <c r="R7" s="137">
        <f>Q7/P7*100</f>
        <v>425.59975474842037</v>
      </c>
      <c r="S7" s="137">
        <f>населення!S8+льготи!S7+субсидии!S7+'держ.бюджет'!S7+'місц.-район.бюджет'!S7+обласной!S7+'госпрозрахунк.'!S7</f>
        <v>3975.8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1676.641179133759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23975.7</v>
      </c>
      <c r="X7" s="137">
        <f>W7/V7*100</f>
        <v>675.0675751773848</v>
      </c>
      <c r="Y7" s="137">
        <f>населення!Y8+льготи!Y7+субсидии!Y7+'держ.бюджет'!Y7+'місц.-район.бюджет'!Y7+обласной!Y7+'госпрозрахунк.'!Y7</f>
        <v>42071.52</v>
      </c>
      <c r="Z7" s="137">
        <f>населення!Z8+льготи!Z7+субсидии!Z7+'держ.бюджет'!Z7+'місц.-район.бюджет'!Z7+обласной!Z7+'госпрозрахунк.'!Z7</f>
        <v>237655.28999999998</v>
      </c>
      <c r="AA7" s="137">
        <f aca="true" t="shared" si="2" ref="AA7:AA19">Z7/Y7*100</f>
        <v>564.8840117970542</v>
      </c>
      <c r="AB7" s="137">
        <f>населення!AB8+льготи!AB7+субсидии!AB7+'держ.бюджет'!AB7+'місц.-район.бюджет'!AB7+обласной!AB7+'госпрозрахунк.'!AB7</f>
        <v>3749.0999999999995</v>
      </c>
      <c r="AC7" s="137">
        <f>населення!AC8+льготи!AC7+субсидии!AC7+'держ.бюджет'!AC7+'місц.-район.бюджет'!AC7+обласной!AC7+'госпрозрахунк.'!AC7</f>
        <v>29230.300000000007</v>
      </c>
      <c r="AD7" s="137">
        <f>AC7/AB7*100</f>
        <v>779.6617854951858</v>
      </c>
      <c r="AE7" s="137">
        <f>населення!AE8+льготи!AE7+субсидии!AE7+'держ.бюджет'!AE7+'місц.-район.бюджет'!AE7+обласной!AE7+'госпрозрахунк.'!AE7</f>
        <v>3719.7000000000003</v>
      </c>
      <c r="AF7" s="137">
        <f>населення!AF8+льготи!AF7+субсидии!AF7+'держ.бюджет'!AF7+'місц.-район.бюджет'!AF7+обласной!AF7+'госпрозрахунк.'!AF7</f>
        <v>18652.4</v>
      </c>
      <c r="AG7" s="137">
        <f>AF7/AE7*100</f>
        <v>501.44904158937555</v>
      </c>
      <c r="AH7" s="137">
        <f>населення!AH8+льготи!AH7+субсидии!AH7+'держ.бюджет'!AH7+'місц.-район.бюджет'!AH7+обласной!AH7+'госпрозрахунк.'!AH7</f>
        <v>3692.8000000000006</v>
      </c>
      <c r="AI7" s="137">
        <f>населення!AI8+льготи!AI7+субсидии!AI7+'держ.бюджет'!AI7+'місц.-район.бюджет'!AI7+обласной!AI7+'госпрозрахунк.'!AI7</f>
        <v>21235.3</v>
      </c>
      <c r="AJ7" s="137">
        <f>населення!AJ8+льготи!AJ7+субсидии!AJ7+'держ.бюджет'!AJ7+'місц.-район.бюджет'!AJ7+обласной!AJ7+'госпрозрахунк.'!AJ7</f>
        <v>11161.6</v>
      </c>
      <c r="AK7" s="137">
        <f>населення!AK8+льготи!AK7+субсидии!AK7+'держ.бюджет'!AK7+'місц.-район.бюджет'!AK7+обласной!AK7+'госпрозрахунк.'!AK7</f>
        <v>69118</v>
      </c>
      <c r="AL7" s="137">
        <f>AK7/AJ7*100</f>
        <v>619.2481364678898</v>
      </c>
      <c r="AM7" s="137">
        <f>населення!AM8+льготи!AM7+субсидии!AM7+'держ.бюджет'!AM7+'місц.-район.бюджет'!AM7+обласной!AM7+'госпрозрахунк.'!AM7</f>
        <v>20558.7</v>
      </c>
      <c r="AN7" s="137">
        <f>населення!AN8+льготи!AN7+субсидии!AN7+'держ.бюджет'!AN7+'місц.-район.бюджет'!AN7+обласной!AN7+'госпрозрахунк.'!AN7</f>
        <v>34210.5</v>
      </c>
      <c r="AO7" s="137">
        <f>населення!AO8+льготи!AO7+субсидии!AO7+'держ.бюджет'!AO7+'місц.-район.бюджет'!AO7+обласной!AO7+'госпрозрахунк.'!AO7</f>
        <v>0</v>
      </c>
      <c r="AP7" s="137">
        <f>населення!AP8+льготи!AP7+субсидии!AP7+'держ.бюджет'!AP7+'місц.-район.бюджет'!AP7+обласной!AP7+'госпрозрахунк.'!AP7</f>
        <v>0</v>
      </c>
      <c r="AQ7" s="137">
        <f>населення!AR8+льготи!AQ7+субсидии!AQ7+'держ.бюджет'!AQ7+'місц.-район.бюджет'!AQ7+обласной!AQ7+'госпрозрахунк.'!AQ7</f>
        <v>0</v>
      </c>
      <c r="AR7" s="137">
        <f>населення!AS8+льготи!AR7+субсидии!AR7+'держ.бюджет'!AR7+'місц.-район.бюджет'!AR7+обласной!AR7+'госпрозрахунк.'!AR7</f>
        <v>0</v>
      </c>
      <c r="AS7" s="137">
        <f>населення!AT8+льготи!AS7+субсидии!AS7+'держ.бюджет'!AS7+'місц.-район.бюджет'!AS7+обласной!AS7+'госпрозрахунк.'!AS7</f>
        <v>761246.32</v>
      </c>
      <c r="AT7" s="137">
        <f>населення!AU8+льготи!AT7+субсидии!AT7+'держ.бюджет'!AT7+'місц.-район.бюджет'!AT7+обласной!AT7+'госпрозрахунк.'!AT7</f>
        <v>870669.4899999999</v>
      </c>
      <c r="AU7" s="137">
        <f>AT7/AS7*100</f>
        <v>114.37421332953043</v>
      </c>
      <c r="AV7" s="137">
        <f>населення!AW8+льготи!AV7+субсидии!AV7+'держ.бюджет'!AV7+'місц.-район.бюджет'!AV7+обласной!AV7+'госпрозрахунк.'!AV7</f>
        <v>-109423.16999999997</v>
      </c>
      <c r="AW7" s="137">
        <f>населення!AX8+льготи!AW7+субсидии!AW7+'держ.бюджет'!AW7+'місц.-район.бюджет'!AW7+обласной!AW7+'госпрозрахунк.'!AW7</f>
        <v>223619.33000000002</v>
      </c>
      <c r="AX7" s="137">
        <f>M7+Y7+AJ7+AM7</f>
        <v>761246.3199999997</v>
      </c>
      <c r="AY7" s="137">
        <f>N7+Z7+AK7+AN7</f>
        <v>870669.49</v>
      </c>
      <c r="AZ7" s="20">
        <f>AX7-AY7</f>
        <v>-109423.17000000027</v>
      </c>
      <c r="BA7" s="20">
        <f>C7+AX7-AY7</f>
        <v>223619.32999999984</v>
      </c>
    </row>
    <row r="8" spans="1:54" ht="34.5" customHeight="1">
      <c r="A8" s="6">
        <v>1</v>
      </c>
      <c r="B8" s="1" t="s">
        <v>29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800.9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1104.4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3286.9999999999995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782.9000000000001</v>
      </c>
      <c r="AN8" s="137">
        <f>населення!AN9+льготи!AN8+субсидии!AN8+'держ.бюджет'!AN8+'місц.-район.бюджет'!AN8+обласной!AN8+'госпрозрахунк.'!AN8</f>
        <v>1099.3999999999999</v>
      </c>
      <c r="AO8" s="137">
        <f>населення!AO9+льготи!AO8+субсидии!AO8+'держ.бюджет'!AO8+'місц.-район.бюджет'!AO8+обласной!AO8+'госпрозрахунк.'!AO8</f>
        <v>0</v>
      </c>
      <c r="AP8" s="137">
        <f>населення!AP9+льготи!AP8+субсидии!AP8+'держ.бюджет'!AP8+'місц.-район.бюджет'!AP8+обласной!AP8+'госпрозрахунк.'!AP8</f>
        <v>0</v>
      </c>
      <c r="AQ8" s="137">
        <f>населення!AR9+льготи!AQ8+субсидии!AQ8+'держ.бюджет'!AQ8+'місц.-район.бюджет'!AQ8+обласной!AQ8+'госпрозрахунк.'!AQ8</f>
        <v>0</v>
      </c>
      <c r="AR8" s="137">
        <f>населення!AS9+льготи!AR8+субсидии!AR8+'держ.бюджет'!AR8+'місц.-район.бюджет'!AR8+обласной!AR8+'госпрозрахунк.'!AR8</f>
        <v>0</v>
      </c>
      <c r="AS8" s="137">
        <f>населення!AT9+льготи!AS8+субсидии!AS8+'держ.бюджет'!AS8+'місц.-район.бюджет'!AS8+обласной!AS8+'госпрозрахунк.'!AS8</f>
        <v>65147.09999999999</v>
      </c>
      <c r="AT8" s="137">
        <f>населення!AU9+льготи!AT8+субсидии!AT8+'держ.бюджет'!AT8+'місц.-район.бюджет'!AT8+обласной!AT8+'госпрозрахунк.'!AT8</f>
        <v>71113.59999999999</v>
      </c>
      <c r="AU8" s="137">
        <f aca="true" t="shared" si="8" ref="AU8:AU48">AT8/AS8*100</f>
        <v>109.15850436934261</v>
      </c>
      <c r="AV8" s="137">
        <f>населення!AW9+льготи!AV8+субсидии!AV8+'держ.бюджет'!AV8+'місц.-район.бюджет'!AV8+обласной!AV8+'госпрозрахунк.'!AV8</f>
        <v>-5966.499999999993</v>
      </c>
      <c r="AW8" s="137">
        <f>населення!AX9+льготи!AW8+субсидии!AW8+'держ.бюджет'!AW8+'місц.-район.бюджет'!AW8+обласной!AW8+'госпрозрахунк.'!AW8</f>
        <v>31799.800000000017</v>
      </c>
      <c r="AX8" s="137">
        <f aca="true" t="shared" si="9" ref="AX8:AX48">M8+Y8+AJ8+AM8</f>
        <v>65147.1</v>
      </c>
      <c r="AY8" s="137">
        <f aca="true" t="shared" si="10" ref="AY8:AY48">N8+Z8+AK8+AN8</f>
        <v>71113.59999999999</v>
      </c>
      <c r="AZ8" s="20">
        <f aca="true" t="shared" si="11" ref="AZ8:AZ48">AX8-AY8</f>
        <v>-5966.499999999993</v>
      </c>
      <c r="BA8" s="20">
        <f aca="true" t="shared" si="12" ref="BA8:BA47">C8+AX8-AY8</f>
        <v>31799.800000000003</v>
      </c>
      <c r="BB8" s="136"/>
    </row>
    <row r="9" spans="1:53" ht="34.5" customHeight="1">
      <c r="A9" s="6">
        <v>2</v>
      </c>
      <c r="B9" s="32" t="s">
        <v>30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30.5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7.7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91.1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16.700000000000003</v>
      </c>
      <c r="AO9" s="137">
        <f>населення!AO10+льготи!AO9+субсидии!AO9+'держ.бюджет'!AO9+'місц.-район.бюджет'!AO9+обласной!AO9+'госпрозрахунк.'!AO9</f>
        <v>0</v>
      </c>
      <c r="AP9" s="137">
        <f>населення!AP10+льготи!AP9+субсидии!AP9+'держ.бюджет'!AP9+'місц.-район.бюджет'!AP9+обласной!AP9+'госпрозрахунк.'!AP9</f>
        <v>0</v>
      </c>
      <c r="AQ9" s="137">
        <f>населення!AR10+льготи!AQ9+субсидии!AQ9+'держ.бюджет'!AQ9+'місц.-район.бюджет'!AQ9+обласной!AQ9+'госпрозрахунк.'!AQ9</f>
        <v>0</v>
      </c>
      <c r="AR9" s="137">
        <f>населення!AS10+льготи!AR9+субсидии!AR9+'держ.бюджет'!AR9+'місц.-район.бюджет'!AR9+обласной!AR9+'госпрозрахунк.'!AR9</f>
        <v>0</v>
      </c>
      <c r="AS9" s="137">
        <f>населення!AT10+льготи!AS9+субсидии!AS9+'держ.бюджет'!AS9+'місц.-район.бюджет'!AS9+обласной!AS9+'госпрозрахунк.'!AS9</f>
        <v>7733.2</v>
      </c>
      <c r="AT9" s="137">
        <f>населення!AU10+льготи!AT9+субсидии!AT9+'держ.бюджет'!AT9+'місц.-район.бюджет'!AT9+обласной!AT9+'госпрозрахунк.'!AT9</f>
        <v>7837.400000000001</v>
      </c>
      <c r="AU9" s="137">
        <f t="shared" si="8"/>
        <v>101.34743702477628</v>
      </c>
      <c r="AV9" s="137">
        <f>населення!AW10+льготи!AV9+субсидии!AV9+'держ.бюджет'!AV9+'місц.-район.бюджет'!AV9+обласной!AV9+'госпрозрахунк.'!AV9</f>
        <v>-104.20000000000101</v>
      </c>
      <c r="AW9" s="137">
        <f>населення!AX10+льготи!AW9+субсидии!AW9+'держ.бюджет'!AW9+'місц.-район.бюджет'!AW9+обласной!AW9+'госпрозрахунк.'!AW9</f>
        <v>55.70000000000016</v>
      </c>
      <c r="AX9" s="137">
        <f t="shared" si="9"/>
        <v>7733.2</v>
      </c>
      <c r="AY9" s="137">
        <f t="shared" si="10"/>
        <v>7837.4</v>
      </c>
      <c r="AZ9" s="20">
        <f t="shared" si="11"/>
        <v>-104.19999999999982</v>
      </c>
      <c r="BA9" s="20">
        <f t="shared" si="12"/>
        <v>55.69999999999982</v>
      </c>
    </row>
    <row r="10" spans="1:53" ht="34.5" customHeight="1">
      <c r="A10" s="6">
        <v>3</v>
      </c>
      <c r="B10" s="15" t="s">
        <v>31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32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542.9000000000001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38">
        <f>населення!G12+льготи!G11+субсидии!G11+'держ.бюджет'!G11+'місц.-район.бюджет'!G11+обласной!G11+'госпрозрахунк.'!G11</f>
        <v>484.79999999999995</v>
      </c>
      <c r="H11" s="138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38">
        <f>населення!J12+льготи!J11+субсидии!J11+'держ.бюджет'!J11+'місц.-район.бюджет'!J11+обласной!J11+'госпрозрахунк.'!J11</f>
        <v>418.4</v>
      </c>
      <c r="K11" s="138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37">
        <f>населення!M12+льготи!M11+субсидии!M11+'держ.бюджет'!M11+'місц.-район.бюджет'!M11+обласной!M11+'госпрозрахунк.'!M11</f>
        <v>1446.1000000000001</v>
      </c>
      <c r="N11" s="137">
        <f>населення!N12+льготи!N11+субсидии!N11+'держ.бюджет'!N11+'місц.-район.бюджет'!N11+обласной!N11+'госпрозрахунк.'!N11</f>
        <v>860.1</v>
      </c>
      <c r="O11" s="137">
        <f t="shared" si="4"/>
        <v>59.477214577138504</v>
      </c>
      <c r="P11" s="137">
        <f>населення!P12+льготи!P11+субсидии!P11+'держ.бюджет'!P11+'місц.-район.бюджет'!P11+обласной!P11+'госпрозрахунк.'!P11</f>
        <v>63.49999999999999</v>
      </c>
      <c r="Q11" s="137">
        <f>населення!Q12+льготи!Q11+субсидии!Q11+'держ.бюджет'!Q11+'місц.-район.бюджет'!Q11+обласной!Q11+'госпрозрахунк.'!Q11</f>
        <v>451.5</v>
      </c>
      <c r="R11" s="137">
        <f t="shared" si="5"/>
        <v>711.0236220472442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63.49999999999999</v>
      </c>
      <c r="Z11" s="137">
        <f>населення!Z12+льготи!Z11+субсидии!Z11+'держ.бюджет'!Z11+'місц.-район.бюджет'!Z11+обласной!Z11+'госпрозрахунк.'!Z11</f>
        <v>541.1</v>
      </c>
      <c r="AA11" s="137">
        <f t="shared" si="2"/>
        <v>852.1259842519687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38.6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33.5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37.5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109.6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22.1</v>
      </c>
      <c r="AO11" s="137">
        <f>населення!AO12+льготи!AO11+субсидии!AO11+'держ.бюджет'!AO11+'місц.-район.бюджет'!AO11+обласной!AO11+'госпрозрахунк.'!AO11</f>
        <v>0</v>
      </c>
      <c r="AP11" s="137">
        <f>населення!AP12+льготи!AP11+субсидии!AP11+'держ.бюджет'!AP11+'місц.-район.бюджет'!AP11+обласной!AP11+'госпрозрахунк.'!AP11</f>
        <v>0</v>
      </c>
      <c r="AQ11" s="137">
        <f>населення!AR12+льготи!AQ11+субсидии!AQ11+'держ.бюджет'!AQ11+'місц.-район.бюджет'!AQ11+обласной!AQ11+'госпрозрахунк.'!AQ11</f>
        <v>0</v>
      </c>
      <c r="AR11" s="137">
        <f>населення!AS12+льготи!AR11+субсидии!AR11+'держ.бюджет'!AR11+'місц.-район.бюджет'!AR11+обласной!AR11+'госпрозрахунк.'!AR11</f>
        <v>0</v>
      </c>
      <c r="AS11" s="137">
        <f>населення!AT12+льготи!AS11+субсидии!AS11+'держ.бюджет'!AS11+'місц.-район.бюджет'!AS11+обласной!AS11+'госпрозрахунк.'!AS11</f>
        <v>1509.6</v>
      </c>
      <c r="AT11" s="137">
        <f>населення!AU12+льготи!AT11+субсидии!AT11+'держ.бюджет'!AT11+'місц.-район.бюджет'!AT11+обласной!AT11+'госпрозрахунк.'!AT11</f>
        <v>1532.8999999999999</v>
      </c>
      <c r="AU11" s="137">
        <f t="shared" si="8"/>
        <v>101.5434552199258</v>
      </c>
      <c r="AV11" s="137">
        <f>населення!AW12+льготи!AV11+субсидии!AV11+'держ.бюджет'!AV11+'місц.-район.бюджет'!AV11+обласной!AV11+'госпрозрахунк.'!AV11</f>
        <v>-23.30000000000004</v>
      </c>
      <c r="AW11" s="137">
        <f>населення!AX12+льготи!AW11+субсидии!AW11+'держ.бюджет'!AW11+'місц.-район.бюджет'!AW11+обласной!AW11+'госпрозрахунк.'!AW11</f>
        <v>42</v>
      </c>
      <c r="AX11" s="137">
        <f t="shared" si="9"/>
        <v>1509.6000000000001</v>
      </c>
      <c r="AY11" s="137">
        <f t="shared" si="10"/>
        <v>1532.8999999999999</v>
      </c>
      <c r="AZ11" s="20">
        <f t="shared" si="11"/>
        <v>-23.299999999999727</v>
      </c>
      <c r="BA11" s="20">
        <f t="shared" si="12"/>
        <v>42.00000000000023</v>
      </c>
    </row>
    <row r="12" spans="1:53" ht="34.5" customHeight="1">
      <c r="A12" s="19">
        <v>5</v>
      </c>
      <c r="B12" s="1" t="s">
        <v>33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204.8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183.2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664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636.5</v>
      </c>
      <c r="AN12" s="137">
        <f>населення!AN13+льготи!AN12+субсидии!AN12+'держ.бюджет'!AN12+'місц.-район.бюджет'!AN12+обласной!AN12+'госпрозрахунк.'!AN12</f>
        <v>135.6</v>
      </c>
      <c r="AO12" s="137">
        <f>населення!AO13+льготи!AO12+субсидии!AO12+'держ.бюджет'!AO12+'місц.-район.бюджет'!AO12+обласной!AO12+'госпрозрахунк.'!AO12</f>
        <v>0</v>
      </c>
      <c r="AP12" s="137">
        <f>населення!AP13+льготи!AP12+субсидии!AP12+'держ.бюджет'!AP12+'місц.-район.бюджет'!AP12+обласной!AP12+'госпрозрахунк.'!AP12</f>
        <v>0</v>
      </c>
      <c r="AQ12" s="137">
        <f>населення!AR13+льготи!AQ12+субсидии!AQ12+'держ.бюджет'!AQ12+'місц.-район.бюджет'!AQ12+обласной!AQ12+'госпрозрахунк.'!AQ12</f>
        <v>0</v>
      </c>
      <c r="AR12" s="137">
        <f>населення!AS13+льготи!AR12+субсидии!AR12+'держ.бюджет'!AR12+'місц.-район.бюджет'!AR12+обласной!AR12+'госпрозрахунк.'!AR12</f>
        <v>0</v>
      </c>
      <c r="AS12" s="137">
        <f>населення!AT13+льготи!AS12+субсидии!AS12+'держ.бюджет'!AS12+'місц.-район.бюджет'!AS12+обласной!AS12+'госпрозрахунк.'!AS12</f>
        <v>15683.2</v>
      </c>
      <c r="AT12" s="137">
        <f>населення!AU13+льготи!AT12+субсидии!AT12+'держ.бюджет'!AT12+'місц.-район.бюджет'!AT12+обласной!AT12+'госпрозрахунк.'!AT12</f>
        <v>18050.100000000002</v>
      </c>
      <c r="AU12" s="137">
        <f t="shared" si="8"/>
        <v>115.09194552132217</v>
      </c>
      <c r="AV12" s="137">
        <f>населення!AW13+льготи!AV12+субсидии!AV12+'держ.бюджет'!AV12+'місц.-район.бюджет'!AV12+обласной!AV12+'госпрозрахунк.'!AV12</f>
        <v>-2366.9</v>
      </c>
      <c r="AW12" s="137">
        <f>населення!AX13+льготи!AW12+субсидии!AW12+'держ.бюджет'!AW12+'місц.-район.бюджет'!AW12+обласной!AW12+'госпрозрахунк.'!AW12</f>
        <v>2271.2</v>
      </c>
      <c r="AX12" s="137">
        <f t="shared" si="9"/>
        <v>15683.2</v>
      </c>
      <c r="AY12" s="137">
        <f t="shared" si="10"/>
        <v>18050.1</v>
      </c>
      <c r="AZ12" s="20">
        <f t="shared" si="11"/>
        <v>-2366.899999999998</v>
      </c>
      <c r="BA12" s="20">
        <f t="shared" si="12"/>
        <v>2271.2000000000007</v>
      </c>
    </row>
    <row r="13" spans="1:53" ht="34.5" customHeight="1">
      <c r="A13" s="6">
        <v>6</v>
      </c>
      <c r="B13" s="1" t="s">
        <v>34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361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289.4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1112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42.8</v>
      </c>
      <c r="AN13" s="137">
        <f>населення!AN14+льготи!AN13+субсидии!AN13+'держ.бюджет'!AN13+'місц.-район.бюджет'!AN13+обласной!AN13+'госпрозрахунк.'!AN13</f>
        <v>117.39999999999999</v>
      </c>
      <c r="AO13" s="137">
        <f>населення!AO14+льготи!AO13+субсидии!AO13+'держ.бюджет'!AO13+'місц.-район.бюджет'!AO13+обласной!AO13+'госпрозрахунк.'!AO13</f>
        <v>0</v>
      </c>
      <c r="AP13" s="137">
        <f>населення!AP14+льготи!AP13+субсидии!AP13+'держ.бюджет'!AP13+'місц.-район.бюджет'!AP13+обласной!AP13+'госпрозрахунк.'!AP13</f>
        <v>0</v>
      </c>
      <c r="AQ13" s="137">
        <f>населення!AR14+льготи!AQ13+субсидии!AQ13+'держ.бюджет'!AQ13+'місц.-район.бюджет'!AQ13+обласной!AQ13+'госпрозрахунк.'!AQ13</f>
        <v>0</v>
      </c>
      <c r="AR13" s="137">
        <f>населення!AS14+льготи!AR13+субсидии!AR13+'держ.бюджет'!AR13+'місц.-район.бюджет'!AR13+обласной!AR13+'госпрозрахунк.'!AR13</f>
        <v>0</v>
      </c>
      <c r="AS13" s="137">
        <f>населення!AT14+льготи!AS13+субсидии!AS13+'держ.бюджет'!AS13+'місц.-район.бюджет'!AS13+обласной!AS13+'госпрозрахунк.'!AS13</f>
        <v>3983.2000000000007</v>
      </c>
      <c r="AT13" s="137">
        <f>населення!AU14+льготи!AT13+субсидии!AT13+'держ.бюджет'!AT13+'місц.-район.бюджет'!AT13+обласной!AT13+'госпрозрахунк.'!AT13</f>
        <v>3279.5</v>
      </c>
      <c r="AU13" s="137">
        <f t="shared" si="8"/>
        <v>82.33329985940951</v>
      </c>
      <c r="AV13" s="137">
        <f>населення!AW14+льготи!AV13+субсидии!AV13+'держ.бюджет'!AV13+'місц.-район.бюджет'!AV13+обласной!AV13+'госпрозрахунк.'!AV13</f>
        <v>703.7000000000005</v>
      </c>
      <c r="AW13" s="137">
        <f>населення!AX14+льготи!AW13+субсидии!AW13+'держ.бюджет'!AW13+'місц.-район.бюджет'!AW13+обласной!AW13+'госпрозрахунк.'!AW13</f>
        <v>247.50000000000074</v>
      </c>
      <c r="AX13" s="137">
        <f t="shared" si="9"/>
        <v>3983.2000000000007</v>
      </c>
      <c r="AY13" s="137">
        <f t="shared" si="10"/>
        <v>3279.5</v>
      </c>
      <c r="AZ13" s="20">
        <f t="shared" si="11"/>
        <v>703.7000000000007</v>
      </c>
      <c r="BA13" s="20">
        <f t="shared" si="12"/>
        <v>247.5000000000009</v>
      </c>
    </row>
    <row r="14" spans="1:53" ht="34.5" customHeight="1">
      <c r="A14" s="6">
        <v>7</v>
      </c>
      <c r="B14" s="1" t="s">
        <v>65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18.4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0</v>
      </c>
      <c r="AP14" s="137">
        <f>населення!AP15+льготи!AP14+субсидии!AP14+'держ.бюджет'!AP14+'місц.-район.бюджет'!AP14+обласной!AP14+'госпрозрахунк.'!AP14</f>
        <v>0</v>
      </c>
      <c r="AQ14" s="137">
        <f>населення!AR15+льготи!AQ14+субсидии!AQ14+'держ.бюджет'!AQ14+'місц.-район.бюджет'!AQ14+обласной!AQ14+'госпрозрахунк.'!AQ14</f>
        <v>0</v>
      </c>
      <c r="AR14" s="137">
        <f>населення!AS15+льготи!AR14+субсидии!AR14+'держ.бюджет'!AR14+'місц.-район.бюджет'!AR14+обласной!AR14+'госпрозрахунк.'!AR14</f>
        <v>0</v>
      </c>
      <c r="AS14" s="137">
        <f>населення!AT15+льготи!AS14+субсидии!AS14+'держ.бюджет'!AS14+'місц.-район.бюджет'!AS14+обласной!AS14+'госпрозрахунк.'!AS14</f>
        <v>3604.7999999999997</v>
      </c>
      <c r="AT14" s="137">
        <f>населення!AU15+льготи!AT14+субсидии!AT14+'держ.бюджет'!AT14+'місц.-район.бюджет'!AT14+обласной!AT14+'госпрозрахунк.'!AT14</f>
        <v>3586.5</v>
      </c>
      <c r="AU14" s="137">
        <f t="shared" si="8"/>
        <v>99.49234354194408</v>
      </c>
      <c r="AV14" s="137">
        <f>населення!AW15+льготи!AV14+субсидии!AV14+'держ.бюджет'!AV14+'місц.-район.бюджет'!AV14+обласной!AV14+'госпрозрахунк.'!AV14</f>
        <v>18.299999999999613</v>
      </c>
      <c r="AW14" s="137">
        <f>населення!AX15+льготи!AW14+субсидии!AW14+'держ.бюджет'!AW14+'місц.-район.бюджет'!AW14+обласной!AW14+'госпрозрахунк.'!AW14</f>
        <v>18.299999999999613</v>
      </c>
      <c r="AX14" s="137">
        <f t="shared" si="9"/>
        <v>3604.7999999999997</v>
      </c>
      <c r="AY14" s="137">
        <f t="shared" si="10"/>
        <v>3586.5000000000005</v>
      </c>
      <c r="AZ14" s="20">
        <f t="shared" si="11"/>
        <v>18.299999999999272</v>
      </c>
      <c r="BA14" s="20">
        <f t="shared" si="12"/>
        <v>18.299999999999272</v>
      </c>
    </row>
    <row r="15" spans="1:53" ht="34.5" customHeight="1">
      <c r="A15" s="6">
        <v>8</v>
      </c>
      <c r="B15" s="1" t="s">
        <v>35</v>
      </c>
      <c r="C15" s="137">
        <f>населення!C16+льготи!C15+субсидии!C15+'держ.бюджет'!C15+'місц.-район.бюджет'!C15+обласной!C15+'госпрозрахунк.'!C15</f>
        <v>5674.099999999999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448.0999999999999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672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1882.4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1547.8000000000002</v>
      </c>
      <c r="AN15" s="137">
        <f>населення!AN16+льготи!AN15+субсидии!AN15+'держ.бюджет'!AN15+'місц.-район.бюджет'!AN15+обласной!AN15+'госпрозрахунк.'!AN15</f>
        <v>1788.2</v>
      </c>
      <c r="AO15" s="137">
        <f>населення!AO16+льготи!AO15+субсидии!AO15+'держ.бюджет'!AO15+'місц.-район.бюджет'!AO15+обласной!AO15+'госпрозрахунк.'!AO15</f>
        <v>0</v>
      </c>
      <c r="AP15" s="137">
        <f>населення!AP16+льготи!AP15+субсидии!AP15+'держ.бюджет'!AP15+'місц.-район.бюджет'!AP15+обласной!AP15+'госпрозрахунк.'!AP15</f>
        <v>0</v>
      </c>
      <c r="AQ15" s="137">
        <f>населення!AR16+льготи!AQ15+субсидии!AQ15+'держ.бюджет'!AQ15+'місц.-район.бюджет'!AQ15+обласной!AQ15+'госпрозрахунк.'!AQ15</f>
        <v>0</v>
      </c>
      <c r="AR15" s="137">
        <f>населення!AS16+льготи!AR15+субсидии!AR15+'держ.бюджет'!AR15+'місц.-район.бюджет'!AR15+обласной!AR15+'госпрозрахунк.'!AR15</f>
        <v>0</v>
      </c>
      <c r="AS15" s="137">
        <f>населення!AT16+льготи!AS15+субсидии!AS15+'держ.бюджет'!AS15+'місц.-район.бюджет'!AS15+обласной!AS15+'госпрозрахунк.'!AS15</f>
        <v>25259.800000000003</v>
      </c>
      <c r="AT15" s="137">
        <f>населення!AU16+льготи!AT15+субсидии!AT15+'держ.бюджет'!AT15+'місц.-район.бюджет'!AT15+обласной!AT15+'госпрозрахунк.'!AT15</f>
        <v>30288.5</v>
      </c>
      <c r="AU15" s="137">
        <f t="shared" si="8"/>
        <v>119.90791692729157</v>
      </c>
      <c r="AV15" s="137">
        <f>населення!AW16+льготи!AV15+субсидии!AV15+'держ.бюджет'!AV15+'місц.-район.бюджет'!AV15+обласной!AV15+'госпрозрахунк.'!AV15</f>
        <v>-5028.699999999999</v>
      </c>
      <c r="AW15" s="137">
        <f>населення!AX16+льготи!AW15+субсидии!AW15+'держ.бюджет'!AW15+'місц.-район.бюджет'!AW15+обласной!AW15+'госпрозрахунк.'!AW15</f>
        <v>645.400000000001</v>
      </c>
      <c r="AX15" s="137">
        <f t="shared" si="9"/>
        <v>25259.8</v>
      </c>
      <c r="AY15" s="137">
        <f t="shared" si="10"/>
        <v>30288.500000000004</v>
      </c>
      <c r="AZ15" s="20">
        <f t="shared" si="11"/>
        <v>-5028.700000000004</v>
      </c>
      <c r="BA15" s="20">
        <f t="shared" si="12"/>
        <v>645.3999999999942</v>
      </c>
    </row>
    <row r="16" spans="1:53" ht="34.5" customHeight="1">
      <c r="A16" s="19">
        <v>9</v>
      </c>
      <c r="B16" s="1" t="s">
        <v>36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370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1436.8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44.7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0</v>
      </c>
      <c r="AP16" s="137">
        <f>населення!AP17+льготи!AP16+субсидии!AP16+'держ.бюджет'!AP16+'місц.-район.бюджет'!AP16+обласной!AP16+'госпрозрахунк.'!AP16</f>
        <v>0</v>
      </c>
      <c r="AQ16" s="137">
        <f>населення!AR17+льготи!AQ16+субсидии!AQ16+'держ.бюджет'!AQ16+'місц.-район.бюджет'!AQ16+обласной!AQ16+'госпрозрахунк.'!AQ16</f>
        <v>0</v>
      </c>
      <c r="AR16" s="137">
        <f>населення!AS17+льготи!AR16+субсидии!AR16+'держ.бюджет'!AR16+'місц.-район.бюджет'!AR16+обласной!AR16+'госпрозрахунк.'!AR16</f>
        <v>0</v>
      </c>
      <c r="AS16" s="137">
        <f>населення!AT17+льготи!AS16+субсидии!AS16+'держ.бюджет'!AS16+'місц.-район.бюджет'!AS16+обласной!AS16+'госпрозрахунк.'!AS16</f>
        <v>5012.3</v>
      </c>
      <c r="AT16" s="137">
        <f>населення!AU17+льготи!AT16+субсидии!AT16+'держ.бюджет'!AT16+'місц.-район.бюджет'!AT16+обласной!AT16+'госпрозрахунк.'!AT16</f>
        <v>4934.2</v>
      </c>
      <c r="AU16" s="137">
        <f t="shared" si="8"/>
        <v>98.44183309059711</v>
      </c>
      <c r="AV16" s="137">
        <f>населення!AW17+льготи!AV16+субсидии!AV16+'держ.бюджет'!AV16+'місц.-район.бюджет'!AV16+обласной!AV16+'госпрозрахунк.'!AV16</f>
        <v>78.1000000000007</v>
      </c>
      <c r="AW16" s="137">
        <f>населення!AX17+льготи!AW16+субсидии!AW16+'держ.бюджет'!AW16+'місц.-район.бюджет'!AW16+обласной!AW16+'госпрозрахунк.'!AW16</f>
        <v>37.600000000000534</v>
      </c>
      <c r="AX16" s="137">
        <f t="shared" si="9"/>
        <v>5012.3</v>
      </c>
      <c r="AY16" s="137">
        <f t="shared" si="10"/>
        <v>4934.2</v>
      </c>
      <c r="AZ16" s="20">
        <f t="shared" si="11"/>
        <v>78.10000000000036</v>
      </c>
      <c r="BA16" s="20">
        <f t="shared" si="12"/>
        <v>37.600000000000364</v>
      </c>
    </row>
    <row r="17" spans="1:53" ht="34.5" customHeight="1">
      <c r="A17" s="19">
        <v>10</v>
      </c>
      <c r="B17" s="15" t="s">
        <v>37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17.9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5.8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73.9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6.8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0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0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177.3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-177.3</v>
      </c>
      <c r="AW17" s="137">
        <f>населення!AX18+льготи!AW17+субсидии!AW17+'держ.бюджет'!AW17+'місц.-район.бюджет'!AW17+обласной!AW17+'госпрозрахунк.'!AW17</f>
        <v>1571</v>
      </c>
      <c r="AX17" s="137">
        <f t="shared" si="9"/>
        <v>0</v>
      </c>
      <c r="AY17" s="137">
        <f t="shared" si="10"/>
        <v>177.3</v>
      </c>
      <c r="AZ17" s="20">
        <f t="shared" si="11"/>
        <v>-177.3</v>
      </c>
      <c r="BA17" s="20">
        <f t="shared" si="12"/>
        <v>1571</v>
      </c>
    </row>
    <row r="18" spans="1:53" ht="34.5" customHeight="1">
      <c r="A18" s="19">
        <v>11</v>
      </c>
      <c r="B18" s="15" t="s">
        <v>38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0</v>
      </c>
      <c r="AP18" s="137">
        <f>населення!AP19+льготи!AP18+субсидии!AP18+'держ.бюджет'!AP18+'місц.-район.бюджет'!AP18+обласной!AP18+'госпрозрахунк.'!AP18</f>
        <v>0</v>
      </c>
      <c r="AQ18" s="137">
        <f>населення!AR19+льготи!AQ18+субсидии!AQ18+'держ.бюджет'!AQ18+'місц.-район.бюджет'!AQ18+обласной!AQ18+'госпрозрахунк.'!AQ18</f>
        <v>0</v>
      </c>
      <c r="AR18" s="137">
        <f>населення!AS19+льготи!AR18+субсидии!AR18+'держ.бюджет'!AR18+'місц.-район.бюджет'!AR18+обласной!AR18+'госпрозрахунк.'!AR18</f>
        <v>0</v>
      </c>
      <c r="AS18" s="137">
        <f>населення!AT19+льготи!AS18+субсидии!AS18+'держ.бюджет'!AS18+'місц.-район.бюджет'!AS18+обласной!AS18+'госпрозрахунк.'!AS18</f>
        <v>2405.1</v>
      </c>
      <c r="AT18" s="137">
        <f>населення!AU19+льготи!AT18+субсидии!AT18+'держ.бюджет'!AT18+'місц.-район.бюджет'!AT18+обласной!AT18+'госпрозрахунк.'!AT18</f>
        <v>2585.7</v>
      </c>
      <c r="AU18" s="137">
        <f t="shared" si="8"/>
        <v>107.50904328302357</v>
      </c>
      <c r="AV18" s="137">
        <f>населення!AW19+льготи!AV18+субсидии!AV18+'держ.бюджет'!AV18+'місц.-район.бюджет'!AV18+обласной!AV18+'госпрозрахунк.'!AV18</f>
        <v>-180.60000000000002</v>
      </c>
      <c r="AW18" s="137">
        <f>населення!AX19+льготи!AW18+субсидии!AW18+'держ.бюджет'!AW18+'місц.-район.бюджет'!AW18+обласной!AW18+'госпрозрахунк.'!AW18</f>
        <v>-3.100000000000051</v>
      </c>
      <c r="AX18" s="137">
        <f t="shared" si="9"/>
        <v>2405.1</v>
      </c>
      <c r="AY18" s="137">
        <f t="shared" si="10"/>
        <v>2585.7000000000003</v>
      </c>
      <c r="AZ18" s="20">
        <f t="shared" si="11"/>
        <v>-180.60000000000036</v>
      </c>
      <c r="BA18" s="20">
        <f t="shared" si="12"/>
        <v>-3.100000000000364</v>
      </c>
    </row>
    <row r="19" spans="1:54" ht="34.5" customHeight="1">
      <c r="A19" s="19">
        <v>12</v>
      </c>
      <c r="B19" s="1" t="s">
        <v>39</v>
      </c>
      <c r="C19" s="137">
        <f>населення!C20+льготи!C19+субсидии!C19+'держ.бюджет'!C19+'місц.-район.бюджет'!C19+обласной!C19+'госпрозрахунк.'!C19</f>
        <v>4438.4</v>
      </c>
      <c r="D19" s="138">
        <f>населення!D20+льготи!D19+субсидии!D19+'держ.бюджет'!D19+'місц.-район.бюджет'!D19+обласной!D19+'госпрозрахунк.'!D19</f>
        <v>4549.099999999999</v>
      </c>
      <c r="E19" s="138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38">
        <f>населення!G20+льготи!G19+субсидии!G19+'держ.бюджет'!G19+'місц.-район.бюджет'!G19+обласной!G19+'госпрозрахунк.'!G19</f>
        <v>4011.7999999999997</v>
      </c>
      <c r="H19" s="138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38">
        <f>населення!J20+льготи!J19+субсидии!J19+'держ.бюджет'!J19+'місц.-район.бюджет'!J19+обласной!J19+'госпрозрахунк.'!J19</f>
        <v>3167.2000000000003</v>
      </c>
      <c r="K19" s="138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37">
        <f>населення!M20+льготи!M19+субсидии!M19+'держ.бюджет'!M19+'місц.-район.бюджет'!M19+обласной!M19+'госпрозрахунк.'!M19</f>
        <v>11728.099999999999</v>
      </c>
      <c r="N19" s="137">
        <f>населення!N20+льготи!N19+субсидии!N19+'держ.бюджет'!N19+'місц.-район.бюджет'!N19+обласной!N19+'госпрозрахунк.'!N19</f>
        <v>10721</v>
      </c>
      <c r="O19" s="137">
        <f t="shared" si="4"/>
        <v>91.41293133585151</v>
      </c>
      <c r="P19" s="137">
        <f>населення!P20+льготи!P19+субсидии!P19+'держ.бюджет'!P19+'місц.-район.бюджет'!P19+обласной!P19+'госпрозрахунк.'!P19</f>
        <v>790.9</v>
      </c>
      <c r="Q19" s="137">
        <f>населення!Q20+льготи!Q19+субсидии!Q19+'держ.бюджет'!Q19+'місц.-район.бюджет'!Q19+обласной!Q19+'госпрозрахунк.'!Q19</f>
        <v>2477.5999999999995</v>
      </c>
      <c r="R19" s="137">
        <f t="shared" si="5"/>
        <v>313.26337084334295</v>
      </c>
      <c r="S19" s="137">
        <f>населення!S20+льготи!S19+субсидии!S19+'держ.бюджет'!S19+'місц.-район.бюджет'!S19+обласной!S19+'госпрозрахунк.'!S19</f>
        <v>118.5</v>
      </c>
      <c r="T19" s="137">
        <f>населення!T20+льготи!T19+субсидии!T19+'держ.бюджет'!T19+'місц.-район.бюджет'!T19+обласной!T19+'госпрозрахунк.'!T19</f>
        <v>439.80000000000007</v>
      </c>
      <c r="U19" s="137"/>
      <c r="V19" s="137">
        <f>населення!V20+льготи!V19+субсидии!V19+'держ.бюджет'!V19+'місц.-район.бюджет'!V19+обласной!V19+'госпрозрахунк.'!V19</f>
        <v>118.5</v>
      </c>
      <c r="W19" s="137">
        <f>населення!W20+льготи!W19+субсидии!W19+'держ.бюджет'!W19+'місц.-район.бюджет'!W19+обласной!W19+'госпрозрахунк.'!W19</f>
        <v>147.79999999999998</v>
      </c>
      <c r="X19" s="137"/>
      <c r="Y19" s="137">
        <f>населення!Y20+льготи!Y19+субсидии!Y19+'держ.бюджет'!Y19+'місц.-район.бюджет'!Y19+обласной!Y19+'госпрозрахунк.'!Y19</f>
        <v>1027.9</v>
      </c>
      <c r="Z19" s="137">
        <f>населення!Z20+льготи!Z19+субсидии!Z19+'держ.бюджет'!Z19+'місц.-район.бюджет'!Z19+обласной!Z19+'госпрозрахунк.'!Z19</f>
        <v>3065.2000000000003</v>
      </c>
      <c r="AA19" s="137">
        <f t="shared" si="2"/>
        <v>298.20021402860203</v>
      </c>
      <c r="AB19" s="137">
        <f>населення!AB20+льготи!AB19+субсидии!AB19+'держ.бюджет'!AB19+'місц.-район.бюджет'!AB19+обласной!AB19+'госпрозрахунк.'!AB19</f>
        <v>107.7</v>
      </c>
      <c r="AC19" s="137">
        <f>населення!AC20+льготи!AC19+субсидии!AC19+'держ.бюджет'!AC19+'місц.-район.бюджет'!AC19+обласной!AC19+'госпрозрахунк.'!AC19</f>
        <v>296</v>
      </c>
      <c r="AD19" s="137">
        <f t="shared" si="6"/>
        <v>274.83751160631385</v>
      </c>
      <c r="AE19" s="137">
        <f>населення!AE20+льготи!AE19+субсидии!AE19+'держ.бюджет'!AE19+'місц.-район.бюджет'!AE19+обласной!AE19+'госпрозрахунк.'!AE19</f>
        <v>115.6</v>
      </c>
      <c r="AF19" s="137">
        <f>населення!AF20+льготи!AF19+субсидии!AF19+'держ.бюджет'!AF19+'місц.-район.бюджет'!AF19+обласной!AF19+'госпрозрахунк.'!AF19</f>
        <v>186.10000000000002</v>
      </c>
      <c r="AG19" s="100">
        <f>AF19/AE19*100</f>
        <v>160.9861591695502</v>
      </c>
      <c r="AH19" s="137">
        <f>населення!AH20+льготи!AH19+субсидии!AH19+'держ.бюджет'!AH19+'місц.-район.бюджет'!AH19+обласной!AH19+'госпрозрахунк.'!AH19</f>
        <v>98.8</v>
      </c>
      <c r="AI19" s="137">
        <f>населення!AI20+льготи!AI19+субсидии!AI19+'держ.бюджет'!AI19+'місц.-район.бюджет'!AI19+обласной!AI19+'госпрозрахунк.'!AI19</f>
        <v>261</v>
      </c>
      <c r="AJ19" s="137">
        <f>населення!AJ20+льготи!AJ19+субсидии!AJ19+'держ.бюджет'!AJ19+'місц.-район.бюджет'!AJ19+обласной!AJ19+'госпрозрахунк.'!AJ19</f>
        <v>322.1</v>
      </c>
      <c r="AK19" s="137">
        <f>населення!AK20+льготи!AK19+субсидии!AK19+'держ.бюджет'!AK19+'місц.-район.бюджет'!AK19+обласной!AK19+'госпрозрахунк.'!AK19</f>
        <v>743.1</v>
      </c>
      <c r="AL19" s="100">
        <f t="shared" si="7"/>
        <v>230.70475007761564</v>
      </c>
      <c r="AM19" s="137">
        <f>населення!AM20+льготи!AM19+субсидии!AM19+'держ.бюджет'!AM19+'місц.-район.бюджет'!AM19+обласной!AM19+'госпрозрахунк.'!AM19</f>
        <v>417.8</v>
      </c>
      <c r="AN19" s="137">
        <f>населення!AN20+льготи!AN19+субсидии!AN19+'держ.бюджет'!AN19+'місц.-район.бюджет'!AN19+обласной!AN19+'госпрозрахунк.'!AN19</f>
        <v>553.3</v>
      </c>
      <c r="AO19" s="137">
        <f>населення!AO20+льготи!AO19+субсидии!AO19+'держ.бюджет'!AO19+'місц.-район.бюджет'!AO19+обласной!AO19+'госпрозрахунк.'!AO19</f>
        <v>0</v>
      </c>
      <c r="AP19" s="137">
        <f>населення!AP20+льготи!AP19+субсидии!AP19+'держ.бюджет'!AP19+'місц.-район.бюджет'!AP19+обласной!AP19+'госпрозрахунк.'!AP19</f>
        <v>0</v>
      </c>
      <c r="AQ19" s="137">
        <f>населення!AR20+льготи!AQ19+субсидии!AQ19+'держ.бюджет'!AQ19+'місц.-район.бюджет'!AQ19+обласной!AQ19+'госпрозрахунк.'!AQ19</f>
        <v>0</v>
      </c>
      <c r="AR19" s="137">
        <f>населення!AS20+льготи!AR19+субсидии!AR19+'держ.бюджет'!AR19+'місц.-район.бюджет'!AR19+обласной!AR19+'госпрозрахунк.'!AR19</f>
        <v>0</v>
      </c>
      <c r="AS19" s="137">
        <f>населення!AT20+льготи!AS19+субсидии!AS19+'держ.бюджет'!AS19+'місц.-район.бюджет'!AS19+обласной!AS19+'госпрозрахунк.'!AS19</f>
        <v>13495.899999999996</v>
      </c>
      <c r="AT19" s="137">
        <f>населення!AU20+льготи!AT19+субсидии!AT19+'держ.бюджет'!AT19+'місц.-район.бюджет'!AT19+обласной!AT19+'госпрозрахунк.'!AT19</f>
        <v>15082.599999999999</v>
      </c>
      <c r="AU19" s="137">
        <f t="shared" si="8"/>
        <v>111.75690394860665</v>
      </c>
      <c r="AV19" s="137">
        <f>населення!AW20+льготи!AV19+субсидии!AV19+'держ.бюджет'!AV19+'місц.-район.бюджет'!AV19+обласной!AV19+'госпрозрахунк.'!AV19</f>
        <v>-1586.7000000000016</v>
      </c>
      <c r="AW19" s="137">
        <f>населення!AX20+льготи!AW19+субсидии!AW19+'держ.бюджет'!AW19+'місц.-район.бюджет'!AW19+обласной!AW19+'госпрозрахунк.'!AW19</f>
        <v>2851.699999999999</v>
      </c>
      <c r="AX19" s="137">
        <f t="shared" si="9"/>
        <v>13495.899999999998</v>
      </c>
      <c r="AY19" s="137">
        <f t="shared" si="10"/>
        <v>15082.6</v>
      </c>
      <c r="AZ19" s="20">
        <f t="shared" si="11"/>
        <v>-1586.7000000000025</v>
      </c>
      <c r="BA19" s="20">
        <f t="shared" si="12"/>
        <v>2851.6999999999953</v>
      </c>
      <c r="BB19" s="136">
        <f>BA19-AW19</f>
        <v>-3.637978807091713E-12</v>
      </c>
    </row>
    <row r="20" spans="1:53" ht="34.5" customHeight="1">
      <c r="A20" s="6">
        <v>13</v>
      </c>
      <c r="B20" s="15" t="s">
        <v>40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41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187.8</v>
      </c>
      <c r="AF21" s="137">
        <f>населення!AF22+льготи!AF21+субсидии!AF21+'держ.бюджет'!AF21+'місц.-район.бюджет'!AF21+обласной!AF21+'госпрозрахунк.'!AF21</f>
        <v>142.8</v>
      </c>
      <c r="AG21" s="137">
        <f>AF21/AE21*100</f>
        <v>76.03833865814697</v>
      </c>
      <c r="AH21" s="137">
        <f>населення!AH22+льготи!AH21+субсидии!AH21+'держ.бюджет'!AH21+'місц.-район.бюджет'!AH21+обласной!AH21+'госпрозрахунк.'!AH21</f>
        <v>172</v>
      </c>
      <c r="AI21" s="137">
        <f>населення!AI22+льготи!AI21+субсидии!AI21+'держ.бюджет'!AI21+'місц.-район.бюджет'!AI21+обласной!AI21+'госпрозрахунк.'!AI21</f>
        <v>170</v>
      </c>
      <c r="AJ21" s="137">
        <f>населення!AJ22+льготи!AJ21+субсидии!AJ21+'держ.бюджет'!AJ21+'місц.-район.бюджет'!AJ21+обласной!AJ21+'госпрозрахунк.'!AJ21</f>
        <v>547.6</v>
      </c>
      <c r="AK21" s="137">
        <f>населення!AK22+льготи!AK21+субсидии!AK21+'держ.бюджет'!AK21+'місц.-район.бюджет'!AK21+обласной!AK21+'госпрозрахунк.'!AK21</f>
        <v>555.6</v>
      </c>
      <c r="AL21" s="137">
        <f t="shared" si="7"/>
        <v>101.4609203798393</v>
      </c>
      <c r="AM21" s="137">
        <f>населення!AM22+льготи!AM21+субсидии!AM21+'держ.бюджет'!AM21+'місц.-район.бюджет'!AM21+обласной!AM21+'госпрозрахунк.'!AM21</f>
        <v>262</v>
      </c>
      <c r="AN21" s="137">
        <f>населення!AN22+льготи!AN21+субсидии!AN21+'держ.бюджет'!AN21+'місц.-район.бюджет'!AN21+обласной!AN21+'госпрозрахунк.'!AN21</f>
        <v>342.8</v>
      </c>
      <c r="AO21" s="137">
        <f>населення!AO22+льготи!AO21+субсидии!AO21+'держ.бюджет'!AO21+'місц.-район.бюджет'!AO21+обласной!AO21+'госпрозрахунк.'!AO21</f>
        <v>0</v>
      </c>
      <c r="AP21" s="137">
        <f>населення!AP22+льготи!AP21+субсидии!AP21+'держ.бюджет'!AP21+'місц.-район.бюджет'!AP21+обласной!AP21+'госпрозрахунк.'!AP21</f>
        <v>0</v>
      </c>
      <c r="AQ21" s="137">
        <f>населення!AR22+льготи!AQ21+субсидии!AQ21+'держ.бюджет'!AQ21+'місц.-район.бюджет'!AQ21+обласной!AQ21+'госпрозрахунк.'!AQ21</f>
        <v>0</v>
      </c>
      <c r="AR21" s="137">
        <f>населення!AS22+льготи!AR21+субсидии!AR21+'держ.бюджет'!AR21+'місц.-район.бюджет'!AR21+обласной!AR21+'госпрозрахунк.'!AR21</f>
        <v>0</v>
      </c>
      <c r="AS21" s="137">
        <f>населення!AT22+льготи!AS21+субсидии!AS21+'держ.бюджет'!AS21+'місц.-район.бюджет'!AS21+обласной!AS21+'госпрозрахунк.'!AS21</f>
        <v>3103.9</v>
      </c>
      <c r="AT21" s="137">
        <f>населення!AU22+льготи!AT21+субсидии!AT21+'держ.бюджет'!AT21+'місц.-район.бюджет'!AT21+обласной!AT21+'госпрозрахунк.'!AT21</f>
        <v>3169.9</v>
      </c>
      <c r="AU21" s="137">
        <f t="shared" si="8"/>
        <v>102.12635716356841</v>
      </c>
      <c r="AV21" s="137">
        <f>населення!AW22+льготи!AV21+субсидии!AV21+'держ.бюджет'!AV21+'місц.-район.бюджет'!AV21+обласной!AV21+'госпрозрахунк.'!AV21</f>
        <v>-65.99999999999974</v>
      </c>
      <c r="AW21" s="137">
        <f>населення!AX22+льготи!AW21+субсидии!AW21+'держ.бюджет'!AW21+'місц.-район.бюджет'!AW21+обласной!AW21+'госпрозрахунк.'!AW21</f>
        <v>-82.99999999999974</v>
      </c>
      <c r="AX21" s="137">
        <f t="shared" si="9"/>
        <v>3103.9</v>
      </c>
      <c r="AY21" s="137">
        <f t="shared" si="10"/>
        <v>3169.9</v>
      </c>
      <c r="AZ21" s="20">
        <f t="shared" si="11"/>
        <v>-66</v>
      </c>
      <c r="BA21" s="20">
        <f t="shared" si="12"/>
        <v>-83</v>
      </c>
    </row>
    <row r="22" spans="1:53" ht="34.5" customHeight="1">
      <c r="A22" s="19">
        <v>15</v>
      </c>
      <c r="B22" s="15" t="s">
        <v>42</v>
      </c>
      <c r="C22" s="137">
        <f>населення!C23+льготи!C22+субсидии!C22+'держ.бюджет'!C22+'місц.-район.бюджет'!C22+обласной!C22+'госпрозрахунк.'!C22</f>
        <v>-92.39999999999999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35.4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58.6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0</v>
      </c>
      <c r="AP22" s="137">
        <f>населення!AP23+льготи!AP22+субсидии!AP22+'держ.бюджет'!AP22+'місц.-район.бюджет'!AP22+обласной!AP22+'госпрозрахунк.'!AP22</f>
        <v>0</v>
      </c>
      <c r="AQ22" s="137">
        <f>населення!AR23+льготи!AQ22+субсидии!AQ22+'держ.бюджет'!AQ22+'місц.-район.бюджет'!AQ22+обласной!AQ22+'госпрозрахунк.'!AQ22</f>
        <v>0</v>
      </c>
      <c r="AR22" s="137">
        <f>населення!AS23+льготи!AR22+субсидии!AR22+'держ.бюджет'!AR22+'місц.-район.бюджет'!AR22+обласной!AR22+'госпрозрахунк.'!AR22</f>
        <v>0</v>
      </c>
      <c r="AS22" s="137">
        <f>населення!AT23+льготи!AS22+субсидии!AS22+'держ.бюджет'!AS22+'місц.-район.бюджет'!AS22+обласной!AS22+'госпрозрахунк.'!AS22</f>
        <v>6747.099999999999</v>
      </c>
      <c r="AT22" s="137">
        <f>населення!AU23+льготи!AT22+субсидии!AT22+'держ.бюджет'!AT22+'місц.-район.бюджет'!AT22+обласной!AT22+'госпрозрахунк.'!AT22</f>
        <v>6624</v>
      </c>
      <c r="AU22" s="137">
        <f t="shared" si="8"/>
        <v>98.17551244238267</v>
      </c>
      <c r="AV22" s="137">
        <f>населення!AW23+льготи!AV22+субсидии!AV22+'держ.бюджет'!AV22+'місц.-район.бюджет'!AV22+обласной!AV22+'госпрозрахунк.'!AV22</f>
        <v>123.0999999999998</v>
      </c>
      <c r="AW22" s="137">
        <f>населення!AX23+льготи!AW22+субсидии!AW22+'держ.бюджет'!AW22+'місц.-район.бюджет'!AW22+обласной!AW22+'госпрозрахунк.'!AW22</f>
        <v>30.69999999999959</v>
      </c>
      <c r="AX22" s="137">
        <f t="shared" si="9"/>
        <v>6747.1</v>
      </c>
      <c r="AY22" s="137">
        <f t="shared" si="10"/>
        <v>6624</v>
      </c>
      <c r="AZ22" s="20">
        <f t="shared" si="11"/>
        <v>123.10000000000036</v>
      </c>
      <c r="BA22" s="20">
        <f t="shared" si="12"/>
        <v>30.700000000000728</v>
      </c>
    </row>
    <row r="23" spans="1:53" ht="34.5" customHeight="1">
      <c r="A23" s="19">
        <v>16</v>
      </c>
      <c r="B23" s="15" t="s">
        <v>43</v>
      </c>
      <c r="C23" s="100"/>
      <c r="D23" s="260"/>
      <c r="E23" s="260"/>
      <c r="F23" s="28"/>
      <c r="G23" s="260"/>
      <c r="H23" s="260"/>
      <c r="I23" s="260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44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0</v>
      </c>
      <c r="AC24" s="137">
        <f>населення!AC25+льготи!AC24+субсидии!AC24+'держ.бюджет'!AC24+'місц.-район.бюджет'!AC24+обласной!AC24+'госпрозрахунк.'!AC24</f>
        <v>973.6999999999999</v>
      </c>
      <c r="AD24" s="137" t="e">
        <f t="shared" si="6"/>
        <v>#DIV/0!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832.3999999999999</v>
      </c>
      <c r="AG24" s="137">
        <f>населення!AG25+льготи!AG24+субсидии!AG24+'держ.бюджет'!AG24+'місц.-район.бюджет'!AG24+обласной!AG24+'госпрозрахунк.'!AG24</f>
        <v>-9307.575757575758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807</v>
      </c>
      <c r="AJ24" s="137">
        <f>населення!AJ25+льготи!AJ24+субсидии!AJ24+'держ.бюджет'!AJ24+'місц.-район.бюджет'!AJ24+обласной!AJ24+'госпрозрахунк.'!AJ24</f>
        <v>0</v>
      </c>
      <c r="AK24" s="137">
        <f>населення!AK25+льготи!AK24+субсидии!AK24+'держ.бюджет'!AK24+'місц.-район.бюджет'!AK24+обласной!AK24+'госпрозрахунк.'!AK24</f>
        <v>2613.1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1789.7</v>
      </c>
      <c r="AO24" s="137">
        <f>населення!AO25+льготи!AO24+субсидии!AO24+'держ.бюджет'!AO24+'місц.-район.бюджет'!AO24+обласной!AO24+'госпрозрахунк.'!AO24</f>
        <v>0</v>
      </c>
      <c r="AP24" s="137">
        <f>населення!AP25+льготи!AP24+субсидии!AP24+'держ.бюджет'!AP24+'місц.-район.бюджет'!AP24+обласной!AP24+'госпрозрахунк.'!AP24</f>
        <v>0</v>
      </c>
      <c r="AQ24" s="137" t="e">
        <f>населення!AQ25+льготи!AQ24+субсидии!AQ24+'держ.бюджет'!AQ24+'місц.-район.бюджет'!AQ24+обласной!AQ24+'госпрозрахунк.'!AQ24</f>
        <v>#DIV/0!</v>
      </c>
      <c r="AR24" s="137">
        <f>населення!AR25+льготи!AR24+субсидии!AR24+'держ.бюджет'!AR24+'місц.-район.бюджет'!AR24+обласной!AR24+'госпрозрахунк.'!AR24</f>
        <v>0</v>
      </c>
      <c r="AS24" s="137">
        <f>населення!AT25+льготи!AS24+субсидии!AS24+'держ.бюджет'!AS24+'місц.-район.бюджет'!AS24+обласной!AS24+'госпрозрахунк.'!AS24</f>
        <v>37309.1</v>
      </c>
      <c r="AT24" s="137">
        <f>населення!AU25+льготи!AT24+субсидии!AT24+'держ.бюджет'!AT24+'місц.-район.бюджет'!AT24+обласной!AT24+'госпрозрахунк.'!AT24</f>
        <v>47853.70000000001</v>
      </c>
      <c r="AU24" s="137">
        <f t="shared" si="8"/>
        <v>128.26280987748302</v>
      </c>
      <c r="AV24" s="137">
        <f>населення!AW25+льготи!AV24+субсидии!AV24+'держ.бюджет'!AV24+'місц.-район.бюджет'!AV24+обласной!AV24+'госпрозрахунк.'!AV24</f>
        <v>-10544.600000000004</v>
      </c>
      <c r="AW24" s="137">
        <f>населення!AX25+льготи!AW24+субсидии!AW24+'держ.бюджет'!AW24+'місц.-район.бюджет'!AW24+обласной!AW24+'госпрозрахунк.'!AW24</f>
        <v>4863.4999999999945</v>
      </c>
      <c r="AX24" s="137">
        <f t="shared" si="9"/>
        <v>37309.1</v>
      </c>
      <c r="AY24" s="137">
        <f t="shared" si="10"/>
        <v>47853.7</v>
      </c>
      <c r="AZ24" s="20">
        <f t="shared" si="11"/>
        <v>-10544.599999999999</v>
      </c>
      <c r="BA24" s="20">
        <f t="shared" si="12"/>
        <v>4863.5</v>
      </c>
    </row>
    <row r="25" spans="1:53" ht="34.5" customHeight="1">
      <c r="A25" s="19">
        <v>18</v>
      </c>
      <c r="B25" s="1" t="s">
        <v>45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140.4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0</v>
      </c>
      <c r="AP25" s="137">
        <f>населення!AP26+льготи!AP25+субсидии!AP25+'держ.бюджет'!AP25+'місц.-район.бюджет'!AP25+обласной!AP25+'госпрозрахунк.'!AP25</f>
        <v>0</v>
      </c>
      <c r="AQ25" s="137">
        <f>населення!AR26+льготи!AQ25+субсидии!AQ25+'держ.бюджет'!AQ25+'місц.-район.бюджет'!AQ25+обласной!AQ25+'госпрозрахунк.'!AQ25</f>
        <v>0</v>
      </c>
      <c r="AR25" s="137">
        <f>населення!AS26+льготи!AR25+субсидии!AR25+'держ.бюджет'!AR25+'місц.-район.бюджет'!AR25+обласной!AR25+'госпрозрахунк.'!AR25</f>
        <v>0</v>
      </c>
      <c r="AS25" s="137">
        <f>населення!AT26+льготи!AS25+субсидии!AS25+'держ.бюджет'!AS25+'місц.-район.бюджет'!AS25+обласной!AS25+'госпрозрахунк.'!AS25</f>
        <v>5080.1</v>
      </c>
      <c r="AT25" s="137">
        <f>населення!AU26+льготи!AT25+субсидии!AT25+'держ.бюджет'!AT25+'місц.-район.бюджет'!AT25+обласной!AT25+'госпрозрахунк.'!AT25</f>
        <v>4967.8</v>
      </c>
      <c r="AU25" s="137">
        <f t="shared" si="8"/>
        <v>97.78941359422059</v>
      </c>
      <c r="AV25" s="137">
        <f>населення!AW26+льготи!AV25+субсидии!AV25+'держ.бюджет'!AV25+'місц.-район.бюджет'!AV25+обласной!AV25+'госпрозрахунк.'!AV25</f>
        <v>112.30000000000034</v>
      </c>
      <c r="AW25" s="137">
        <f>населення!AX26+льготи!AW25+субсидии!AW25+'держ.бюджет'!AW25+'місц.-район.бюджет'!AW25+обласной!AW25+'госпрозрахунк.'!AW25</f>
        <v>-600.0999999999997</v>
      </c>
      <c r="AX25" s="137">
        <f t="shared" si="9"/>
        <v>5080.099999999999</v>
      </c>
      <c r="AY25" s="137">
        <f t="shared" si="10"/>
        <v>4967.8</v>
      </c>
      <c r="AZ25" s="20">
        <f t="shared" si="11"/>
        <v>112.29999999999927</v>
      </c>
      <c r="BA25" s="20">
        <f t="shared" si="12"/>
        <v>-600.1000000000013</v>
      </c>
    </row>
    <row r="26" spans="1:53" ht="34.5" customHeight="1">
      <c r="A26" s="19">
        <v>19</v>
      </c>
      <c r="B26" s="15" t="s">
        <v>46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4.440892098500626E-16</v>
      </c>
      <c r="AF26" s="137">
        <f>населення!AF27+льготи!AF26+субсидии!AF26+'держ.бюджет'!AF26+'місц.-район.бюджет'!AF26+обласной!AF26+'госпрозрахунк.'!AF26</f>
        <v>28.4</v>
      </c>
      <c r="AG26" s="100">
        <f>AF26/AE26*100</f>
        <v>6.395111470866104E+18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39.3</v>
      </c>
      <c r="AJ26" s="137">
        <f>населення!AJ27+льготи!AJ26+субсидии!AJ26+'держ.бюджет'!AJ26+'місц.-район.бюджет'!AJ26+обласной!AJ26+'госпрозрахунк.'!AJ26</f>
        <v>4.440892098500626E-16</v>
      </c>
      <c r="AK26" s="137">
        <f>населення!AK27+льготи!AK26+субсидии!AK26+'держ.бюджет'!AK26+'місц.-район.бюджет'!AK26+обласной!AK26+'госпрозрахунк.'!AK26</f>
        <v>121.19999999999999</v>
      </c>
      <c r="AL26" s="100">
        <f t="shared" si="7"/>
        <v>2.72918137418652E+19</v>
      </c>
      <c r="AM26" s="137">
        <f>населення!AM27+льготи!AM26+субсидии!AM26+'держ.бюджет'!AM26+'місц.-район.бюджет'!AM26+обласной!AM26+'госпрозрахунк.'!AM26</f>
        <v>2.2</v>
      </c>
      <c r="AN26" s="137">
        <f>населення!AN27+льготи!AN26+субсидии!AN26+'держ.бюджет'!AN26+'місц.-район.бюджет'!AN26+обласной!AN26+'госпрозрахунк.'!AN26</f>
        <v>232.2</v>
      </c>
      <c r="AO26" s="137">
        <f>населення!AO27+льготи!AO26+субсидии!AO26+'держ.бюджет'!AO26+'місц.-район.бюджет'!AO26+обласной!AO26+'госпрозрахунк.'!AO26</f>
        <v>0</v>
      </c>
      <c r="AP26" s="137">
        <f>населення!AP27+льготи!AP26+субсидии!AP26+'держ.бюджет'!AP26+'місц.-район.бюджет'!AP26+обласной!AP26+'госпрозрахунк.'!AP26</f>
        <v>0</v>
      </c>
      <c r="AQ26" s="137">
        <f>населення!AR27+льготи!AQ26+субсидии!AQ26+'держ.бюджет'!AQ26+'місц.-район.бюджет'!AQ26+обласной!AQ26+'госпрозрахунк.'!AQ26</f>
        <v>0</v>
      </c>
      <c r="AR26" s="137">
        <f>населення!AS27+льготи!AR26+субсидии!AR26+'держ.бюджет'!AR26+'місц.-район.бюджет'!AR26+обласной!AR26+'госпрозрахунк.'!AR26</f>
        <v>0</v>
      </c>
      <c r="AS26" s="137">
        <f>населення!AT27+льготи!AS26+субсидии!AS26+'держ.бюджет'!AS26+'місц.-район.бюджет'!AS26+обласной!AS26+'госпрозрахунк.'!AS26</f>
        <v>6717.799999999999</v>
      </c>
      <c r="AT26" s="137">
        <f>населення!AU27+льготи!AT26+субсидии!AT26+'держ.бюджет'!AT26+'місц.-район.бюджет'!AT26+обласной!AT26+'госпрозрахунк.'!AT26</f>
        <v>6626.6</v>
      </c>
      <c r="AU26" s="137">
        <f t="shared" si="8"/>
        <v>98.64241269463218</v>
      </c>
      <c r="AV26" s="137">
        <f>населення!AW27+льготи!AV26+субсидии!AV26+'держ.бюджет'!AV26+'місц.-район.бюджет'!AV26+обласной!AV26+'госпрозрахунк.'!AV26</f>
        <v>91.1999999999993</v>
      </c>
      <c r="AW26" s="137">
        <f>населення!AX27+льготи!AW26+субсидии!AW26+'держ.бюджет'!AW26+'місц.-район.бюджет'!AW26+обласной!AW26+'госпрозрахунк.'!AW26</f>
        <v>1375.499999999999</v>
      </c>
      <c r="AX26" s="137">
        <f t="shared" si="9"/>
        <v>6717.799999999998</v>
      </c>
      <c r="AY26" s="137">
        <f t="shared" si="10"/>
        <v>6626.5999999999985</v>
      </c>
      <c r="AZ26" s="20">
        <f t="shared" si="11"/>
        <v>91.19999999999982</v>
      </c>
      <c r="BA26" s="20">
        <f t="shared" si="12"/>
        <v>1375.5</v>
      </c>
    </row>
    <row r="27" spans="1:53" ht="34.5" customHeight="1">
      <c r="A27" s="19">
        <v>20</v>
      </c>
      <c r="B27" s="15" t="s">
        <v>47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492.69999999999993</v>
      </c>
      <c r="AD27" s="137">
        <f t="shared" si="6"/>
        <v>-14930.303030303028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336.4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3.2</v>
      </c>
      <c r="AI27" s="137">
        <f>населення!AI28+льготи!AI27+субсидии!AI27+'держ.бюджет'!AI27+'місц.-район.бюджет'!AI27+обласной!AI27+'госпрозрахунк.'!AI27</f>
        <v>276.1</v>
      </c>
      <c r="AJ27" s="137">
        <f>населення!AJ28+льготи!AJ27+субсидии!AJ27+'держ.бюджет'!AJ27+'місц.-район.бюджет'!AJ27+обласной!AJ27+'госпрозрахунк.'!AJ27</f>
        <v>-0.09999999999999964</v>
      </c>
      <c r="AK27" s="137">
        <f>населення!AK28+льготи!AK27+субсидии!AK27+'держ.бюджет'!AK27+'місц.-район.бюджет'!AK27+обласной!AK27+'госпрозрахунк.'!AK27</f>
        <v>1105.2</v>
      </c>
      <c r="AL27" s="100">
        <f t="shared" si="7"/>
        <v>-1105200.000000004</v>
      </c>
      <c r="AM27" s="137">
        <f>населення!AM28+льготи!AM27+субсидии!AM27+'держ.бюджет'!AM27+'місц.-район.бюджет'!AM27+обласной!AM27+'госпрозрахунк.'!AM27</f>
        <v>112.10000000000001</v>
      </c>
      <c r="AN27" s="137">
        <f>населення!AN28+льготи!AN27+субсидии!AN27+'держ.бюджет'!AN27+'місц.-район.бюджет'!AN27+обласной!AN27+'госпрозрахунк.'!AN27</f>
        <v>373.6</v>
      </c>
      <c r="AO27" s="137">
        <f>населення!AO28+льготи!AO27+субсидии!AO27+'держ.бюджет'!AO27+'місц.-район.бюджет'!AO27+обласной!AO27+'госпрозрахунк.'!AO27</f>
        <v>0</v>
      </c>
      <c r="AP27" s="137">
        <f>населення!AP28+льготи!AP27+субсидии!AP27+'держ.бюджет'!AP27+'місц.-район.бюджет'!AP27+обласной!AP27+'госпрозрахунк.'!AP27</f>
        <v>0</v>
      </c>
      <c r="AQ27" s="137">
        <f>населення!AR28+льготи!AQ27+субсидии!AQ27+'держ.бюджет'!AQ27+'місц.-район.бюджет'!AQ27+обласной!AQ27+'госпрозрахунк.'!AQ27</f>
        <v>0</v>
      </c>
      <c r="AR27" s="137">
        <f>населення!AS28+льготи!AR27+субсидии!AR27+'держ.бюджет'!AR27+'місц.-район.бюджет'!AR27+обласной!AR27+'госпрозрахунк.'!AR27</f>
        <v>0</v>
      </c>
      <c r="AS27" s="137">
        <f>населення!AT28+льготи!AS27+субсидии!AS27+'держ.бюджет'!AS27+'місц.-район.бюджет'!AS27+обласной!AS27+'госпрозрахунк.'!AS27</f>
        <v>14073.7</v>
      </c>
      <c r="AT27" s="137">
        <f>населення!AU28+льготи!AT27+субсидии!AT27+'держ.бюджет'!AT27+'місц.-район.бюджет'!AT27+обласной!AT27+'госпрозрахунк.'!AT27</f>
        <v>17740.6</v>
      </c>
      <c r="AU27" s="137">
        <f t="shared" si="8"/>
        <v>126.05498198767913</v>
      </c>
      <c r="AV27" s="137">
        <f>населення!AW28+льготи!AV27+субсидии!AV27+'держ.бюджет'!AV27+'місц.-район.бюджет'!AV27+обласной!AV27+'госпрозрахунк.'!AV27</f>
        <v>-3666.8999999999983</v>
      </c>
      <c r="AW27" s="137">
        <f>населення!AX28+льготи!AW27+субсидии!AW27+'держ.бюджет'!AW27+'місц.-район.бюджет'!AW27+обласной!AW27+'госпрозрахунк.'!AW27</f>
        <v>6614.700000000001</v>
      </c>
      <c r="AX27" s="137">
        <f t="shared" si="9"/>
        <v>14073.7</v>
      </c>
      <c r="AY27" s="137">
        <f t="shared" si="10"/>
        <v>17740.6</v>
      </c>
      <c r="AZ27" s="20">
        <f t="shared" si="11"/>
        <v>-3666.899999999998</v>
      </c>
      <c r="BA27" s="20">
        <f t="shared" si="12"/>
        <v>6614.700000000004</v>
      </c>
    </row>
    <row r="28" spans="1:53" s="117" customFormat="1" ht="34.5" customHeight="1">
      <c r="A28" s="261">
        <v>21</v>
      </c>
      <c r="B28" s="102" t="s">
        <v>48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61.900000000000006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61.900000000000006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59.300000000000004</v>
      </c>
      <c r="AN28" s="103">
        <f>населення!AN29+льготи!AN28+субсидии!AN28+'держ.бюджет'!AN28+'місц.-район.бюджет'!AN28+обласной!AN28+'госпрозрахунк.'!AN28</f>
        <v>11.1</v>
      </c>
      <c r="AO28" s="103">
        <f>населення!AO29+льготи!AO28+субсидии!AO28+'держ.бюджет'!AO28+'місц.-район.бюджет'!AO28+обласной!AO28+'госпрозрахунк.'!AO28</f>
        <v>0</v>
      </c>
      <c r="AP28" s="103">
        <f>населення!AP29+льготи!AP28+субсидии!AP28+'держ.бюджет'!AP28+'місц.-район.бюджет'!AP28+обласной!AP28+'госпрозрахунк.'!AP28</f>
        <v>0</v>
      </c>
      <c r="AQ28" s="103">
        <f>населення!AR29+льготи!AQ28+субсидии!AQ28+'держ.бюджет'!AQ28+'місц.-район.бюджет'!AQ28+обласной!AQ28+'госпрозрахунк.'!AQ28</f>
        <v>0</v>
      </c>
      <c r="AR28" s="103">
        <f>населення!AS29+льготи!AR28+субсидии!AR28+'держ.бюджет'!AR28+'місц.-район.бюджет'!AR28+обласной!AR28+'госпрозрахунк.'!AR28</f>
        <v>0</v>
      </c>
      <c r="AS28" s="137">
        <f>населення!AT29+льготи!AS28+субсидии!AS28+'держ.бюджет'!AS28+'місц.-район.бюджет'!AS28+обласной!AS28+'госпрозрахунк.'!AS28</f>
        <v>13059.8</v>
      </c>
      <c r="AT28" s="137">
        <f>населення!AU29+льготи!AT28+субсидии!AT28+'держ.бюджет'!AT28+'місц.-район.бюджет'!AT28+обласной!AT28+'госпрозрахунк.'!AT28</f>
        <v>13937.999999999998</v>
      </c>
      <c r="AU28" s="103">
        <f t="shared" si="8"/>
        <v>106.72445213556104</v>
      </c>
      <c r="AV28" s="103">
        <f>населення!AW29+льготи!AV28+субсидии!AV28+'держ.бюджет'!AV28+'місц.-район.бюджет'!AV28+обласной!AV28+'госпрозрахунк.'!AV28</f>
        <v>-878.1999999999986</v>
      </c>
      <c r="AW28" s="103">
        <f>населення!AX29+льготи!AW28+субсидии!AW28+'держ.бюджет'!AW28+'місц.-район.бюджет'!AW28+обласной!AW28+'госпрозрахунк.'!AW28</f>
        <v>193.50000000000102</v>
      </c>
      <c r="AX28" s="137">
        <f t="shared" si="9"/>
        <v>13059.8</v>
      </c>
      <c r="AY28" s="137">
        <f t="shared" si="10"/>
        <v>13937.999999999998</v>
      </c>
      <c r="AZ28" s="20">
        <f t="shared" si="11"/>
        <v>-878.1999999999989</v>
      </c>
      <c r="BA28" s="20">
        <f t="shared" si="12"/>
        <v>193.50000000000182</v>
      </c>
    </row>
    <row r="29" spans="1:53" ht="34.5" customHeight="1">
      <c r="A29" s="19">
        <v>22</v>
      </c>
      <c r="B29" s="1" t="s">
        <v>49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50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51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52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59.7</v>
      </c>
      <c r="AF32" s="137">
        <f t="shared" si="13"/>
        <v>588.8000000000001</v>
      </c>
      <c r="AG32" s="137">
        <f t="shared" si="13"/>
        <v>217.94219849139756</v>
      </c>
      <c r="AH32" s="137">
        <f t="shared" si="13"/>
        <v>76.30000000000001</v>
      </c>
      <c r="AI32" s="137">
        <f t="shared" si="13"/>
        <v>2163.6</v>
      </c>
      <c r="AJ32" s="137">
        <f t="shared" si="13"/>
        <v>223.4</v>
      </c>
      <c r="AK32" s="137">
        <f t="shared" si="13"/>
        <v>9100.7</v>
      </c>
      <c r="AL32" s="137" t="e">
        <f t="shared" si="13"/>
        <v>#DIV/0!</v>
      </c>
      <c r="AM32" s="137">
        <f t="shared" si="13"/>
        <v>2186.8</v>
      </c>
      <c r="AN32" s="137">
        <f t="shared" si="13"/>
        <v>1129.9</v>
      </c>
      <c r="AO32" s="137">
        <f t="shared" si="13"/>
        <v>0</v>
      </c>
      <c r="AP32" s="137">
        <f t="shared" si="13"/>
        <v>0</v>
      </c>
      <c r="AQ32" s="137">
        <f t="shared" si="13"/>
        <v>0</v>
      </c>
      <c r="AR32" s="137">
        <f t="shared" si="13"/>
        <v>0</v>
      </c>
      <c r="AS32" s="137">
        <f>населення!AT33+льготи!AS32+субсидии!AS32+'держ.бюджет'!AS32+'місц.-район.бюджет'!AS32+обласной!AS32+'госпрозрахунк.'!AS32</f>
        <v>62878.52</v>
      </c>
      <c r="AT32" s="137">
        <f>населення!AU33+льготи!AT32+субсидии!AT32+'держ.бюджет'!AT32+'місц.-район.бюджет'!AT32+обласной!AT32+'госпрозрахунк.'!AT32</f>
        <v>71751.98999999999</v>
      </c>
      <c r="AU32" s="137">
        <f t="shared" si="8"/>
        <v>114.11208469919455</v>
      </c>
      <c r="AV32" s="137">
        <f>AV33+AV34+AV35+AV36</f>
        <v>-8873.469999999992</v>
      </c>
      <c r="AW32" s="137">
        <f>AW33+AW34+AW35+AW36</f>
        <v>-744.7699999999957</v>
      </c>
      <c r="AX32" s="137">
        <f t="shared" si="9"/>
        <v>62878.52000000001</v>
      </c>
      <c r="AY32" s="137">
        <f t="shared" si="10"/>
        <v>71751.98999999999</v>
      </c>
      <c r="AZ32" s="20">
        <f t="shared" si="11"/>
        <v>-8873.46999999998</v>
      </c>
      <c r="BA32" s="20">
        <f t="shared" si="12"/>
        <v>-744.769999999975</v>
      </c>
      <c r="BB32" s="136"/>
    </row>
    <row r="33" spans="1:53" ht="34.5" customHeight="1">
      <c r="A33" s="6"/>
      <c r="B33" s="15" t="s">
        <v>77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62.1</v>
      </c>
      <c r="AF33" s="137">
        <f>населення!AF34+льготи!AF33+субсидии!AF33+'держ.бюджет'!AF33+'місц.-район.бюджет'!AF33+обласной!AF33+'госпрозрахунк.'!AF33</f>
        <v>50</v>
      </c>
      <c r="AG33" s="100">
        <f aca="true" t="shared" si="16" ref="AG33:AG48">AF33/AE33*100</f>
        <v>80.51529790660226</v>
      </c>
      <c r="AH33" s="137">
        <f>населення!AH34+льготи!AH33+субсидии!AH33+'держ.бюджет'!AH33+'місц.-район.бюджет'!AH33+обласной!AH33+'госпрозрахунк.'!AH33</f>
        <v>82.7</v>
      </c>
      <c r="AI33" s="137">
        <f>населення!AI34+льготи!AI33+субсидии!AI33+'держ.бюджет'!AI33+'місц.-район.бюджет'!AI33+обласной!AI33+'госпрозрахунк.'!AI33</f>
        <v>70</v>
      </c>
      <c r="AJ33" s="137">
        <f>населення!AJ34+льготи!AK33+субсидии!AJ33+'держ.бюджет'!AJ33+'місц.-район.бюджет'!AJ33+обласной!AJ33+'госпрозрахунк.'!AJ33</f>
        <v>211</v>
      </c>
      <c r="AK33" s="137">
        <f>населення!AK34+льготи!AK33+субсидии!AK33+'держ.бюджет'!AK33+'місц.-район.бюджет'!AK33+обласной!AK33+'госпрозрахунк.'!AK33</f>
        <v>5829.3</v>
      </c>
      <c r="AL33" s="100">
        <f t="shared" si="7"/>
        <v>2762.7014218009476</v>
      </c>
      <c r="AM33" s="137">
        <f>населення!AM34+льготи!AM33+субсидии!AM33+'держ.бюджет'!AM33+'місц.-район.бюджет'!AM33+обласной!AM33+'госпрозрахунк.'!AM33</f>
        <v>1805.9</v>
      </c>
      <c r="AN33" s="137">
        <f>населення!AN34+льготи!AN33+субсидии!AN33+'держ.бюджет'!AN33+'місц.-район.бюджет'!AN33+обласной!AN33+'госпрозрахунк.'!AN33</f>
        <v>677.2</v>
      </c>
      <c r="AO33" s="137">
        <f>населення!AO34+льготи!AO33+субсидии!AO33+'держ.бюджет'!AO33+'місц.-район.бюджет'!AO33+обласной!AO33+'госпрозрахунк.'!AO33</f>
        <v>0</v>
      </c>
      <c r="AP33" s="137">
        <f>населення!AP34+льготи!AP33+субсидии!AP33+'держ.бюджет'!AP33+'місц.-район.бюджет'!AP33+обласной!AP33+'госпрозрахунк.'!AP33</f>
        <v>0</v>
      </c>
      <c r="AQ33" s="137">
        <f>населення!AR34+льготи!AQ33+субсидии!AQ33+'держ.бюджет'!AQ33+'місц.-район.бюджет'!AQ33+обласной!AQ33+'госпрозрахунк.'!AQ33</f>
        <v>0</v>
      </c>
      <c r="AR33" s="137">
        <f>населення!AS34+льготи!AR33+субсидии!AR33+'держ.бюджет'!AR33+'місц.-район.бюджет'!AR33+обласной!AR33+'госпрозрахунк.'!AR33</f>
        <v>0</v>
      </c>
      <c r="AS33" s="137">
        <f>населення!AT34+льготи!AS33+субсидии!AS33+'держ.бюджет'!AS33+'місц.-район.бюджет'!AS33+обласной!AS33+'госпрозрахунк.'!AS33</f>
        <v>34700.3</v>
      </c>
      <c r="AT33" s="137">
        <f>населення!AU34+льготи!AT33+субсидии!AT33+'держ.бюджет'!AT33+'місц.-район.бюджет'!AT33+обласной!AT33+'госпрозрахунк.'!AT33</f>
        <v>39341.799999999996</v>
      </c>
      <c r="AU33" s="137">
        <f t="shared" si="8"/>
        <v>113.3759650492935</v>
      </c>
      <c r="AV33" s="137">
        <f>населення!AW34+льготи!AV33+субсидии!AV33+'держ.бюджет'!AV33+'місц.-район.бюджет'!AV33+обласной!AV33+'госпрозрахунк.'!AV33</f>
        <v>-4641.499999999993</v>
      </c>
      <c r="AW33" s="137">
        <f>населення!AX34+льготи!AW33+субсидии!AW33+'держ.бюджет'!AW33+'місц.-район.бюджет'!AW33+обласной!AW33+'госпрозрахунк.'!AW33</f>
        <v>-5016.9999999999945</v>
      </c>
      <c r="AX33" s="137">
        <f t="shared" si="9"/>
        <v>34700.30000000001</v>
      </c>
      <c r="AY33" s="137">
        <f t="shared" si="10"/>
        <v>39341.799999999996</v>
      </c>
      <c r="AZ33" s="20">
        <f t="shared" si="11"/>
        <v>-4641.499999999985</v>
      </c>
      <c r="BA33" s="20">
        <f t="shared" si="12"/>
        <v>-5016.999999999985</v>
      </c>
    </row>
    <row r="34" spans="1:53" ht="34.5" customHeight="1">
      <c r="A34" s="6"/>
      <c r="B34" s="15" t="s">
        <v>23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-19.5</v>
      </c>
      <c r="AF34" s="137">
        <f>населення!AF35+льготи!AF34+субсидии!AF34+'держ.бюджет'!AF34+'місц.-район.бюджет'!AF34+обласной!AF34+'госпрозрахунк.'!AF34</f>
        <v>515.3000000000001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-32.8</v>
      </c>
      <c r="AI34" s="137">
        <f>населення!AI35+льготи!AI34+субсидии!AI34+'держ.бюджет'!AI34+'місц.-район.бюджет'!AI34+обласной!AI34+'госпрозрахунк.'!AI34</f>
        <v>2076.5</v>
      </c>
      <c r="AJ34" s="137">
        <f>населення!AJ35+льготи!AJ34+субсидии!AJ34+'держ.бюджет'!AJ34+'місц.-район.бюджет'!AJ34+обласной!AJ34+'госпрозрахунк.'!AJ34</f>
        <v>-54.599999999999994</v>
      </c>
      <c r="AK34" s="137">
        <f>населення!AK35+льготи!AK34+субсидии!AK34+'держ.бюджет'!AK34+'місц.-район.бюджет'!AK34+обласной!AK34+'госпрозрахунк.'!AK34</f>
        <v>3208.7999999999997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-19.8</v>
      </c>
      <c r="AN34" s="137">
        <f>населення!AN35+льготи!AN34+субсидии!AN34+'держ.бюджет'!AN34+'місц.-район.бюджет'!AN34+обласной!AN34+'госпрозрахунк.'!AN34</f>
        <v>426.3</v>
      </c>
      <c r="AO34" s="137">
        <f>населення!AO35+льготи!AO34+субсидии!AO34+'держ.бюджет'!AO34+'місц.-район.бюджет'!AO34+обласной!AO34+'госпрозрахунк.'!AO34</f>
        <v>0</v>
      </c>
      <c r="AP34" s="137">
        <f>населення!AP35+льготи!AP34+субсидии!AP34+'держ.бюджет'!AP34+'місц.-район.бюджет'!AP34+обласной!AP34+'госпрозрахунк.'!AP34</f>
        <v>0</v>
      </c>
      <c r="AQ34" s="137">
        <f>населення!AR35+льготи!AQ34+субсидии!AQ34+'держ.бюджет'!AQ34+'місц.-район.бюджет'!AQ34+обласной!AQ34+'госпрозрахунк.'!AQ34</f>
        <v>0</v>
      </c>
      <c r="AR34" s="137">
        <f>населення!AS35+льготи!AR34+субсидии!AR34+'держ.бюджет'!AR34+'місц.-район.бюджет'!AR34+обласной!AR34+'госпрозрахунк.'!AR34</f>
        <v>0</v>
      </c>
      <c r="AS34" s="137">
        <f>населення!AT35+льготи!AS34+субсидии!AS34+'держ.бюджет'!AS34+'місц.-район.бюджет'!AS34+обласной!AS34+'госпрозрахунк.'!AS34</f>
        <v>22757.300000000003</v>
      </c>
      <c r="AT34" s="137">
        <f>населення!AU35+льготи!AT34+субсидии!AT34+'держ.бюджет'!AT34+'місц.-район.бюджет'!AT34+обласной!AT34+'госпрозрахунк.'!AT34</f>
        <v>27381.9</v>
      </c>
      <c r="AU34" s="137">
        <f t="shared" si="8"/>
        <v>120.32139137771176</v>
      </c>
      <c r="AV34" s="137">
        <f>населення!AW35+льготи!AV34+субсидии!AV34+'держ.бюджет'!AV34+'місц.-район.бюджет'!AV34+обласной!AV34+'госпрозрахунк.'!AV34</f>
        <v>-4624.599999999999</v>
      </c>
      <c r="AW34" s="137">
        <f>населення!AX35+льготи!AW34+субсидии!AW34+'держ.бюджет'!AW34+'місц.-район.бюджет'!AW34+обласной!AW34+'госпрозрахунк.'!AW34</f>
        <v>3879.5999999999995</v>
      </c>
      <c r="AX34" s="137">
        <f t="shared" si="9"/>
        <v>22757.300000000003</v>
      </c>
      <c r="AY34" s="137">
        <f t="shared" si="10"/>
        <v>27381.9</v>
      </c>
      <c r="AZ34" s="20">
        <f t="shared" si="11"/>
        <v>-4624.5999999999985</v>
      </c>
      <c r="BA34" s="20">
        <f t="shared" si="12"/>
        <v>3879.600000000002</v>
      </c>
    </row>
    <row r="35" spans="1:53" ht="34.5" customHeight="1" hidden="1">
      <c r="A35" s="6"/>
      <c r="B35" s="15" t="s">
        <v>25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67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17.1</v>
      </c>
      <c r="AF36" s="137">
        <f>населення!AF37+льготи!AF36+субсидии!AF36+'держ.бюджет'!AF36+'місц.-район.бюджет'!AF36+обласной!AF36+'госпрозрахунк.'!AF36</f>
        <v>23.5</v>
      </c>
      <c r="AG36" s="137">
        <f t="shared" si="16"/>
        <v>137.4269005847953</v>
      </c>
      <c r="AH36" s="137">
        <f>населення!AH37+льготи!AH36+субсидии!AH36+'держ.бюджет'!AH36+'місц.-район.бюджет'!AH36+обласной!AH36+'госпрозрахунк.'!AH36</f>
        <v>26.4</v>
      </c>
      <c r="AI36" s="137">
        <f>населення!AI37+льготи!AI36+субсидии!AI36+'держ.бюджет'!AI36+'місц.-район.бюджет'!AI36+обласной!AI36+'госпрозрахунк.'!AI36</f>
        <v>17.1</v>
      </c>
      <c r="AJ36" s="137">
        <f>населення!AJ37+льготи!AJ36+субсидии!AJ36+'держ.бюджет'!AJ36+'місц.-район.бюджет'!AJ36+обласной!AJ36+'госпрозрахунк.'!AJ36</f>
        <v>67</v>
      </c>
      <c r="AK36" s="137">
        <f>населення!AK37+льготи!AK36+субсидии!AK36+'держ.бюджет'!AK36+'місц.-район.бюджет'!AK36+обласной!AK36+'госпрозрахунк.'!AK36</f>
        <v>62.6</v>
      </c>
      <c r="AL36" s="137">
        <f t="shared" si="7"/>
        <v>93.43283582089552</v>
      </c>
      <c r="AM36" s="137">
        <f>населення!AM37+льготи!AM36+субсидии!AM36+'держ.бюджет'!AM36+'місц.-район.бюджет'!AM36+обласной!AM36+'госпрозрахунк.'!AM36</f>
        <v>400.7</v>
      </c>
      <c r="AN36" s="137">
        <f>населення!AN37+льготи!AN36+субсидии!AN36+'держ.бюджет'!AN36+'місц.-район.бюджет'!AN36+обласной!AN36+'госпрозрахунк.'!AN36</f>
        <v>26.4</v>
      </c>
      <c r="AO36" s="137">
        <f>населення!AO37+льготи!AO36+субсидии!AO36+'держ.бюджет'!AO36+'місц.-район.бюджет'!AO36+обласной!AO36+'госпрозрахунк.'!AO36</f>
        <v>0</v>
      </c>
      <c r="AP36" s="137">
        <f>населення!AP37+льготи!AP36+субсидии!AP36+'держ.бюджет'!AP36+'місц.-район.бюджет'!AP36+обласной!AP36+'госпрозрахунк.'!AP36</f>
        <v>0</v>
      </c>
      <c r="AQ36" s="137">
        <f>населення!AR37+льготи!AQ36+субсидии!AQ36+'держ.бюджет'!AQ36+'місц.-район.бюджет'!AQ36+обласной!AQ36+'госпрозрахунк.'!AQ36</f>
        <v>0</v>
      </c>
      <c r="AR36" s="137">
        <f>населення!AS37+льготи!AR36+субсидии!AR36+'держ.бюджет'!AR36+'місц.-район.бюджет'!AR36+обласной!AR36+'госпрозрахунк.'!AR36</f>
        <v>0</v>
      </c>
      <c r="AS36" s="137">
        <f>населення!AT37+льготи!AS36+субсидии!AS36+'держ.бюджет'!AS36+'місц.-район.бюджет'!AS36+обласной!AS36+'госпрозрахунк.'!AS36</f>
        <v>5420.92</v>
      </c>
      <c r="AT36" s="137">
        <f>населення!AU37+льготи!AT36+субсидии!AT36+'держ.бюджет'!AT36+'місц.-район.бюджет'!AT36+обласной!AT36+'госпрозрахунк.'!AT36</f>
        <v>5028.29</v>
      </c>
      <c r="AU36" s="137">
        <f t="shared" si="8"/>
        <v>92.75713347549862</v>
      </c>
      <c r="AV36" s="137">
        <f>населення!AW37+льготи!AV36+субсидии!AV36+'держ.бюджет'!AV36+'місц.-район.бюджет'!AV36+обласной!AV36+'госпрозрахунк.'!AV36</f>
        <v>392.6299999999994</v>
      </c>
      <c r="AW36" s="137">
        <f>населення!AX37+льготи!AW36+субсидии!AW36+'держ.бюджет'!AW36+'місц.-район.бюджет'!AW36+обласной!AW36+'госпрозрахунк.'!AW36</f>
        <v>392.6299999999994</v>
      </c>
      <c r="AX36" s="137">
        <f t="shared" si="9"/>
        <v>5420.92</v>
      </c>
      <c r="AY36" s="137">
        <f t="shared" si="10"/>
        <v>5028.29</v>
      </c>
      <c r="AZ36" s="20">
        <f t="shared" si="11"/>
        <v>392.6300000000001</v>
      </c>
      <c r="BA36" s="20">
        <f t="shared" si="12"/>
        <v>392.6300000000001</v>
      </c>
    </row>
    <row r="37" spans="1:53" ht="34.5" customHeight="1">
      <c r="A37" s="19">
        <v>26</v>
      </c>
      <c r="B37" s="15" t="s">
        <v>53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0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908.1999999999999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710.1189165382074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383.3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-5.499999999999995</v>
      </c>
      <c r="AI37" s="137">
        <f>населення!AI38+льготи!AI37+субсидии!AI37+'держ.бюджет'!AI37+'місц.-район.бюджет'!AI37+обласной!AI37+'госпрозрахунк.'!AI37</f>
        <v>1365.1999999999998</v>
      </c>
      <c r="AJ37" s="137">
        <f>населення!AJ38+льготи!AJ37+субсидии!AJ37+'держ.бюджет'!AJ37+'місц.-район.бюджет'!AJ37+обласной!AJ37+'госпрозрахунк.'!AJ37</f>
        <v>-5.499999999999995</v>
      </c>
      <c r="AK37" s="137">
        <f>населення!AK38+льготи!AK37+субсидии!AK37+'держ.бюджет'!AK37+'місц.-район.бюджет'!AK37+обласной!AK37+'госпрозрахунк.'!AK37</f>
        <v>2245</v>
      </c>
      <c r="AL37" s="137">
        <f t="shared" si="7"/>
        <v>-40818.18181818186</v>
      </c>
      <c r="AM37" s="137">
        <f>населення!AM38+льготи!AM37+субсидии!AM37+'держ.бюджет'!AM37+'місц.-район.бюджет'!AM37+обласной!AM37+'госпрозрахунк.'!AM37</f>
        <v>19.7</v>
      </c>
      <c r="AN37" s="137">
        <f>населення!AN38+льготи!AN37+субсидии!AN37+'держ.бюджет'!AN37+'місц.-район.бюджет'!AN37+обласной!AN37+'госпрозрахунк.'!AN37</f>
        <v>610.8</v>
      </c>
      <c r="AO37" s="137">
        <f>населення!AO38+льготи!AO37+субсидии!AO37+'держ.бюджет'!AO37+'місц.-район.бюджет'!AO37+обласной!AO37+'госпрозрахунк.'!AO37</f>
        <v>0</v>
      </c>
      <c r="AP37" s="137">
        <f>населення!AP38+льготи!AP37+субсидии!AP37+'держ.бюджет'!AP37+'місц.-район.бюджет'!AP37+обласной!AP37+'госпрозрахунк.'!AP37</f>
        <v>0</v>
      </c>
      <c r="AQ37" s="137">
        <f>населення!AR38+льготи!AQ37+субсидии!AQ37+'держ.бюджет'!AQ37+'місц.-район.бюджет'!AQ37+обласной!AQ37+'госпрозрахунк.'!AQ37</f>
        <v>0</v>
      </c>
      <c r="AR37" s="137">
        <f>населення!AS38+льготи!AR37+субсидии!AR37+'держ.бюджет'!AR37+'місц.-район.бюджет'!AR37+обласной!AR37+'госпрозрахунк.'!AR37</f>
        <v>0</v>
      </c>
      <c r="AS37" s="137">
        <f>населення!AT38+льготи!AS37+субсидии!AS37+'держ.бюджет'!AS37+'місц.-район.бюджет'!AS37+обласной!AS37+'госпрозрахунк.'!AS37</f>
        <v>18793.100000000002</v>
      </c>
      <c r="AT37" s="137">
        <f>населення!AU38+льготи!AT37+субсидии!AT37+'держ.бюджет'!AT37+'місц.-район.бюджет'!AT37+обласной!AT37+'госпрозрахунк.'!AT37</f>
        <v>22864.199999999997</v>
      </c>
      <c r="AU37" s="137">
        <f t="shared" si="8"/>
        <v>121.6627379197684</v>
      </c>
      <c r="AV37" s="137">
        <f>населення!AW38+льготи!AV37+субсидии!AV37+'держ.бюджет'!AV37+'місц.-район.бюджет'!AV37+обласной!AV37+'госпрозрахунк.'!AV37</f>
        <v>-4071.0999999999985</v>
      </c>
      <c r="AW37" s="137">
        <f>населення!AX38+льготи!AW37+субсидии!AW37+'держ.бюджет'!AW37+'місц.-район.бюджет'!AW37+обласной!AW37+'госпрозрахунк.'!AW37</f>
        <v>8245.600000000002</v>
      </c>
      <c r="AX37" s="137">
        <f t="shared" si="9"/>
        <v>18793.100000000002</v>
      </c>
      <c r="AY37" s="137">
        <f t="shared" si="10"/>
        <v>22864.2</v>
      </c>
      <c r="AZ37" s="20">
        <f t="shared" si="11"/>
        <v>-4071.0999999999985</v>
      </c>
      <c r="BA37" s="20">
        <f t="shared" si="12"/>
        <v>8245.600000000002</v>
      </c>
    </row>
    <row r="38" spans="1:53" ht="34.5" customHeight="1">
      <c r="A38" s="19">
        <v>27</v>
      </c>
      <c r="B38" s="105" t="s">
        <v>54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1.7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1.7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458.5</v>
      </c>
      <c r="AN38" s="137">
        <f>населення!AN39+льготи!AN38+субсидии!AN38+'держ.бюджет'!AN38+'місц.-район.бюджет'!AN38+обласной!AN38+'госпрозрахунк.'!AN38</f>
        <v>303.9</v>
      </c>
      <c r="AO38" s="137">
        <f>населення!AO39+льготи!AO38+субсидии!AO38+'держ.бюджет'!AO38+'місц.-район.бюджет'!AO38+обласной!AO38+'госпрозрахунк.'!AO38</f>
        <v>0</v>
      </c>
      <c r="AP38" s="137">
        <f>населення!AP39+льготи!AP38+субсидии!AP38+'держ.бюджет'!AP38+'місц.-район.бюджет'!AP38+обласной!AP38+'госпрозрахунк.'!AP38</f>
        <v>0</v>
      </c>
      <c r="AQ38" s="137">
        <f>населення!AR39+льготи!AQ38+субсидии!AQ38+'держ.бюджет'!AQ38+'місц.-район.бюджет'!AQ38+обласной!AQ38+'госпрозрахунк.'!AQ38</f>
        <v>0</v>
      </c>
      <c r="AR38" s="137">
        <f>населення!AS39+льготи!AR38+субсидии!AR38+'держ.бюджет'!AR38+'місц.-район.бюджет'!AR38+обласной!AR38+'госпрозрахунк.'!AR38</f>
        <v>0</v>
      </c>
      <c r="AS38" s="137">
        <f>населення!AT39+льготи!AS38+субсидии!AS38+'держ.бюджет'!AS38+'місц.-район.бюджет'!AS38+обласной!AS38+'госпрозрахунк.'!AS38</f>
        <v>12316.600000000002</v>
      </c>
      <c r="AT38" s="137">
        <f>населення!AU39+льготи!AT38+субсидии!AT38+'держ.бюджет'!AT38+'місц.-район.бюджет'!AT38+обласной!AT38+'госпрозрахунк.'!AT38</f>
        <v>12167.2</v>
      </c>
      <c r="AU38" s="137">
        <f t="shared" si="8"/>
        <v>98.78700290664631</v>
      </c>
      <c r="AV38" s="137">
        <f>населення!AW39+льготи!AV38+субсидии!AV38+'держ.бюджет'!AV38+'місц.-район.бюджет'!AV38+обласной!AV38+'госпрозрахунк.'!AV38</f>
        <v>149.39999999999986</v>
      </c>
      <c r="AW38" s="137">
        <f>населення!AX39+льготи!AW38+субсидии!AW38+'держ.бюджет'!AW38+'місц.-район.бюджет'!AW38+обласной!AW38+'госпрозрахунк.'!AW38</f>
        <v>-92.10000000000025</v>
      </c>
      <c r="AX38" s="137">
        <f t="shared" si="9"/>
        <v>12316.6</v>
      </c>
      <c r="AY38" s="137">
        <f t="shared" si="10"/>
        <v>12167.2</v>
      </c>
      <c r="AZ38" s="20">
        <f t="shared" si="11"/>
        <v>149.39999999999964</v>
      </c>
      <c r="BA38" s="20">
        <f t="shared" si="12"/>
        <v>-92.10000000000036</v>
      </c>
    </row>
    <row r="39" spans="1:53" ht="34.5" customHeight="1">
      <c r="A39" s="19">
        <v>28</v>
      </c>
      <c r="B39" s="106" t="s">
        <v>55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2739.2</v>
      </c>
      <c r="AD39" s="137">
        <f t="shared" si="6"/>
        <v>190.71224674510896</v>
      </c>
      <c r="AE39" s="137">
        <f>населення!AE40+льготи!AE39+субсидии!AE39+'держ.бюджет'!AE39+'місц.-район.бюджет'!AE39+обласной!AE39+'госпрозрахунк.'!AE39</f>
        <v>1437.9</v>
      </c>
      <c r="AF39" s="137">
        <f>населення!AF40+льготи!AF39+субсидии!AF39+'держ.бюджет'!AF39+'місц.-район.бюджет'!AF39+обласной!AF39+'госпрозрахунк.'!AF39</f>
        <v>2120.7</v>
      </c>
      <c r="AG39" s="137">
        <f t="shared" si="16"/>
        <v>147.48591696223656</v>
      </c>
      <c r="AH39" s="137">
        <f>населення!AH40+льготи!AH39+субсидии!AH39+'держ.бюджет'!AH39+'місц.-район.бюджет'!AH39+обласной!AH39+'госпрозрахунк.'!AH39</f>
        <v>1435.3</v>
      </c>
      <c r="AI39" s="137">
        <f>населення!AI40+льготи!AI39+субсидии!AI39+'держ.бюджет'!AI39+'місц.-район.бюджет'!AI39+обласной!AI39+'госпрозрахунк.'!AI39</f>
        <v>2148.4</v>
      </c>
      <c r="AJ39" s="137">
        <f>населення!AJ40+льготи!AJ39+субсидии!AJ39+'держ.бюджет'!AJ39+'місц.-район.бюджет'!AJ39+обласной!AJ39+'госпрозрахунк.'!AJ39</f>
        <v>4309.5</v>
      </c>
      <c r="AK39" s="137">
        <f>населення!AK40+льготи!AK39+субсидии!AK39+'держ.бюджет'!AK39+'місц.-район.бюджет'!AK39+обласной!AK39+'госпрозрахунк.'!AK39</f>
        <v>7008.299999999999</v>
      </c>
      <c r="AL39" s="100">
        <f t="shared" si="7"/>
        <v>162.62443438914025</v>
      </c>
      <c r="AM39" s="137">
        <f>населення!AM40+льготи!AM39+субсидии!AM39+'держ.бюджет'!AM39+'місц.-район.бюджет'!AM39+обласной!AM39+'госпрозрахунк.'!AM39</f>
        <v>3999.8</v>
      </c>
      <c r="AN39" s="137">
        <f>населення!AN40+льготи!AN39+субсидии!AN39+'держ.бюджет'!AN39+'місц.-район.бюджет'!AN39+обласной!AN39+'госпрозрахунк.'!AN39</f>
        <v>13994.199999999999</v>
      </c>
      <c r="AO39" s="137">
        <f>населення!AO40+льготи!AO39+субсидии!AO39+'держ.бюджет'!AO39+'місц.-район.бюджет'!AO39+обласной!AO39+'госпрозрахунк.'!AO39</f>
        <v>0</v>
      </c>
      <c r="AP39" s="137">
        <f>населення!AP40+льготи!AP39+субсидии!AP39+'держ.бюджет'!AP39+'місц.-район.бюджет'!AP39+обласной!AP39+'госпрозрахунк.'!AP39</f>
        <v>0</v>
      </c>
      <c r="AQ39" s="137">
        <f>населення!AR40+льготи!AQ39+субсидии!AQ39+'держ.бюджет'!AQ39+'місц.-район.бюджет'!AQ39+обласной!AQ39+'госпрозрахунк.'!AQ39</f>
        <v>0</v>
      </c>
      <c r="AR39" s="137">
        <f>населення!AS40+льготи!AR39+субсидии!AR39+'держ.бюджет'!AR39+'місц.-район.бюджет'!AR39+обласной!AR39+'госпрозрахунк.'!AR39</f>
        <v>0</v>
      </c>
      <c r="AS39" s="137">
        <f>населення!AT40+льготи!AS39+субсидии!AS39+'держ.бюджет'!AS39+'місц.-район.бюджет'!AS39+обласной!AS39+'госпрозрахунк.'!AS39</f>
        <v>71764.4</v>
      </c>
      <c r="AT39" s="137">
        <f>населення!AU40+льготи!AT39+субсидии!AT39+'держ.бюджет'!AT39+'місц.-район.бюджет'!AT39+обласной!AT39+'госпрозрахунк.'!AT39</f>
        <v>93237.1</v>
      </c>
      <c r="AU39" s="137">
        <f t="shared" si="8"/>
        <v>129.921102942406</v>
      </c>
      <c r="AV39" s="137">
        <f>населення!AW40+льготи!AV39+субсидии!AV39+'держ.бюджет'!AV39+'місц.-район.бюджет'!AV39+обласной!AV39+'госпрозрахунк.'!AV39</f>
        <v>-21472.7</v>
      </c>
      <c r="AW39" s="137">
        <f>населення!AX40+льготи!AW39+субсидии!AW39+'держ.бюджет'!AW39+'місц.-район.бюджет'!AW39+обласной!AW39+'госпрозрахунк.'!AW39</f>
        <v>15223.800000000003</v>
      </c>
      <c r="AX39" s="137">
        <f t="shared" si="9"/>
        <v>71764.40000000001</v>
      </c>
      <c r="AY39" s="137">
        <f t="shared" si="10"/>
        <v>93237.1</v>
      </c>
      <c r="AZ39" s="20">
        <f t="shared" si="11"/>
        <v>-21472.699999999997</v>
      </c>
      <c r="BA39" s="20">
        <f t="shared" si="12"/>
        <v>15223.800000000003</v>
      </c>
    </row>
    <row r="40" spans="1:53" ht="34.5" customHeight="1">
      <c r="A40" s="19">
        <v>29</v>
      </c>
      <c r="B40" s="106" t="s">
        <v>56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-1.6999999999999886</v>
      </c>
      <c r="AF40" s="137">
        <f>населення!AF41+льготи!AF40+субсидии!AF40+'держ.бюджет'!AF40+'місц.-район.бюджет'!AF40+обласной!AF40+'госпрозрахунк.'!AF40</f>
        <v>1007.5</v>
      </c>
      <c r="AG40" s="100">
        <f t="shared" si="16"/>
        <v>-59264.70588235334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1288.9</v>
      </c>
      <c r="AJ40" s="137">
        <f>населення!AJ41+льготи!AJ40+субсидии!AJ40+'держ.бюджет'!AJ40+'місц.-район.бюджет'!AJ40+обласной!AJ40+'госпрозрахунк.'!AJ40</f>
        <v>-1.6999999999999886</v>
      </c>
      <c r="AK40" s="137">
        <f>населення!AK41+льготи!AK40+субсидии!AK40+'держ.бюджет'!AK40+'місц.-район.бюджет'!AK40+обласной!AK40+'госпрозрахунк.'!AK40</f>
        <v>3547.000000000001</v>
      </c>
      <c r="AL40" s="100">
        <f t="shared" si="7"/>
        <v>-208647.05882353088</v>
      </c>
      <c r="AM40" s="137">
        <f>населення!AM41+льготи!AM40+субсидии!AM40+'держ.бюджет'!AM40+'місц.-район.бюджет'!AM40+обласной!AM40+'госпрозрахунк.'!AM40</f>
        <v>110.4</v>
      </c>
      <c r="AN40" s="137">
        <f>населення!AN41+льготи!AN40+субсидии!AN40+'держ.бюджет'!AN40+'місц.-район.бюджет'!AN40+обласной!AN40+'госпрозрахунк.'!AN40</f>
        <v>3802.1000000000004</v>
      </c>
      <c r="AO40" s="137">
        <f>населення!AO41+льготи!AO40+субсидии!AO40+'держ.бюджет'!AO40+'місц.-район.бюджет'!AO40+обласной!AO40+'госпрозрахунк.'!AO40</f>
        <v>0</v>
      </c>
      <c r="AP40" s="137">
        <f>населення!AP41+льготи!AP40+субсидии!AP40+'держ.бюджет'!AP40+'місц.-район.бюджет'!AP40+обласной!AP40+'госпрозрахунк.'!AP40</f>
        <v>0</v>
      </c>
      <c r="AQ40" s="137">
        <f>населення!AR41+льготи!AQ40+субсидии!AQ40+'держ.бюджет'!AQ40+'місц.-район.бюджет'!AQ40+обласной!AQ40+'госпрозрахунк.'!AQ40</f>
        <v>0</v>
      </c>
      <c r="AR40" s="137">
        <f>населення!AS41+льготи!AR40+субсидии!AR40+'держ.бюджет'!AR40+'місц.-район.бюджет'!AR40+обласной!AR40+'госпрозрахунк.'!AR40</f>
        <v>0</v>
      </c>
      <c r="AS40" s="137">
        <f>населення!AT41+льготи!AS40+субсидии!AS40+'держ.бюджет'!AS40+'місц.-район.бюджет'!AS40+обласной!AS40+'госпрозрахунк.'!AS40</f>
        <v>69145.90000000001</v>
      </c>
      <c r="AT40" s="137">
        <f>населення!AU41+льготи!AT40+субсидии!AT40+'держ.бюджет'!AT40+'місц.-район.бюджет'!AT40+обласной!AT40+'госпрозрахунк.'!AT40</f>
        <v>78809.1</v>
      </c>
      <c r="AU40" s="137">
        <f t="shared" si="8"/>
        <v>113.975087459994</v>
      </c>
      <c r="AV40" s="137">
        <f>населення!AW41+льготи!AV40+субсидии!AV40+'держ.бюджет'!AV40+'місц.-район.бюджет'!AV40+обласной!AV40+'госпрозрахунк.'!AV40</f>
        <v>-9663.199999999997</v>
      </c>
      <c r="AW40" s="137">
        <f>населення!AX41+льготи!AW40+субсидии!AW40+'держ.бюджет'!AW40+'місц.-район.бюджет'!AW40+обласной!AW40+'госпрозрахунк.'!AW40</f>
        <v>23052.000000000004</v>
      </c>
      <c r="AX40" s="137">
        <f t="shared" si="9"/>
        <v>69145.9</v>
      </c>
      <c r="AY40" s="137">
        <f t="shared" si="10"/>
        <v>78809.1</v>
      </c>
      <c r="AZ40" s="20">
        <f t="shared" si="11"/>
        <v>-9663.200000000012</v>
      </c>
      <c r="BA40" s="20">
        <f t="shared" si="12"/>
        <v>23051.999999999985</v>
      </c>
    </row>
    <row r="41" spans="1:53" ht="34.5" customHeight="1">
      <c r="A41" s="19">
        <v>30</v>
      </c>
      <c r="B41" s="106" t="s">
        <v>57</v>
      </c>
      <c r="C41" s="137">
        <f>населення!C42+льготи!C41+субсидии!C41+'держ.бюджет'!C41+'місц.-район.бюджет'!C41+обласной!C41+'госпрозрахунк.'!C41</f>
        <v>97024.2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-17.9</v>
      </c>
      <c r="AF41" s="137">
        <f>населення!AF42+льготи!AF41+субсидии!AF41+'держ.бюджет'!AF41+'місц.-район.бюджет'!AF41+обласной!AF41+'госпрозрахунк.'!AF41</f>
        <v>5028.599999999999</v>
      </c>
      <c r="AG41" s="137">
        <f t="shared" si="16"/>
        <v>-28092.737430167595</v>
      </c>
      <c r="AH41" s="137">
        <f>населення!AH42+льготи!AH41+субсидии!AH41+'держ.бюджет'!AH41+'місц.-район.бюджет'!AH41+обласной!AH41+'госпрозрахунк.'!AH41</f>
        <v>-23.5</v>
      </c>
      <c r="AI41" s="137">
        <f>населення!AI42+льготи!AI41+субсидии!AI41+'держ.бюджет'!AI41+'місц.-район.бюджет'!AI41+обласной!AI41+'госпрозрахунк.'!AI41</f>
        <v>5258.8</v>
      </c>
      <c r="AJ41" s="137">
        <f>населення!AJ42+льготи!AJ41+субсидии!AJ41+'держ.бюджет'!AJ41+'місц.-район.бюджет'!AJ41+обласной!AJ41+'госпрозрахунк.'!AJ41</f>
        <v>-44.300000000000004</v>
      </c>
      <c r="AK41" s="137">
        <f>населення!AK42+льготи!AK41+субсидии!AK41+'держ.бюджет'!AK41+'місц.-район.бюджет'!AK41+обласной!AK41+'госпрозрахунк.'!AK41</f>
        <v>16802.600000000002</v>
      </c>
      <c r="AL41" s="100">
        <f t="shared" si="7"/>
        <v>-37929.11963882619</v>
      </c>
      <c r="AM41" s="137">
        <f>населення!AM42+льготи!AM41+субсидии!AM41+'держ.бюджет'!AM41+'місц.-район.бюджет'!AM41+обласной!AM41+'госпрозрахунк.'!AM41</f>
        <v>5043.599999999999</v>
      </c>
      <c r="AN41" s="137">
        <f>населення!AN42+льготи!AN41+субсидии!AN41+'держ.бюджет'!AN41+'місц.-район.бюджет'!AN41+обласной!AN41+'госпрозрахунк.'!AN41</f>
        <v>3156.6</v>
      </c>
      <c r="AO41" s="137">
        <f>населення!AO42+льготи!AO41+субсидии!AO41+'держ.бюджет'!AO41+'місц.-район.бюджет'!AO41+обласной!AO41+'госпрозрахунк.'!AO41</f>
        <v>0</v>
      </c>
      <c r="AP41" s="137">
        <f>населення!AP42+льготи!AP41+субсидии!AP41+'держ.бюджет'!AP41+'місц.-район.бюджет'!AP41+обласной!AP41+'госпрозрахунк.'!AP41</f>
        <v>0</v>
      </c>
      <c r="AQ41" s="137">
        <f>населення!AR42+льготи!AQ41+субсидии!AQ41+'держ.бюджет'!AQ41+'місц.-район.бюджет'!AQ41+обласной!AQ41+'госпрозрахунк.'!AQ41</f>
        <v>0</v>
      </c>
      <c r="AR41" s="137">
        <f>населення!AS42+льготи!AR41+субсидии!AR41+'держ.бюджет'!AR41+'місц.-район.бюджет'!AR41+обласной!AR41+'госпрозрахунк.'!AR41</f>
        <v>0</v>
      </c>
      <c r="AS41" s="137">
        <f>населення!AT42+льготи!AS41+субсидии!AS41+'держ.бюджет'!AS41+'місц.-район.бюджет'!AS41+обласной!AS41+'госпрозрахунк.'!AS41</f>
        <v>159830.8</v>
      </c>
      <c r="AT41" s="137">
        <f>населення!AU42+льготи!AT41+субсидии!AT41+'держ.бюджет'!AT41+'місц.-район.бюджет'!AT41+обласной!AT41+'госпрозрахунк.'!AT41</f>
        <v>177687.80000000002</v>
      </c>
      <c r="AU41" s="137">
        <f t="shared" si="8"/>
        <v>111.17243985514685</v>
      </c>
      <c r="AV41" s="137">
        <f>населення!AW42+льготи!AV41+субсидии!AV41+'держ.бюджет'!AV41+'місц.-район.бюджет'!AV41+обласной!AV41+'госпрозрахунк.'!AV41</f>
        <v>-17856.99999999998</v>
      </c>
      <c r="AW41" s="137">
        <f>населення!AX42+льготи!AW41+субсидии!AW41+'держ.бюджет'!AW41+'місц.-район.бюджет'!AW41+обласной!AW41+'госпрозрахунк.'!AW41</f>
        <v>79167.20000000006</v>
      </c>
      <c r="AX41" s="137">
        <f t="shared" si="9"/>
        <v>159830.80000000002</v>
      </c>
      <c r="AY41" s="137">
        <f t="shared" si="10"/>
        <v>177687.8</v>
      </c>
      <c r="AZ41" s="20">
        <f t="shared" si="11"/>
        <v>-17856.99999999997</v>
      </c>
      <c r="BA41" s="20">
        <f t="shared" si="12"/>
        <v>79167.20000000001</v>
      </c>
    </row>
    <row r="42" spans="1:53" ht="37.5" customHeight="1">
      <c r="A42" s="19">
        <v>31</v>
      </c>
      <c r="B42" s="106" t="s">
        <v>58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59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1.9</v>
      </c>
      <c r="AF43" s="137">
        <f>населення!AF44+льготи!AF43+субсидии!AF43+'держ.бюджет'!AF43+'місц.-район.бюджет'!AF43+обласной!AF43+'госпрозрахунк.'!AF43</f>
        <v>2705.2000000000003</v>
      </c>
      <c r="AG43" s="137">
        <f t="shared" si="16"/>
        <v>142378.94736842107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2129.7</v>
      </c>
      <c r="AJ43" s="137">
        <f>населення!AJ44+льготи!AJ43+субсидии!AJ43+'держ.бюджет'!AJ43+'місц.-район.бюджет'!AJ43+обласной!AJ43+'госпрозрахунк.'!AJ43</f>
        <v>1.9</v>
      </c>
      <c r="AK43" s="137">
        <f>населення!AK44+льготи!AK43+субсидии!AK43+'держ.бюджет'!AK43+'місц.-район.бюджет'!AK43+обласной!AK43+'госпрозрахунк.'!AK43</f>
        <v>6981.3</v>
      </c>
      <c r="AL43" s="100">
        <f t="shared" si="7"/>
        <v>367436.84210526315</v>
      </c>
      <c r="AM43" s="137">
        <f>населення!AM44+льготи!AM43+субсидии!AM43+'держ.бюджет'!AM43+'місц.-район.бюджет'!AM43+обласной!AM43+'госпрозрахунк.'!AM43</f>
        <v>1671.8</v>
      </c>
      <c r="AN43" s="137">
        <f>населення!AN44+льготи!AN43+субсидии!AN43+'держ.бюджет'!AN43+'місц.-район.бюджет'!AN43+обласной!AN43+'госпрозрахунк.'!AN43</f>
        <v>1896.9</v>
      </c>
      <c r="AO43" s="137">
        <f>населення!AO44+льготи!AO43+субсидии!AO43+'держ.бюджет'!AO43+'місц.-район.бюджет'!AO43+обласной!AO43+'госпрозрахунк.'!AO43</f>
        <v>0</v>
      </c>
      <c r="AP43" s="137">
        <f>населення!AP44+льготи!AP43+субсидии!AP43+'держ.бюджет'!AP43+'місц.-район.бюджет'!AP43+обласной!AP43+'госпрозрахунк.'!AP43</f>
        <v>0</v>
      </c>
      <c r="AQ43" s="137">
        <f>населення!AR44+льготи!AQ43+субсидии!AQ43+'держ.бюджет'!AQ43+'місц.-район.бюджет'!AQ43+обласной!AQ43+'госпрозрахунк.'!AQ43</f>
        <v>0</v>
      </c>
      <c r="AR43" s="137">
        <f>населення!AS44+льготи!AR43+субсидии!AR43+'держ.бюджет'!AR43+'місц.-район.бюджет'!AR43+обласной!AR43+'госпрозрахунк.'!AR43</f>
        <v>0</v>
      </c>
      <c r="AS43" s="137">
        <f>населення!AT44+льготи!AS43+субсидии!AS43+'держ.бюджет'!AS43+'місц.-район.бюджет'!AS43+обласной!AS43+'госпрозрахунк.'!AS43</f>
        <v>68132.1</v>
      </c>
      <c r="AT43" s="137">
        <f>населення!AU44+льготи!AT43+субсидии!AT43+'держ.бюджет'!AT43+'місц.-район.бюджет'!AT43+обласной!AT43+'госпрозрахунк.'!AT43</f>
        <v>76554.50000000001</v>
      </c>
      <c r="AU43" s="137">
        <f t="shared" si="8"/>
        <v>112.36186760719251</v>
      </c>
      <c r="AV43" s="137">
        <f>населення!AW44+льготи!AV43+субсидии!AV43+'держ.бюджет'!AV43+'місц.-район.бюджет'!AV43+обласной!AV43+'госпрозрахунк.'!AV43</f>
        <v>-8422.400000000003</v>
      </c>
      <c r="AW43" s="137">
        <f>населення!AX44+льготи!AW43+субсидии!AW43+'держ.бюджет'!AW43+'місц.-район.бюджет'!AW43+обласной!AW43+'госпрозрахунк.'!AW43</f>
        <v>32020.100000000006</v>
      </c>
      <c r="AX43" s="137">
        <f t="shared" si="9"/>
        <v>68132.1</v>
      </c>
      <c r="AY43" s="137">
        <f t="shared" si="10"/>
        <v>76554.49999999999</v>
      </c>
      <c r="AZ43" s="20">
        <f t="shared" si="11"/>
        <v>-8422.39999999998</v>
      </c>
      <c r="BA43" s="20">
        <f t="shared" si="12"/>
        <v>32020.10000000002</v>
      </c>
    </row>
    <row r="44" spans="1:53" ht="34.5" customHeight="1">
      <c r="A44" s="19">
        <v>33</v>
      </c>
      <c r="B44" s="106" t="s">
        <v>60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3504.2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24627.3</v>
      </c>
      <c r="AA44" s="137">
        <f t="shared" si="15"/>
        <v>313.6955940234629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3211.9999999999995</v>
      </c>
      <c r="AD44" s="137">
        <f t="shared" si="6"/>
        <v>165.90052166726923</v>
      </c>
      <c r="AE44" s="137">
        <f>населення!AE45+льготи!AE44+субсидии!AE44+'держ.бюджет'!AE44+'місц.-район.бюджет'!AE44+обласной!AE44+'госпрозрахунк.'!AE44</f>
        <v>1936.4000000000003</v>
      </c>
      <c r="AF44" s="137">
        <f>населення!AF45+льготи!AF44+субсидии!AF44+'держ.бюджет'!AF44+'місц.-район.бюджет'!AF44+обласной!AF44+'госпрозрахунк.'!AF44</f>
        <v>2963.6</v>
      </c>
      <c r="AG44" s="100">
        <f t="shared" si="16"/>
        <v>153.04689113819455</v>
      </c>
      <c r="AH44" s="137">
        <f>населення!AH45+льготи!AH44+субсидии!AH44+'держ.бюджет'!AH44+'місц.-район.бюджет'!AH44+обласной!AH44+'госпрозрахунк.'!AH44</f>
        <v>1936.2</v>
      </c>
      <c r="AI44" s="137">
        <f>населення!AI45+льготи!AI44+субсидии!AI44+'держ.бюджет'!AI44+'місц.-район.бюджет'!AI44+обласной!AI44+'госпрозрахунк.'!AI44</f>
        <v>2990.2000000000003</v>
      </c>
      <c r="AJ44" s="137">
        <f>населення!AJ45+льготи!AJ44+субсидии!AJ44+'держ.бюджет'!AJ44+'місц.-район.бюджет'!AJ44+обласной!AJ44+'госпрозрахунк.'!AJ44</f>
        <v>5808.7</v>
      </c>
      <c r="AK44" s="137">
        <f>населення!AK45+льготи!AK44+субсидии!AK44+'держ.бюджет'!AK44+'місц.-район.бюджет'!AK44+обласной!AK44+'госпрозрахунк.'!AK44</f>
        <v>9165.800000000001</v>
      </c>
      <c r="AL44" s="100">
        <f t="shared" si="7"/>
        <v>157.79434296830618</v>
      </c>
      <c r="AM44" s="137">
        <f>населення!AM45+льготи!AM44+субсидии!AM44+'держ.бюджет'!AM44+'місц.-район.бюджет'!AM44+обласной!AM44+'госпрозрахунк.'!AM44</f>
        <v>3001.2</v>
      </c>
      <c r="AN44" s="137">
        <f>населення!AN45+льготи!AN44+субсидии!AN44+'держ.бюджет'!AN44+'місц.-район.бюджет'!AN44+обласной!AN44+'госпрозрахунк.'!AN44</f>
        <v>2827.2</v>
      </c>
      <c r="AO44" s="137">
        <f>населення!AO45+льготи!AO44+субсидии!AO44+'держ.бюджет'!AO44+'місц.-район.бюджет'!AO44+обласной!AO44+'госпрозрахунк.'!AO44</f>
        <v>0</v>
      </c>
      <c r="AP44" s="137">
        <f>населення!AP45+льготи!AP44+субсидии!AP44+'держ.бюджет'!AP44+'місц.-район.бюджет'!AP44+обласной!AP44+'госпрозрахунк.'!AP44</f>
        <v>0</v>
      </c>
      <c r="AQ44" s="137">
        <f>населення!AR45+льготи!AQ44+субсидии!AQ44+'держ.бюджет'!AQ44+'місц.-район.бюджет'!AQ44+обласной!AQ44+'госпрозрахунк.'!AQ44</f>
        <v>0</v>
      </c>
      <c r="AR44" s="137">
        <f>населення!AS45+льготи!AR44+субсидии!AR44+'держ.бюджет'!AR44+'місц.-район.бюджет'!AR44+обласной!AR44+'госпрозрахунк.'!AR44</f>
        <v>0</v>
      </c>
      <c r="AS44" s="137">
        <f>населення!AT45+льготи!AS44+субсидии!AS44+'держ.бюджет'!AS44+'місц.-район.бюджет'!AS44+обласной!AS44+'госпрозрахунк.'!AS44</f>
        <v>68459.2</v>
      </c>
      <c r="AT44" s="137">
        <f>населення!AU45+льготи!AT44+субсидии!AT44+'держ.бюджет'!AT44+'місц.-район.бюджет'!AT44+обласной!AT44+'госпрозрахунк.'!AT44</f>
        <v>78208.70000000001</v>
      </c>
      <c r="AU44" s="137">
        <f t="shared" si="8"/>
        <v>114.24132914202913</v>
      </c>
      <c r="AV44" s="137">
        <f>населення!AW45+льготи!AV44+субсидии!AV44+'держ.бюджет'!AV44+'місц.-район.бюджет'!AV44+обласной!AV44+'госпрозрахунк.'!AV44</f>
        <v>-9749.5</v>
      </c>
      <c r="AW44" s="137">
        <f>населення!AX45+льготи!AW44+субсидии!AW44+'держ.бюджет'!AW44+'місц.-район.бюджет'!AW44+обласной!AW44+'госпрозрахунк.'!AW44</f>
        <v>14815.600000000002</v>
      </c>
      <c r="AX44" s="137">
        <f t="shared" si="9"/>
        <v>68459.2</v>
      </c>
      <c r="AY44" s="137">
        <f t="shared" si="10"/>
        <v>78208.70000000001</v>
      </c>
      <c r="AZ44" s="20">
        <f t="shared" si="11"/>
        <v>-9749.500000000015</v>
      </c>
      <c r="BA44" s="20">
        <f t="shared" si="12"/>
        <v>14815.599999999991</v>
      </c>
    </row>
    <row r="45" spans="1:53" s="8" customFormat="1" ht="34.5" customHeight="1">
      <c r="A45" s="139">
        <v>34</v>
      </c>
      <c r="B45" s="16" t="s">
        <v>61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106727.04899999998</v>
      </c>
      <c r="AC45" s="137">
        <f>населення!AC46+льготи!AC45+субсидии!AC45+'держ.бюджет'!AC45+'місц.-район.бюджет'!AC45+обласной!AC45+'госпрозрахунк.'!AC45</f>
        <v>237106.09999999998</v>
      </c>
      <c r="AD45" s="137">
        <f t="shared" si="6"/>
        <v>222.1612067621208</v>
      </c>
      <c r="AE45" s="137">
        <f>населення!AE46+льготи!AE45+субсидии!AE45+'держ.бюджет'!AE45+'місц.-район.бюджет'!AE45+обласной!AE45+'госпрозрахунк.'!AE45</f>
        <v>100104.00000000001</v>
      </c>
      <c r="AF45" s="137">
        <f>населення!AF46+льготи!AF45+субсидии!AF45+'держ.бюджет'!AF45+'місц.-район.бюджет'!AF45+обласной!AF45+'госпрозрахунк.'!AF45</f>
        <v>175759.49999999997</v>
      </c>
      <c r="AG45" s="137">
        <f t="shared" si="16"/>
        <v>175.576900023975</v>
      </c>
      <c r="AH45" s="137">
        <f>населення!AH46+льготи!AH45+субсидии!AH45+'держ.бюджет'!AH45+'місц.-район.бюджет'!AH45+обласной!AH45+'госпрозрахунк.'!AH45</f>
        <v>93152.8</v>
      </c>
      <c r="AI45" s="137">
        <f>населення!AI46+льготи!AI45+субсидии!AI45+'держ.бюджет'!AI45+'місц.-район.бюджет'!AI45+обласной!AI45+'госпрозрахунк.'!AI45</f>
        <v>183783.19999999998</v>
      </c>
      <c r="AJ45" s="137">
        <f>населення!AJ46+льготи!AJ45+субсидии!AJ45+'держ.бюджет'!AJ45+'місц.-район.бюджет'!AJ45+обласной!AJ45+'госпрозрахунк.'!AJ45</f>
        <v>299983.849</v>
      </c>
      <c r="AK45" s="137">
        <f>населення!AK46+льготи!AK45+субсидии!AK45+'держ.бюджет'!AK45+'місц.-район.бюджет'!AK45+обласной!AK45+'госпрозрахунк.'!AK45</f>
        <v>596648.8</v>
      </c>
      <c r="AL45" s="137">
        <f t="shared" si="7"/>
        <v>198.8936411039916</v>
      </c>
      <c r="AM45" s="137">
        <f>населення!AM46+льготи!AM45+субсидии!AM45+'держ.бюджет'!AM45+'місц.-район.бюджет'!AM45+обласной!AM45+'госпрозрахунк.'!AM45</f>
        <v>150783.8</v>
      </c>
      <c r="AN45" s="137">
        <f>населення!AN46+льготи!AN45+субсидии!AN45+'держ.бюджет'!AN45+'місц.-район.бюджет'!AN45+обласной!AN45+'госпрозрахунк.'!AN45</f>
        <v>225273</v>
      </c>
      <c r="AO45" s="137">
        <f>населення!AO46+льготи!AO45+субсидии!AO45+'держ.бюджет'!AO45+'місц.-район.бюджет'!AO45+обласной!AO45+'госпрозрахунк.'!AO45</f>
        <v>0</v>
      </c>
      <c r="AP45" s="137">
        <f>населення!AP46+льготи!AP45+субсидии!AP45+'держ.бюджет'!AP45+'місц.-район.бюджет'!AP45+обласной!AP45+'госпрозрахунк.'!AP45</f>
        <v>0</v>
      </c>
      <c r="AQ45" s="137">
        <f>населення!AR46+льготи!AQ45+субсидии!AQ45+'держ.бюджет'!AQ45+'місц.-район.бюджет'!AQ45+обласной!AQ45+'госпрозрахунк.'!AQ45</f>
        <v>0</v>
      </c>
      <c r="AR45" s="137">
        <f>населення!AS46+льготи!AR45+субсидии!AR45+'держ.бюджет'!AR45+'місц.-район.бюджет'!AR45+обласной!AR45+'госпрозрахунк.'!AR45</f>
        <v>0</v>
      </c>
      <c r="AS45" s="137">
        <f>населення!AT46+льготи!AS45+субсидии!AS45+'держ.бюджет'!AS45+'місц.-район.бюджет'!AS45+обласной!AS45+'госпрозрахунк.'!AS45</f>
        <v>4854096.649</v>
      </c>
      <c r="AT45" s="137">
        <f>населення!AU46+льготи!AT45+субсидии!AT45+'держ.бюджет'!AT45+'місц.-район.бюджет'!AT45+обласной!AT45+'госпрозрахунк.'!AT45</f>
        <v>5204324.699999999</v>
      </c>
      <c r="AU45" s="137">
        <f t="shared" si="8"/>
        <v>107.21510254790971</v>
      </c>
      <c r="AV45" s="137">
        <f>населення!AW46+льготи!AV45+субсидии!AV45+'держ.бюджет'!AV45+'місц.-район.бюджет'!AV45+обласной!AV45+'госпрозрахунк.'!AV45</f>
        <v>-350228.051</v>
      </c>
      <c r="AW45" s="137">
        <f>населення!AX46+льготи!AW45+субсидии!AW45+'держ.бюджет'!AW45+'місц.-район.бюджет'!AW45+обласной!AW45+'госпрозрахунк.'!AW45</f>
        <v>2543381.349</v>
      </c>
      <c r="AX45" s="137">
        <f t="shared" si="9"/>
        <v>4854096.649</v>
      </c>
      <c r="AY45" s="137">
        <f t="shared" si="10"/>
        <v>5204324.699999999</v>
      </c>
      <c r="AZ45" s="20">
        <f t="shared" si="11"/>
        <v>-350228.05099999905</v>
      </c>
      <c r="BA45" s="20">
        <f t="shared" si="12"/>
        <v>2543381.3490000013</v>
      </c>
    </row>
    <row r="46" spans="1:53" s="8" customFormat="1" ht="34.5" customHeight="1">
      <c r="A46" s="139" t="s">
        <v>26</v>
      </c>
      <c r="B46" s="1" t="s">
        <v>66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99637</v>
      </c>
      <c r="AF46" s="137">
        <f>населення!AF47+льготи!AF46+субсидии!AF46+'держ.бюджет'!AF46+'місц.-район.бюджет'!AF46+обласной!AF46+'госпрозрахунк.'!AF46</f>
        <v>175141</v>
      </c>
      <c r="AG46" s="137">
        <f t="shared" si="16"/>
        <v>175.7790780533336</v>
      </c>
      <c r="AH46" s="137">
        <f>населення!AH47+льготи!AH46+субсидии!AH46+'держ.бюджет'!AH46+'місц.-район.бюджет'!AH46+обласной!AH46+'госпрозрахунк.'!AH46</f>
        <v>92585</v>
      </c>
      <c r="AI46" s="137">
        <f>населення!AI47+льготи!AI46+субсидии!AI46+'держ.бюджет'!AI46+'місц.-район.бюджет'!AI46+обласной!AI46+'госпрозрахунк.'!AI46</f>
        <v>183285</v>
      </c>
      <c r="AJ46" s="137">
        <f>населення!AJ47+льготи!AJ46+субсидии!AJ46+'держ.бюджет'!AJ46+'місц.-район.бюджет'!AJ46+обласной!AJ46+'госпрозрахунк.'!AJ46</f>
        <v>298394</v>
      </c>
      <c r="AK46" s="137">
        <f>населення!AK47+льготи!AK46+субсидии!AK46+'держ.бюджет'!AK46+'місц.-район.бюджет'!AK46+обласной!AK46+'госпрозрахунк.'!AK46</f>
        <v>594715</v>
      </c>
      <c r="AL46" s="137">
        <f t="shared" si="7"/>
        <v>199.30528093728427</v>
      </c>
      <c r="AM46" s="137">
        <f>населення!AM47+льготи!AM46+субсидии!AM46+'держ.бюджет'!AM46+'місц.-район.бюджет'!AM46+обласной!AM46+'госпрозрахунк.'!AM46</f>
        <v>149293</v>
      </c>
      <c r="AN46" s="137">
        <f>населення!AN47+льготи!AN46+субсидии!AN46+'держ.бюджет'!AN46+'місц.-район.бюджет'!AN46+обласной!AN46+'госпрозрахунк.'!AN46</f>
        <v>224426</v>
      </c>
      <c r="AO46" s="137">
        <f>населення!AO47+льготи!AO46+субсидии!AO46+'держ.бюджет'!AO46+'місц.-район.бюджет'!AO46+обласной!AO46+'госпрозрахунк.'!AO46</f>
        <v>0</v>
      </c>
      <c r="AP46" s="137">
        <f>населення!AP47+льготи!AP46+субсидии!AP46+'держ.бюджет'!AP46+'місц.-район.бюджет'!AP46+обласной!AP46+'госпрозрахунк.'!AP46</f>
        <v>0</v>
      </c>
      <c r="AQ46" s="137">
        <f>населення!AR47+льготи!AQ46+субсидии!AQ46+'держ.бюджет'!AQ46+'місц.-район.бюджет'!AQ46+обласной!AQ46+'госпрозрахунк.'!AQ46</f>
        <v>0</v>
      </c>
      <c r="AR46" s="137">
        <f>населення!AS47+льготи!AR46+субсидии!AR46+'держ.бюджет'!AR46+'місц.-район.бюджет'!AR46+обласной!AR46+'госпрозрахунк.'!AR46</f>
        <v>0</v>
      </c>
      <c r="AS46" s="137">
        <f>населення!AT47+льготи!AS46+субсидии!AS46+'держ.бюджет'!AS46+'місц.-район.бюджет'!AS46+обласной!AS46+'госпрозрахунк.'!AS46</f>
        <v>4828118</v>
      </c>
      <c r="AT46" s="137">
        <f>населення!AU47+льготи!AT46+субсидии!AT46+'держ.бюджет'!AT46+'місц.-район.бюджет'!AT46+обласной!AT46+'госпрозрахунк.'!AT46</f>
        <v>5175264</v>
      </c>
      <c r="AU46" s="137">
        <f t="shared" si="8"/>
        <v>107.19008938886748</v>
      </c>
      <c r="AV46" s="137">
        <f>населення!AW47+льготи!AV46+субсидии!AV46+'держ.бюджет'!AV46+'місц.-район.бюджет'!AV46+обласной!AV46+'госпрозрахунк.'!AV46</f>
        <v>-347146</v>
      </c>
      <c r="AW46" s="137">
        <f>населення!AX47+льготи!AW46+субсидии!AW46+'держ.бюджет'!AW46+'місц.-район.бюджет'!AW46+обласной!AW46+'госпрозрахунк.'!AW46</f>
        <v>2541809</v>
      </c>
      <c r="AX46" s="137">
        <f t="shared" si="9"/>
        <v>4828118</v>
      </c>
      <c r="AY46" s="137">
        <f t="shared" si="10"/>
        <v>5175264</v>
      </c>
      <c r="AZ46" s="20">
        <f t="shared" si="11"/>
        <v>-347146</v>
      </c>
      <c r="BA46" s="20">
        <f t="shared" si="12"/>
        <v>2541809</v>
      </c>
    </row>
    <row r="47" spans="1:53" s="8" customFormat="1" ht="34.5" customHeight="1">
      <c r="A47" s="38"/>
      <c r="B47" s="1" t="s">
        <v>67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555.049</v>
      </c>
      <c r="AC47" s="137">
        <f>населення!AC48+льготи!AC47+субсидии!AC47+'держ.бюджет'!AC47+'місц.-район.бюджет'!AC47+обласной!AC47+'госпрозрахунк.'!AC47</f>
        <v>817.1</v>
      </c>
      <c r="AD47" s="137">
        <f t="shared" si="6"/>
        <v>147.21222810959034</v>
      </c>
      <c r="AE47" s="137">
        <f>населення!AE48+льготи!AE47+субсидии!AE47+'держ.бюджет'!AE47+'місц.-район.бюджет'!AE47+обласной!AE47+'госпрозрахунк.'!AE47</f>
        <v>467</v>
      </c>
      <c r="AF47" s="137">
        <f>населення!AF48+льготи!AF47+субсидии!AF47+'держ.бюджет'!AF47+'місц.-район.бюджет'!AF47+обласной!AF47+'госпрозрахунк.'!AF47</f>
        <v>618.5</v>
      </c>
      <c r="AG47" s="137">
        <f t="shared" si="16"/>
        <v>132.44111349036402</v>
      </c>
      <c r="AH47" s="137">
        <f>населення!AH48+льготи!AH47+субсидии!AH47+'держ.бюджет'!AH47+'місц.-район.бюджет'!AH47+обласной!AH47+'госпрозрахунк.'!AH47</f>
        <v>567.8</v>
      </c>
      <c r="AI47" s="137">
        <f>населення!AI48+льготи!AI47+субсидии!AI47+'держ.бюджет'!AI47+'місц.-район.бюджет'!AI47+обласной!AI47+'госпрозрахунк.'!AI47</f>
        <v>498.20000000000005</v>
      </c>
      <c r="AJ47" s="137">
        <f>населення!AJ48+льготи!AJ47+субсидии!AJ47+'держ.бюджет'!AJ47+'місц.-район.бюджет'!AJ47+обласной!AJ47+'госпрозрахунк.'!AJ47</f>
        <v>1589.849</v>
      </c>
      <c r="AK47" s="137">
        <f>населення!AK48+льготи!AK47+субсидии!AK47+'держ.бюджет'!AK47+'місц.-район.бюджет'!AK47+обласной!AK47+'госпрозрахунк.'!AK47</f>
        <v>1933.8</v>
      </c>
      <c r="AL47" s="137">
        <f t="shared" si="7"/>
        <v>121.63419293278797</v>
      </c>
      <c r="AM47" s="137">
        <f>населення!AM48+льготи!AM47+субсидии!AM47+'держ.бюджет'!AM47+'місц.-район.бюджет'!AM47+обласной!AM47+'госпрозрахунк.'!AM47</f>
        <v>1490.8</v>
      </c>
      <c r="AN47" s="137">
        <f>населення!AN48+льготи!AN47+субсидии!AN47+'держ.бюджет'!AN47+'місц.-район.бюджет'!AN47+обласной!AN47+'госпрозрахунк.'!AN47</f>
        <v>847</v>
      </c>
      <c r="AO47" s="137">
        <f>населення!AO48+льготи!AO47+субсидии!AO47+'держ.бюджет'!AO47+'місц.-район.бюджет'!AO47+обласной!AO47+'госпрозрахунк.'!AO47</f>
        <v>0</v>
      </c>
      <c r="AP47" s="137">
        <f>населення!AP48+льготи!AP47+субсидии!AP47+'держ.бюджет'!AP47+'місц.-район.бюджет'!AP47+обласной!AP47+'госпрозрахунк.'!AP47</f>
        <v>0</v>
      </c>
      <c r="AQ47" s="137">
        <f>населення!AR48+льготи!AQ47+субсидии!AQ47+'держ.бюджет'!AQ47+'місц.-район.бюджет'!AQ47+обласной!AQ47+'госпрозрахунк.'!AQ47</f>
        <v>0</v>
      </c>
      <c r="AR47" s="137">
        <f>населення!AS48+льготи!AR47+субсидии!AR47+'держ.бюджет'!AR47+'місц.-район.бюджет'!AR47+обласной!AR47+'госпрозрахунк.'!AR47</f>
        <v>0</v>
      </c>
      <c r="AS47" s="137">
        <f>населення!AT48+льготи!AS47+субсидии!AS47+'держ.бюджет'!AS47+'місц.-район.бюджет'!AS47+обласной!AS47+'госпрозрахунк.'!AS47</f>
        <v>25978.649</v>
      </c>
      <c r="AT47" s="137">
        <f>населення!AU48+льготи!AT47+субсидии!AT47+'держ.бюджет'!AT47+'місц.-район.бюджет'!AT47+обласной!AT47+'госпрозрахунк.'!AT47</f>
        <v>29060.699999999997</v>
      </c>
      <c r="AU47" s="137">
        <f t="shared" si="8"/>
        <v>111.86378475647443</v>
      </c>
      <c r="AV47" s="137">
        <f>населення!AW48+льготи!AV47+субсидии!AV47+'держ.бюджет'!AV47+'місц.-район.бюджет'!AV47+обласной!AV47+'госпрозрахунк.'!AV47</f>
        <v>-3082.0509999999986</v>
      </c>
      <c r="AW47" s="137">
        <f>населення!AX48+льготи!AW47+субсидии!AW47+'держ.бюджет'!AW47+'місц.-район.бюджет'!AW47+обласной!AW47+'госпрозрахунк.'!AW47</f>
        <v>1572.349000000001</v>
      </c>
      <c r="AX47" s="137">
        <f t="shared" si="9"/>
        <v>25978.648999999998</v>
      </c>
      <c r="AY47" s="137">
        <f t="shared" si="10"/>
        <v>29060.7</v>
      </c>
      <c r="AZ47" s="20">
        <f t="shared" si="11"/>
        <v>-3082.051000000003</v>
      </c>
      <c r="BA47" s="20">
        <f t="shared" si="12"/>
        <v>1572.3489999999983</v>
      </c>
    </row>
    <row r="48" spans="1:54" s="8" customFormat="1" ht="34.5" customHeight="1">
      <c r="A48" s="139"/>
      <c r="B48" s="16" t="s">
        <v>62</v>
      </c>
      <c r="C48" s="137">
        <f>населення!C49+льготи!C48+субсидии!C48+'держ.бюджет'!C48+'місц.-район.бюджет'!C48+обласной!C48+'госпрозрахунк.'!C48</f>
        <v>3226651.9</v>
      </c>
      <c r="D48" s="138">
        <f>населення!D49+льготи!D48+субсидии!D48+'держ.бюджет'!D48+'місц.-район.бюджет'!D48+обласной!D48+'госпрозрахунк.'!D48</f>
        <v>1745787.8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48.734061493613375</v>
      </c>
      <c r="G48" s="137">
        <f>населення!G49+льготи!G48+субсидии!G48+'держ.бюджет'!G48+'місц.-район.бюджет'!G48+обласной!G48+'госпрозрахунк.'!G48</f>
        <v>1463438.7</v>
      </c>
      <c r="H48" s="137">
        <f>населення!H49+льготи!H48+субсидии!H48+'держ.бюджет'!H48+'місц.-район.бюджет'!H48+обласной!H48+'госпрозрахунк.'!H48</f>
        <v>1079597.3</v>
      </c>
      <c r="I48" s="14">
        <f t="shared" si="14"/>
        <v>73.771268998148</v>
      </c>
      <c r="J48" s="137">
        <f>населення!J49+льготи!J48+субсидии!J48+'держ.бюджет'!J48+'місц.-район.бюджет'!J48+обласной!J48+'госпрозрахунк.'!J48</f>
        <v>1165670.4</v>
      </c>
      <c r="K48" s="137">
        <f>населення!K49+льготи!K48+субсидии!K48+'держ.бюджет'!K48+'місц.-район.бюджет'!K48+обласной!K48+'госпрозрахунк.'!K48</f>
        <v>1264936.4000000001</v>
      </c>
      <c r="L48" s="14">
        <f t="shared" si="1"/>
        <v>108.51578628058157</v>
      </c>
      <c r="M48" s="137">
        <f>населення!M49+льготи!M48+субсидии!M48+'держ.бюджет'!M48+'місц.-район.бюджет'!M48+обласной!M48+'госпрозрахунк.'!M48</f>
        <v>4374896.9</v>
      </c>
      <c r="N48" s="137">
        <f>населення!N49+льготи!N48+субсидии!N48+'держ.бюджет'!N48+'місц.-район.бюджет'!N48+обласной!N48+'госпрозрахунк.'!N48</f>
        <v>3195327</v>
      </c>
      <c r="O48" s="137">
        <f t="shared" si="4"/>
        <v>73.03776690143258</v>
      </c>
      <c r="P48" s="137">
        <f>населення!P49+льготи!P48+субсидии!P48+'держ.бюджет'!P48+'місц.-район.бюджет'!P48+обласной!P48+'госпрозрахунк.'!P48</f>
        <v>538518.12</v>
      </c>
      <c r="Q48" s="137">
        <f>населення!Q49+льготи!Q48+субсидии!Q48+'держ.бюджет'!Q48+'місц.-район.бюджет'!Q48+обласной!Q48+'госпрозрахунк.'!Q48</f>
        <v>955165.49</v>
      </c>
      <c r="R48" s="137">
        <f t="shared" si="5"/>
        <v>177.36923875467738</v>
      </c>
      <c r="S48" s="137">
        <f>населення!S49+льготи!S48+субсидии!S48+'держ.бюджет'!S48+'місц.-район.бюджет'!S48+обласной!S48+'госпрозрахунк.'!S48</f>
        <v>123667.79999999999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556.8618508617442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310592.6</v>
      </c>
      <c r="X48" s="137">
        <f>W48/V48*100</f>
        <v>324.3035035218989</v>
      </c>
      <c r="Y48" s="137">
        <f>населення!Y49+льготи!Y48+субсидии!Y48+'держ.бюджет'!Y48+'місц.-район.бюджет'!Y48+обласной!Y48+'госпрозрахунк.'!Y48</f>
        <v>757958.1199999999</v>
      </c>
      <c r="Z48" s="137">
        <f>населення!Z49+льготи!Z48+субсидии!Z48+'держ.бюджет'!Z48+'місц.-район.бюджет'!Z48+обласной!Z48+'госпрозрахунк.'!Z48</f>
        <v>1954416.8900000001</v>
      </c>
      <c r="AA48" s="137">
        <f t="shared" si="15"/>
        <v>257.8528863837491</v>
      </c>
      <c r="AB48" s="137">
        <f>населення!AB49+льготи!AB48+субсидии!AB48+'держ.бюджет'!AB48+'місц.-район.бюджет'!AB48+обласной!AB48+'госпрозрахунк.'!AB48</f>
        <v>110476.14899999999</v>
      </c>
      <c r="AC48" s="137">
        <f>населення!AC49+льготи!AC48+субсидии!AC48+'держ.бюджет'!AC48+'місц.-район.бюджет'!AC48+обласной!AC48+'госпрозрахунк.'!AC48</f>
        <v>266336.4</v>
      </c>
      <c r="AD48" s="137">
        <f t="shared" si="6"/>
        <v>241.08045257804926</v>
      </c>
      <c r="AE48" s="137">
        <f>населення!AE49+льготи!AE48+субсидии!AE48+'держ.бюджет'!AE48+'місц.-район.бюджет'!AE48+обласной!AE48+'госпрозрахунк.'!AE48</f>
        <v>103823.7</v>
      </c>
      <c r="AF48" s="137">
        <f>населення!AF49+льготи!AF48+субсидии!AF48+'держ.бюджет'!AF48+'місц.-район.бюджет'!AF48+обласной!AF48+'госпрозрахунк.'!AF48</f>
        <v>194411.9</v>
      </c>
      <c r="AG48" s="137">
        <f t="shared" si="16"/>
        <v>187.25194729141805</v>
      </c>
      <c r="AH48" s="137">
        <f>населення!AH49+льготи!AH48+субсидии!AH48+'держ.бюджет'!AH48+'місц.-район.бюджет'!AH48+обласной!AH48+'госпрозрахунк.'!AH48</f>
        <v>96845.59999999999</v>
      </c>
      <c r="AI48" s="137">
        <f>населення!AI49+льготи!AI48+субсидии!AI48+'держ.бюджет'!AI48+'місц.-район.бюджет'!AI48+обласной!AI48+'госпрозрахунк.'!AI48</f>
        <v>205018.50000000003</v>
      </c>
      <c r="AJ48" s="137">
        <f>населення!AJ49+льготи!AJ48+субсидии!AJ48+'держ.бюджет'!AJ48+'місц.-район.бюджет'!AJ48+обласной!AJ48+'госпрозрахунк.'!AJ48</f>
        <v>311145.449</v>
      </c>
      <c r="AK48" s="137">
        <f>населення!AK49+льготи!AK48+субсидии!AK48+'держ.бюджет'!AK48+'місц.-район.бюджет'!AK48+обласной!AK48+'госпрозрахунк.'!AK48</f>
        <v>665766.7999999999</v>
      </c>
      <c r="AL48" s="137">
        <f t="shared" si="7"/>
        <v>213.97285486248583</v>
      </c>
      <c r="AM48" s="137">
        <f>населення!AM49+льготи!AM48+субсидии!AM48+'держ.бюджет'!AM48+'місц.-район.бюджет'!AM48+обласной!AM48+'госпрозрахунк.'!AM48</f>
        <v>171342.5</v>
      </c>
      <c r="AN48" s="137">
        <f>населення!AN49+льготи!AN48+субсидии!AN48+'держ.бюджет'!AN48+'місц.-район.бюджет'!AN48+обласной!AN48+'госпрозрахунк.'!AN48</f>
        <v>259483.5</v>
      </c>
      <c r="AO48" s="137">
        <f>населення!AO49+льготи!AO48+субсидии!AO48+'держ.бюджет'!AO48+'місц.-район.бюджет'!AO48+обласной!AO48+'госпрозрахунк.'!AO48</f>
        <v>0</v>
      </c>
      <c r="AP48" s="137">
        <f>населення!AP49+льготи!AP48+субсидии!AP48+'держ.бюджет'!AP48+'місц.-район.бюджет'!AP48+обласной!AP48+'госпрозрахунк.'!AP48</f>
        <v>0</v>
      </c>
      <c r="AQ48" s="137">
        <f>населення!AR49+льготи!AQ48+субсидии!AQ48+'держ.бюджет'!AQ48+'місц.-район.бюджет'!AQ48+обласной!AQ48+'госпрозрахунк.'!AQ48</f>
        <v>0</v>
      </c>
      <c r="AR48" s="137">
        <f>населення!AS49+льготи!AR48+субсидии!AR48+'держ.бюджет'!AR48+'місц.-район.бюджет'!AR48+обласной!AR48+'госпрозрахунк.'!AR48</f>
        <v>0</v>
      </c>
      <c r="AS48" s="137">
        <f>населення!AT49+льготи!AS48+субсидии!AS48+'держ.бюджет'!AS48+'місц.-район.бюджет'!AS48+обласной!AS48+'госпрозрахунк.'!AS48</f>
        <v>5615342.9690000005</v>
      </c>
      <c r="AT48" s="137">
        <f>населення!AU49+льготи!AT48+субсидии!AT48+'держ.бюджет'!AT48+'місц.-район.бюджет'!AT48+обласной!AT48+'госпрозрахунк.'!AT48</f>
        <v>6074994.1899999995</v>
      </c>
      <c r="AU48" s="137">
        <f t="shared" si="8"/>
        <v>108.18563039760072</v>
      </c>
      <c r="AV48" s="137">
        <f>населення!AW49+льготи!AV48+субсидии!AV48+'держ.бюджет'!AV48+'місц.-район.бюджет'!AV48+обласной!AV48+'госпрозрахунк.'!AV48</f>
        <v>-459651.2209999999</v>
      </c>
      <c r="AW48" s="137">
        <f>населення!AX49+льготи!AW48+субсидии!AW48+'держ.бюджет'!AW48+'місц.-район.бюджет'!AW48+обласной!AW48+'госпрозрахунк.'!AW48</f>
        <v>2767000.679</v>
      </c>
      <c r="AX48" s="137">
        <f t="shared" si="9"/>
        <v>5615342.9690000005</v>
      </c>
      <c r="AY48" s="137">
        <f t="shared" si="10"/>
        <v>6074994.19</v>
      </c>
      <c r="AZ48" s="20">
        <f t="shared" si="11"/>
        <v>-459651.2209999999</v>
      </c>
      <c r="BA48" s="20">
        <f>C48+AX48-AY48</f>
        <v>2767000.6790000005</v>
      </c>
      <c r="BB48" s="20">
        <f>AW7+AW45</f>
        <v>2767000.679</v>
      </c>
    </row>
    <row r="49" spans="1:53" s="117" customFormat="1" ht="63.75" customHeight="1">
      <c r="A49" s="233" t="s">
        <v>68</v>
      </c>
      <c r="B49" s="233"/>
      <c r="C49" s="233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69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459651.2209999999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D5:F5"/>
    <mergeCell ref="AQ5:AR5"/>
    <mergeCell ref="B4:C4"/>
    <mergeCell ref="AS5:AU5"/>
    <mergeCell ref="V5:X5"/>
    <mergeCell ref="AV5:AV6"/>
    <mergeCell ref="M5:O5"/>
    <mergeCell ref="P5:R5"/>
    <mergeCell ref="AO5:AP5"/>
    <mergeCell ref="AM5:AN5"/>
    <mergeCell ref="G5:I5"/>
    <mergeCell ref="A2:AW3"/>
    <mergeCell ref="AW5:AW6"/>
    <mergeCell ref="AE5:AG5"/>
    <mergeCell ref="S5:U5"/>
    <mergeCell ref="AB5:AD5"/>
    <mergeCell ref="A49:C49"/>
    <mergeCell ref="AH5:AI5"/>
    <mergeCell ref="J5:L5"/>
    <mergeCell ref="Y5:AA5"/>
    <mergeCell ref="AJ5:AL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AT47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Z51" sqref="AZ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38" t="s">
        <v>89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</row>
    <row r="4" spans="1:50" s="30" customFormat="1" ht="60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</row>
    <row r="5" spans="2:50" ht="34.5" customHeight="1">
      <c r="B5" s="237"/>
      <c r="C5" s="237"/>
      <c r="AX5" s="11" t="s">
        <v>28</v>
      </c>
    </row>
    <row r="6" spans="1:54" s="9" customFormat="1" ht="51.75" customHeight="1">
      <c r="A6" s="75" t="s">
        <v>4</v>
      </c>
      <c r="B6" s="75"/>
      <c r="C6" s="24" t="s">
        <v>1</v>
      </c>
      <c r="D6" s="234" t="s">
        <v>70</v>
      </c>
      <c r="E6" s="235"/>
      <c r="F6" s="236"/>
      <c r="G6" s="230" t="s">
        <v>73</v>
      </c>
      <c r="H6" s="231"/>
      <c r="I6" s="232"/>
      <c r="J6" s="239" t="s">
        <v>74</v>
      </c>
      <c r="K6" s="240"/>
      <c r="L6" s="241"/>
      <c r="M6" s="230" t="s">
        <v>76</v>
      </c>
      <c r="N6" s="231"/>
      <c r="O6" s="232"/>
      <c r="P6" s="230" t="s">
        <v>75</v>
      </c>
      <c r="Q6" s="231"/>
      <c r="R6" s="232"/>
      <c r="S6" s="239" t="s">
        <v>78</v>
      </c>
      <c r="T6" s="240"/>
      <c r="U6" s="241"/>
      <c r="V6" s="239" t="s">
        <v>79</v>
      </c>
      <c r="W6" s="240"/>
      <c r="X6" s="241"/>
      <c r="Y6" s="230" t="s">
        <v>80</v>
      </c>
      <c r="Z6" s="231"/>
      <c r="AA6" s="232"/>
      <c r="AB6" s="230" t="s">
        <v>81</v>
      </c>
      <c r="AC6" s="231"/>
      <c r="AD6" s="232"/>
      <c r="AE6" s="230" t="s">
        <v>82</v>
      </c>
      <c r="AF6" s="231"/>
      <c r="AG6" s="232"/>
      <c r="AH6" s="230" t="s">
        <v>83</v>
      </c>
      <c r="AI6" s="232"/>
      <c r="AJ6" s="230" t="s">
        <v>84</v>
      </c>
      <c r="AK6" s="231"/>
      <c r="AL6" s="232"/>
      <c r="AM6" s="230" t="s">
        <v>85</v>
      </c>
      <c r="AN6" s="232"/>
      <c r="AO6" s="230" t="s">
        <v>21</v>
      </c>
      <c r="AP6" s="232"/>
      <c r="AQ6" s="96"/>
      <c r="AR6" s="230" t="s">
        <v>22</v>
      </c>
      <c r="AS6" s="232"/>
      <c r="AT6" s="234" t="s">
        <v>71</v>
      </c>
      <c r="AU6" s="235"/>
      <c r="AV6" s="236"/>
      <c r="AW6" s="228" t="s">
        <v>86</v>
      </c>
      <c r="AX6" s="228" t="s">
        <v>87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63</v>
      </c>
      <c r="C7" s="98" t="s">
        <v>72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27</v>
      </c>
      <c r="AU7" s="26" t="s">
        <v>13</v>
      </c>
      <c r="AV7" s="12" t="s">
        <v>0</v>
      </c>
      <c r="AW7" s="229"/>
      <c r="AX7" s="229"/>
      <c r="AY7" s="99">
        <f>AY8-AZ8</f>
        <v>-35822.40000000002</v>
      </c>
      <c r="AZ7" s="99">
        <f>C8+AT8-AU8</f>
        <v>231921.7</v>
      </c>
    </row>
    <row r="8" spans="1:53" s="111" customFormat="1" ht="34.5" customHeight="1">
      <c r="A8" s="108"/>
      <c r="B8" s="109" t="s">
        <v>64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15151.600000000002</v>
      </c>
      <c r="AD8" s="14">
        <f>AC8/AB8*100</f>
        <v>903.763793617656</v>
      </c>
      <c r="AE8" s="95">
        <f t="shared" si="0"/>
        <v>1353.3000000000002</v>
      </c>
      <c r="AF8" s="95">
        <f t="shared" si="0"/>
        <v>12428.9</v>
      </c>
      <c r="AG8" s="95" t="e">
        <f t="shared" si="0"/>
        <v>#DIV/0!</v>
      </c>
      <c r="AH8" s="95">
        <f t="shared" si="0"/>
        <v>1575.5</v>
      </c>
      <c r="AI8" s="95">
        <f t="shared" si="0"/>
        <v>13409.599999999999</v>
      </c>
      <c r="AJ8" s="95">
        <f t="shared" si="0"/>
        <v>4605.3</v>
      </c>
      <c r="AK8" s="95">
        <f t="shared" si="0"/>
        <v>40990.1</v>
      </c>
      <c r="AL8" s="95" t="e">
        <f t="shared" si="0"/>
        <v>#DIV/0!</v>
      </c>
      <c r="AM8" s="95">
        <f t="shared" si="0"/>
        <v>12451.599999999999</v>
      </c>
      <c r="AN8" s="95">
        <f t="shared" si="0"/>
        <v>24047.8</v>
      </c>
      <c r="AO8" s="95">
        <f t="shared" si="0"/>
        <v>0</v>
      </c>
      <c r="AP8" s="95">
        <f t="shared" si="0"/>
        <v>0</v>
      </c>
      <c r="AQ8" s="95" t="e">
        <f t="shared" si="0"/>
        <v>#DIV/0!</v>
      </c>
      <c r="AR8" s="95">
        <f t="shared" si="0"/>
        <v>0</v>
      </c>
      <c r="AS8" s="95">
        <f t="shared" si="0"/>
        <v>0</v>
      </c>
      <c r="AT8" s="95">
        <f>SUM(AT9:AT45)-AT34-AT35-AT36-AT37</f>
        <v>393743.99999999994</v>
      </c>
      <c r="AU8" s="95">
        <f>SUM(AU9:AU45)-AU34-AU35-AU36-AU37</f>
        <v>429566.39999999997</v>
      </c>
      <c r="AV8" s="95">
        <f>AU8/AT8*100</f>
        <v>109.09789101548215</v>
      </c>
      <c r="AW8" s="95">
        <f>SUM(AW9:AW45)-AW34-AW35-AW36-AW37</f>
        <v>-35822.39999999997</v>
      </c>
      <c r="AX8" s="95">
        <f>SUM(AX9:AX45)-AX34-AX35-AX36-AX37</f>
        <v>231921.70000000007</v>
      </c>
      <c r="AY8" s="110">
        <f>M8+Y8+AJ8+AM8</f>
        <v>393743.99999999994</v>
      </c>
      <c r="AZ8" s="110">
        <f>N8+Z8+AK8+AN8</f>
        <v>429566.39999999997</v>
      </c>
      <c r="BA8" s="110">
        <f>C8+AY8-AZ8</f>
        <v>231921.7</v>
      </c>
    </row>
    <row r="9" spans="1:53" ht="34.5" customHeight="1">
      <c r="A9" s="6">
        <v>1</v>
      </c>
      <c r="B9" s="1" t="s">
        <v>29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3" ref="AD9:AD49">AC9/AB9*100</f>
        <v>-322100</v>
      </c>
      <c r="AE9" s="3">
        <v>-26.1</v>
      </c>
      <c r="AF9" s="3">
        <v>773.3</v>
      </c>
      <c r="AG9" s="28">
        <f>AF9/AE9*100</f>
        <v>-2962.8352490421453</v>
      </c>
      <c r="AH9" s="3">
        <v>-0.2</v>
      </c>
      <c r="AI9" s="3">
        <v>1081.5</v>
      </c>
      <c r="AJ9" s="3">
        <f>AB9+AE9+AH9</f>
        <v>-26.7</v>
      </c>
      <c r="AK9" s="3">
        <f>AC9+AF9+AI9</f>
        <v>3143.2</v>
      </c>
      <c r="AL9" s="14">
        <f>AK9/AJ9*100</f>
        <v>-11772.284644194757</v>
      </c>
      <c r="AM9" s="3">
        <v>584.2</v>
      </c>
      <c r="AN9" s="3">
        <v>1050</v>
      </c>
      <c r="AO9" s="3"/>
      <c r="AP9" s="3"/>
      <c r="AQ9" s="14" t="e">
        <f aca="true" t="shared" si="4" ref="AQ9:AQ49">AP9/AO9*100</f>
        <v>#DIV/0!</v>
      </c>
      <c r="AR9" s="3"/>
      <c r="AS9" s="3"/>
      <c r="AT9" s="3">
        <f>M9+Y9+AJ9+AM9+AO9+AR9</f>
        <v>39622.4</v>
      </c>
      <c r="AU9" s="3">
        <f>N9+Z9+AK9+AN9+AP9+AS9</f>
        <v>41446.299999999996</v>
      </c>
      <c r="AV9" s="14">
        <f>AU9/AT9*100</f>
        <v>104.60320424810207</v>
      </c>
      <c r="AW9" s="14">
        <f>AT9-AU9</f>
        <v>-1823.8999999999942</v>
      </c>
      <c r="AX9" s="4">
        <f>C9+AT9-AU9</f>
        <v>31417.400000000016</v>
      </c>
      <c r="AY9" s="110">
        <f aca="true" t="shared" si="5" ref="AY9:AY49">M9+Y9+AJ9+AM9</f>
        <v>39622.4</v>
      </c>
      <c r="AZ9" s="110">
        <f aca="true" t="shared" si="6" ref="AZ9:AZ49">N9+Z9+AK9+AN9</f>
        <v>41446.299999999996</v>
      </c>
      <c r="BA9" s="110">
        <f aca="true" t="shared" si="7" ref="BA9:BA48">C9+AY9-AZ9</f>
        <v>31417.400000000016</v>
      </c>
    </row>
    <row r="10" spans="1:53" ht="34.5" customHeight="1">
      <c r="A10" s="6">
        <v>2</v>
      </c>
      <c r="B10" s="32" t="s">
        <v>30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3"/>
        <v>#DIV/0!</v>
      </c>
      <c r="AE10" s="3">
        <v>0</v>
      </c>
      <c r="AF10" s="3">
        <v>2.3</v>
      </c>
      <c r="AG10" s="28" t="e">
        <f aca="true" t="shared" si="15" ref="AG10:AG16">AF10/AE10*100</f>
        <v>#DIV/0!</v>
      </c>
      <c r="AH10" s="3">
        <v>0</v>
      </c>
      <c r="AI10" s="3">
        <v>7.2</v>
      </c>
      <c r="AJ10" s="3">
        <f>AB10+AE10+AH10</f>
        <v>0</v>
      </c>
      <c r="AK10" s="3">
        <f>AC10+AF10+AI10</f>
        <v>14.1</v>
      </c>
      <c r="AL10" s="14" t="e">
        <f>AK10/AJ10*100</f>
        <v>#DIV/0!</v>
      </c>
      <c r="AM10" s="3">
        <v>0</v>
      </c>
      <c r="AN10" s="3">
        <v>4.4</v>
      </c>
      <c r="AO10" s="3"/>
      <c r="AP10" s="3"/>
      <c r="AQ10" s="14" t="e">
        <f t="shared" si="4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403.30000000000007</v>
      </c>
      <c r="AV10" s="14">
        <f>AU10/AT10*100</f>
        <v>89.84183559812877</v>
      </c>
      <c r="AW10" s="14">
        <f>AT10-AU10</f>
        <v>45.599999999999966</v>
      </c>
      <c r="AX10" s="4">
        <f>C10+AT10-AU10</f>
        <v>93.59999999999997</v>
      </c>
      <c r="AY10" s="110">
        <f t="shared" si="5"/>
        <v>448.90000000000003</v>
      </c>
      <c r="AZ10" s="110">
        <f t="shared" si="6"/>
        <v>403.30000000000007</v>
      </c>
      <c r="BA10" s="110">
        <f t="shared" si="7"/>
        <v>93.59999999999997</v>
      </c>
    </row>
    <row r="11" spans="1:53" ht="34.5" customHeight="1">
      <c r="A11" s="6">
        <v>3</v>
      </c>
      <c r="B11" s="15" t="s">
        <v>31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32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33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3"/>
        <v>-1226.0606060606062</v>
      </c>
      <c r="AE13" s="3">
        <v>0</v>
      </c>
      <c r="AF13" s="3">
        <v>174.9</v>
      </c>
      <c r="AG13" s="28" t="e">
        <f t="shared" si="15"/>
        <v>#DIV/0!</v>
      </c>
      <c r="AH13" s="3">
        <v>0</v>
      </c>
      <c r="AI13" s="3">
        <v>182.6</v>
      </c>
      <c r="AJ13" s="3">
        <f>AB13+AE13+AH13</f>
        <v>-16.5</v>
      </c>
      <c r="AK13" s="3">
        <f>AC13+AF13+AI13</f>
        <v>559.8000000000001</v>
      </c>
      <c r="AL13" s="14">
        <f>AK13/AJ13*100</f>
        <v>-3392.727272727273</v>
      </c>
      <c r="AM13" s="3">
        <v>365.8</v>
      </c>
      <c r="AN13" s="3">
        <v>135.6</v>
      </c>
      <c r="AO13" s="3"/>
      <c r="AP13" s="3"/>
      <c r="AQ13" s="14" t="e">
        <f t="shared" si="4"/>
        <v>#DIV/0!</v>
      </c>
      <c r="AR13" s="3"/>
      <c r="AS13" s="3"/>
      <c r="AT13" s="3">
        <f aca="true" t="shared" si="16" ref="AT13:AU16">M13+Y13+AJ13+AM13+AO13+AR13</f>
        <v>7478.1</v>
      </c>
      <c r="AU13" s="3">
        <f t="shared" si="16"/>
        <v>7717.1</v>
      </c>
      <c r="AV13" s="14">
        <f aca="true" t="shared" si="17" ref="AV13:AV23">AU13/AT13*100</f>
        <v>103.19599898369907</v>
      </c>
      <c r="AW13" s="14">
        <f aca="true" t="shared" si="18" ref="AW13:AW45">AT13-AU13</f>
        <v>-239</v>
      </c>
      <c r="AX13" s="4">
        <f>C13+AT13-AU13</f>
        <v>2105.1000000000004</v>
      </c>
      <c r="AY13" s="110">
        <f t="shared" si="5"/>
        <v>7478.1</v>
      </c>
      <c r="AZ13" s="110">
        <f t="shared" si="6"/>
        <v>7717.1</v>
      </c>
      <c r="BA13" s="110">
        <f t="shared" si="7"/>
        <v>2105.1000000000004</v>
      </c>
    </row>
    <row r="14" spans="1:53" ht="34.5" customHeight="1">
      <c r="A14" s="6">
        <v>6</v>
      </c>
      <c r="B14" s="1" t="s">
        <v>34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3"/>
        <v>#DIV/0!</v>
      </c>
      <c r="AE14" s="3">
        <v>0</v>
      </c>
      <c r="AF14" s="3">
        <v>0.3</v>
      </c>
      <c r="AG14" s="28" t="e">
        <f t="shared" si="15"/>
        <v>#DIV/0!</v>
      </c>
      <c r="AH14" s="3">
        <v>0</v>
      </c>
      <c r="AI14" s="3">
        <v>0.3</v>
      </c>
      <c r="AJ14" s="3">
        <f>AB14+AE14+AH14</f>
        <v>0</v>
      </c>
      <c r="AK14" s="3">
        <f>AC14+AF14+AI14</f>
        <v>1.2</v>
      </c>
      <c r="AL14" s="14" t="e">
        <f>AK14/AJ14*100</f>
        <v>#DIV/0!</v>
      </c>
      <c r="AM14" s="3"/>
      <c r="AN14" s="3"/>
      <c r="AO14" s="3"/>
      <c r="AP14" s="3"/>
      <c r="AQ14" s="28" t="e">
        <f t="shared" si="4"/>
        <v>#DIV/0!</v>
      </c>
      <c r="AR14" s="3"/>
      <c r="AS14" s="3"/>
      <c r="AT14" s="3">
        <f t="shared" si="16"/>
        <v>0</v>
      </c>
      <c r="AU14" s="3">
        <f t="shared" si="16"/>
        <v>4.3</v>
      </c>
      <c r="AV14" s="28" t="e">
        <f>AU14/AT14*100</f>
        <v>#DIV/0!</v>
      </c>
      <c r="AW14" s="14">
        <f>AT14-AU14</f>
        <v>-4.3</v>
      </c>
      <c r="AX14" s="4">
        <f>C14+AT14-AU14</f>
        <v>18.099999999999998</v>
      </c>
      <c r="AY14" s="110">
        <f t="shared" si="5"/>
        <v>0</v>
      </c>
      <c r="AZ14" s="110">
        <f t="shared" si="6"/>
        <v>4.3</v>
      </c>
      <c r="BA14" s="110">
        <f t="shared" si="7"/>
        <v>18.099999999999998</v>
      </c>
    </row>
    <row r="15" spans="1:53" ht="34.5" customHeight="1">
      <c r="A15" s="6">
        <v>7</v>
      </c>
      <c r="B15" s="1" t="s">
        <v>65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35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3"/>
        <v>#DIV/0!</v>
      </c>
      <c r="AE16" s="3">
        <v>0</v>
      </c>
      <c r="AF16" s="3">
        <v>272.2</v>
      </c>
      <c r="AG16" s="28" t="e">
        <f t="shared" si="15"/>
        <v>#DIV/0!</v>
      </c>
      <c r="AH16" s="3">
        <v>-3.8</v>
      </c>
      <c r="AI16" s="3">
        <v>266</v>
      </c>
      <c r="AJ16" s="3">
        <f>AB16+AE16+AH16</f>
        <v>-3.8</v>
      </c>
      <c r="AK16" s="3">
        <f>AC16+AF16+AI16</f>
        <v>923.7</v>
      </c>
      <c r="AL16" s="14">
        <f>AK16/AJ16*100</f>
        <v>-24307.894736842107</v>
      </c>
      <c r="AM16" s="3">
        <v>572.2</v>
      </c>
      <c r="AN16" s="3">
        <v>305</v>
      </c>
      <c r="AO16" s="3"/>
      <c r="AP16" s="3"/>
      <c r="AQ16" s="14" t="e">
        <f t="shared" si="4"/>
        <v>#DIV/0!</v>
      </c>
      <c r="AR16" s="3"/>
      <c r="AS16" s="3"/>
      <c r="AT16" s="3">
        <f t="shared" si="16"/>
        <v>8821.6</v>
      </c>
      <c r="AU16" s="3">
        <f t="shared" si="16"/>
        <v>10286.6</v>
      </c>
      <c r="AV16" s="14">
        <f t="shared" si="17"/>
        <v>116.60696472295275</v>
      </c>
      <c r="AW16" s="14">
        <f t="shared" si="18"/>
        <v>-1465</v>
      </c>
      <c r="AX16" s="4">
        <f>C16+AT16-AU16</f>
        <v>2147.5</v>
      </c>
      <c r="AY16" s="110">
        <f t="shared" si="5"/>
        <v>8821.6</v>
      </c>
      <c r="AZ16" s="110">
        <f t="shared" si="6"/>
        <v>10286.6</v>
      </c>
      <c r="BA16" s="110">
        <f t="shared" si="7"/>
        <v>2147.5</v>
      </c>
    </row>
    <row r="17" spans="1:53" ht="34.5" customHeight="1">
      <c r="A17" s="6">
        <v>9</v>
      </c>
      <c r="B17" s="1" t="s">
        <v>36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37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3"/>
        <v>#DIV/0!</v>
      </c>
      <c r="AE18" s="3">
        <v>0</v>
      </c>
      <c r="AF18" s="3">
        <v>17.9</v>
      </c>
      <c r="AG18" s="28" t="e">
        <f>AF18/AE18*100</f>
        <v>#DIV/0!</v>
      </c>
      <c r="AH18" s="3">
        <v>0</v>
      </c>
      <c r="AI18" s="3">
        <v>5.8</v>
      </c>
      <c r="AJ18" s="3">
        <f aca="true" t="shared" si="20" ref="AJ18:AK20">AB18+AE18+AH18</f>
        <v>0</v>
      </c>
      <c r="AK18" s="3">
        <f t="shared" si="20"/>
        <v>60.9</v>
      </c>
      <c r="AL18" s="14" t="e">
        <f>AK18/AJ18*100</f>
        <v>#DIV/0!</v>
      </c>
      <c r="AM18" s="3">
        <v>0</v>
      </c>
      <c r="AN18" s="3">
        <v>6.8</v>
      </c>
      <c r="AO18" s="3"/>
      <c r="AP18" s="3"/>
      <c r="AQ18" s="28" t="e">
        <f t="shared" si="4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165.20000000000002</v>
      </c>
      <c r="AV18" s="28" t="e">
        <f t="shared" si="17"/>
        <v>#DIV/0!</v>
      </c>
      <c r="AW18" s="14">
        <f t="shared" si="18"/>
        <v>-165.20000000000002</v>
      </c>
      <c r="AX18" s="4">
        <f>C18+AT18-AU18</f>
        <v>1570.5</v>
      </c>
      <c r="AY18" s="110">
        <f t="shared" si="5"/>
        <v>0</v>
      </c>
      <c r="AZ18" s="110">
        <f t="shared" si="6"/>
        <v>165.20000000000002</v>
      </c>
      <c r="BA18" s="110">
        <f t="shared" si="7"/>
        <v>1570.5</v>
      </c>
    </row>
    <row r="19" spans="1:53" ht="34.5" customHeight="1">
      <c r="A19" s="6">
        <v>11</v>
      </c>
      <c r="B19" s="15" t="s">
        <v>38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>
        <v>0</v>
      </c>
      <c r="AC19" s="3">
        <v>0</v>
      </c>
      <c r="AD19" s="14" t="e">
        <f t="shared" si="3"/>
        <v>#DIV/0!</v>
      </c>
      <c r="AE19" s="3">
        <v>0</v>
      </c>
      <c r="AF19" s="3">
        <v>0</v>
      </c>
      <c r="AG19" s="28" t="e">
        <f>AF19/AE19*100</f>
        <v>#DIV/0!</v>
      </c>
      <c r="AH19" s="3">
        <v>0</v>
      </c>
      <c r="AI19" s="3">
        <v>0</v>
      </c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>
        <v>0</v>
      </c>
      <c r="AN19" s="3">
        <v>0</v>
      </c>
      <c r="AO19" s="3"/>
      <c r="AP19" s="3"/>
      <c r="AQ19" s="14" t="e">
        <f t="shared" si="4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39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3"/>
        <v>-2765.1162790697676</v>
      </c>
      <c r="AE20" s="3">
        <v>-33.9</v>
      </c>
      <c r="AF20" s="3">
        <v>106.9</v>
      </c>
      <c r="AG20" s="28">
        <f>AF20/AE20*100</f>
        <v>-315.33923303834814</v>
      </c>
      <c r="AH20" s="3">
        <v>11.8</v>
      </c>
      <c r="AI20" s="3">
        <v>145.3</v>
      </c>
      <c r="AJ20" s="3">
        <f t="shared" si="20"/>
        <v>-26.399999999999995</v>
      </c>
      <c r="AK20" s="3">
        <f t="shared" si="20"/>
        <v>371.1</v>
      </c>
      <c r="AL20" s="14">
        <f>AK20/AJ20*100</f>
        <v>-1405.6818181818185</v>
      </c>
      <c r="AM20" s="3">
        <v>65.1</v>
      </c>
      <c r="AN20" s="3">
        <v>100</v>
      </c>
      <c r="AO20" s="3"/>
      <c r="AP20" s="3"/>
      <c r="AQ20" s="14" t="e">
        <f t="shared" si="4"/>
        <v>#DIV/0!</v>
      </c>
      <c r="AR20" s="3"/>
      <c r="AS20" s="3"/>
      <c r="AT20" s="3">
        <f t="shared" si="21"/>
        <v>3365.9999999999995</v>
      </c>
      <c r="AU20" s="3">
        <f t="shared" si="21"/>
        <v>3785.5000000000005</v>
      </c>
      <c r="AV20" s="14">
        <f t="shared" si="17"/>
        <v>112.4628639334522</v>
      </c>
      <c r="AW20" s="14">
        <f t="shared" si="18"/>
        <v>-419.5000000000009</v>
      </c>
      <c r="AX20" s="4">
        <f>C20+AT20-AU20</f>
        <v>2997.099999999999</v>
      </c>
      <c r="AY20" s="110">
        <f t="shared" si="5"/>
        <v>3365.9999999999995</v>
      </c>
      <c r="AZ20" s="110">
        <f t="shared" si="6"/>
        <v>3785.5000000000005</v>
      </c>
      <c r="BA20" s="110">
        <f t="shared" si="7"/>
        <v>2997.099999999999</v>
      </c>
    </row>
    <row r="21" spans="1:53" ht="34.5" customHeight="1">
      <c r="A21" s="6">
        <v>13</v>
      </c>
      <c r="B21" s="15" t="s">
        <v>40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41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42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3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44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3"/>
        <v>-302633.3333333334</v>
      </c>
      <c r="AE25" s="3">
        <v>-6.6</v>
      </c>
      <c r="AF25" s="3">
        <v>614.3</v>
      </c>
      <c r="AG25" s="28">
        <f>AF25/AE25*100</f>
        <v>-9307.575757575758</v>
      </c>
      <c r="AH25" s="3">
        <v>-10.6</v>
      </c>
      <c r="AI25" s="3">
        <v>729.4</v>
      </c>
      <c r="AJ25" s="3">
        <f>AB25+AE25+AH25</f>
        <v>-17.5</v>
      </c>
      <c r="AK25" s="3">
        <f>AC25+AF25+AI25</f>
        <v>2251.6</v>
      </c>
      <c r="AL25" s="14">
        <f>AK25/AJ25*100</f>
        <v>-12866.285714285716</v>
      </c>
      <c r="AM25" s="3">
        <v>-0.8</v>
      </c>
      <c r="AN25" s="3">
        <v>698.9</v>
      </c>
      <c r="AO25" s="3"/>
      <c r="AP25" s="3"/>
      <c r="AQ25" s="14" t="e">
        <f t="shared" si="4"/>
        <v>#DIV/0!</v>
      </c>
      <c r="AR25" s="3"/>
      <c r="AS25" s="3"/>
      <c r="AT25" s="3">
        <f>M25+Y25+AJ25+AM25+AO25+AR25</f>
        <v>18185.399999999998</v>
      </c>
      <c r="AU25" s="3">
        <f>N25+Z25+AK25+AN25+AP25+AS25</f>
        <v>25096.4</v>
      </c>
      <c r="AV25" s="14">
        <f>AU25/AT25*100</f>
        <v>138.00301340635897</v>
      </c>
      <c r="AW25" s="14">
        <f t="shared" si="18"/>
        <v>-6911.000000000004</v>
      </c>
      <c r="AX25" s="4">
        <f>C25+AT25-AU25</f>
        <v>6143.799999999996</v>
      </c>
      <c r="AY25" s="110">
        <f t="shared" si="5"/>
        <v>18185.399999999998</v>
      </c>
      <c r="AZ25" s="110">
        <f t="shared" si="6"/>
        <v>25096.4</v>
      </c>
      <c r="BA25" s="110">
        <f t="shared" si="7"/>
        <v>6143.799999999996</v>
      </c>
    </row>
    <row r="26" spans="1:53" ht="34.5" customHeight="1">
      <c r="A26" s="6">
        <v>18</v>
      </c>
      <c r="B26" s="1" t="s">
        <v>45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46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3"/>
        <v>-17466.666666666664</v>
      </c>
      <c r="AE27" s="3">
        <v>-3.3</v>
      </c>
      <c r="AF27" s="3">
        <v>28.4</v>
      </c>
      <c r="AG27" s="28">
        <f>AF27/AE27*100</f>
        <v>-860.6060606060605</v>
      </c>
      <c r="AH27" s="3">
        <v>0</v>
      </c>
      <c r="AI27" s="3">
        <v>35.9</v>
      </c>
      <c r="AJ27" s="3">
        <f>AB27+AE27+AH27</f>
        <v>-3.5999999999999996</v>
      </c>
      <c r="AK27" s="3">
        <f>AC27+AF27+AI27</f>
        <v>116.69999999999999</v>
      </c>
      <c r="AL27" s="14">
        <f aca="true" t="shared" si="23" ref="AL27:AL37">AK27/AJ27*100</f>
        <v>-3241.6666666666665</v>
      </c>
      <c r="AM27" s="3">
        <v>0</v>
      </c>
      <c r="AN27" s="3">
        <v>32.5</v>
      </c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1811.6999999999998</v>
      </c>
      <c r="AU27" s="3">
        <f>N27+Z27+AK27+AN27+AP27+AS27</f>
        <v>1404.5</v>
      </c>
      <c r="AV27" s="14">
        <f>AU27/AT27*100</f>
        <v>77.52387260583983</v>
      </c>
      <c r="AW27" s="14">
        <f t="shared" si="18"/>
        <v>407.1999999999998</v>
      </c>
      <c r="AX27" s="4">
        <f>C27+AT27-AU27</f>
        <v>1572.6999999999998</v>
      </c>
      <c r="AY27" s="110">
        <f t="shared" si="5"/>
        <v>1811.6999999999998</v>
      </c>
      <c r="AZ27" s="110">
        <f t="shared" si="6"/>
        <v>1404.5</v>
      </c>
      <c r="BA27" s="110">
        <f t="shared" si="7"/>
        <v>1572.6999999999998</v>
      </c>
    </row>
    <row r="28" spans="1:53" ht="34.5" customHeight="1">
      <c r="A28" s="6">
        <v>20</v>
      </c>
      <c r="B28" s="15" t="s">
        <v>47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435.4</v>
      </c>
      <c r="AD28" s="28" t="e">
        <f t="shared" si="3"/>
        <v>#DIV/0!</v>
      </c>
      <c r="AE28" s="3">
        <v>0</v>
      </c>
      <c r="AF28" s="3">
        <v>230</v>
      </c>
      <c r="AG28" s="28" t="e">
        <f>AF28/AE28*100</f>
        <v>#DIV/0!</v>
      </c>
      <c r="AH28" s="3">
        <v>0</v>
      </c>
      <c r="AI28" s="3">
        <v>276.1</v>
      </c>
      <c r="AJ28" s="3">
        <f>AB28+AE28+AH28</f>
        <v>0</v>
      </c>
      <c r="AK28" s="3">
        <f>AC28+AF28+AI28</f>
        <v>941.5</v>
      </c>
      <c r="AL28" s="14" t="e">
        <f t="shared" si="23"/>
        <v>#DIV/0!</v>
      </c>
      <c r="AM28" s="3">
        <v>111.7</v>
      </c>
      <c r="AN28" s="3">
        <v>373.6</v>
      </c>
      <c r="AO28" s="3"/>
      <c r="AP28" s="3"/>
      <c r="AQ28" s="14" t="e">
        <f t="shared" si="4"/>
        <v>#DIV/0!</v>
      </c>
      <c r="AR28" s="3"/>
      <c r="AS28" s="3"/>
      <c r="AT28" s="3">
        <f>M28+Y28+AJ28+AM28+AO28+AR28</f>
        <v>9075.500000000002</v>
      </c>
      <c r="AU28" s="3">
        <f>N28+Z28+AK28+AN28+AP28+AS28</f>
        <v>9392.6</v>
      </c>
      <c r="AV28" s="14">
        <f>AU28/AT28*100</f>
        <v>103.4940223679136</v>
      </c>
      <c r="AW28" s="14">
        <f t="shared" si="18"/>
        <v>-317.09999999999854</v>
      </c>
      <c r="AX28" s="4">
        <f>C28+AT28-AU28</f>
        <v>6736.6</v>
      </c>
      <c r="AY28" s="110">
        <f t="shared" si="5"/>
        <v>9075.500000000002</v>
      </c>
      <c r="AZ28" s="110">
        <f t="shared" si="6"/>
        <v>9392.6</v>
      </c>
      <c r="BA28" s="110">
        <f t="shared" si="7"/>
        <v>6736.6</v>
      </c>
    </row>
    <row r="29" spans="1:53" ht="34.5" customHeight="1">
      <c r="A29" s="6">
        <v>21</v>
      </c>
      <c r="B29" s="102" t="s">
        <v>48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49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50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51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52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45" t="e">
        <f t="shared" si="24"/>
        <v>#DIV/0!</v>
      </c>
      <c r="AB33" s="45">
        <f t="shared" si="24"/>
        <v>-17.2</v>
      </c>
      <c r="AC33" s="45">
        <f t="shared" si="24"/>
        <v>616.8</v>
      </c>
      <c r="AD33" s="14">
        <f t="shared" si="3"/>
        <v>-3586.0465116279065</v>
      </c>
      <c r="AE33" s="45">
        <f t="shared" si="24"/>
        <v>-34.9</v>
      </c>
      <c r="AF33" s="45">
        <f t="shared" si="24"/>
        <v>499.5</v>
      </c>
      <c r="AG33" s="45" t="e">
        <f t="shared" si="24"/>
        <v>#DIV/0!</v>
      </c>
      <c r="AH33" s="45">
        <f t="shared" si="24"/>
        <v>-32.8</v>
      </c>
      <c r="AI33" s="45">
        <f t="shared" si="24"/>
        <v>692.2</v>
      </c>
      <c r="AJ33" s="45">
        <f t="shared" si="24"/>
        <v>-84.89999999999999</v>
      </c>
      <c r="AK33" s="45">
        <f t="shared" si="24"/>
        <v>1808.5</v>
      </c>
      <c r="AL33" s="45" t="e">
        <f t="shared" si="24"/>
        <v>#DIV/0!</v>
      </c>
      <c r="AM33" s="45">
        <f t="shared" si="24"/>
        <v>-19.8</v>
      </c>
      <c r="AN33" s="45">
        <f t="shared" si="24"/>
        <v>426.2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12450.900000000001</v>
      </c>
      <c r="AU33" s="45">
        <f t="shared" si="24"/>
        <v>14915.900000000001</v>
      </c>
      <c r="AV33" s="14">
        <f>AU33/AT33*100</f>
        <v>119.79776562336859</v>
      </c>
      <c r="AW33" s="45">
        <f t="shared" si="24"/>
        <v>-2465</v>
      </c>
      <c r="AX33" s="45">
        <f t="shared" si="24"/>
        <v>5236.299999999999</v>
      </c>
      <c r="AY33" s="110">
        <f t="shared" si="5"/>
        <v>12450.900000000001</v>
      </c>
      <c r="AZ33" s="110">
        <f t="shared" si="6"/>
        <v>14915.900000000001</v>
      </c>
      <c r="BA33" s="110">
        <f t="shared" si="7"/>
        <v>5236.299999999999</v>
      </c>
    </row>
    <row r="34" spans="1:53" ht="34.5" customHeight="1">
      <c r="A34" s="6"/>
      <c r="B34" s="15" t="s">
        <v>77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28" t="e">
        <f>Z34/Y34*100</f>
        <v>#DIV/0!</v>
      </c>
      <c r="AB34" s="94"/>
      <c r="AC34" s="94"/>
      <c r="AD34" s="28" t="e">
        <f t="shared" si="3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4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23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3"/>
        <v>-3586.0465116279065</v>
      </c>
      <c r="AE35" s="3">
        <v>-34.9</v>
      </c>
      <c r="AF35" s="3">
        <f>444+55.5</f>
        <v>499.5</v>
      </c>
      <c r="AG35" s="28"/>
      <c r="AH35" s="3">
        <v>-32.8</v>
      </c>
      <c r="AI35" s="3">
        <v>692.2</v>
      </c>
      <c r="AJ35" s="3">
        <f aca="true" t="shared" si="29" ref="AJ35:AK37">AB35+AE35+AH35</f>
        <v>-84.89999999999999</v>
      </c>
      <c r="AK35" s="3">
        <f t="shared" si="29"/>
        <v>1808.5</v>
      </c>
      <c r="AL35" s="14">
        <f t="shared" si="23"/>
        <v>-2130.1531213191993</v>
      </c>
      <c r="AM35" s="3">
        <v>-19.8</v>
      </c>
      <c r="AN35" s="3">
        <v>426.2</v>
      </c>
      <c r="AO35" s="3"/>
      <c r="AP35" s="3"/>
      <c r="AQ35" s="14" t="e">
        <f t="shared" si="4"/>
        <v>#DIV/0!</v>
      </c>
      <c r="AR35" s="3"/>
      <c r="AS35" s="3"/>
      <c r="AT35" s="3">
        <f>M35+Y35+AJ35+AM35+AO35+AR35</f>
        <v>12450.900000000001</v>
      </c>
      <c r="AU35" s="3">
        <f>N35+Z35+AK35+AN35+AP35+AS35</f>
        <v>14915.900000000001</v>
      </c>
      <c r="AV35" s="14">
        <f>AU35/AT35*100</f>
        <v>119.79776562336859</v>
      </c>
      <c r="AW35" s="14">
        <f>AT35-AU35</f>
        <v>-2465</v>
      </c>
      <c r="AX35" s="4">
        <f t="shared" si="28"/>
        <v>5236.299999999999</v>
      </c>
      <c r="AY35" s="110">
        <f t="shared" si="5"/>
        <v>12450.900000000001</v>
      </c>
      <c r="AZ35" s="110">
        <f t="shared" si="6"/>
        <v>14915.900000000001</v>
      </c>
      <c r="BA35" s="110">
        <f t="shared" si="7"/>
        <v>5236.299999999999</v>
      </c>
    </row>
    <row r="36" spans="1:53" ht="34.5" customHeight="1" hidden="1">
      <c r="A36" s="6"/>
      <c r="B36" s="15" t="s">
        <v>25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67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53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3"/>
        <v>#DIV/0!</v>
      </c>
      <c r="AE38" s="3">
        <v>0</v>
      </c>
      <c r="AF38" s="3">
        <v>371.6</v>
      </c>
      <c r="AG38" s="28" t="e">
        <f>AF38/AE38*100</f>
        <v>#DIV/0!</v>
      </c>
      <c r="AH38" s="3">
        <v>-83.6</v>
      </c>
      <c r="AI38" s="3">
        <v>428.4</v>
      </c>
      <c r="AJ38" s="3">
        <f>AB38+AE38+AH38</f>
        <v>-83.6</v>
      </c>
      <c r="AK38" s="3">
        <f>AC38+AF38+AI38</f>
        <v>1290.3000000000002</v>
      </c>
      <c r="AL38" s="14">
        <f aca="true" t="shared" si="37" ref="AL38:AL47">AK38/AJ38*100</f>
        <v>-1543.4210526315792</v>
      </c>
      <c r="AM38" s="3">
        <v>4.7</v>
      </c>
      <c r="AN38" s="3">
        <v>321.3</v>
      </c>
      <c r="AO38" s="3"/>
      <c r="AP38" s="3"/>
      <c r="AQ38" s="14" t="e">
        <f t="shared" si="4"/>
        <v>#DIV/0!</v>
      </c>
      <c r="AR38" s="3"/>
      <c r="AS38" s="3"/>
      <c r="AT38" s="3">
        <f>M38+Y38+AJ38+AM38+AO38+AR38</f>
        <v>12820</v>
      </c>
      <c r="AU38" s="3">
        <f>N38+Z38+AK38+AN38+AP38+AS38</f>
        <v>13050.3</v>
      </c>
      <c r="AV38" s="14">
        <f aca="true" t="shared" si="38" ref="AV38:AV47">AU38/AT38*100</f>
        <v>101.79641185647425</v>
      </c>
      <c r="AW38" s="14">
        <f t="shared" si="18"/>
        <v>-230.29999999999927</v>
      </c>
      <c r="AX38" s="4">
        <f t="shared" si="28"/>
        <v>8164.600000000002</v>
      </c>
      <c r="AY38" s="110">
        <f t="shared" si="5"/>
        <v>12820</v>
      </c>
      <c r="AZ38" s="110">
        <f t="shared" si="6"/>
        <v>13050.3</v>
      </c>
      <c r="BA38" s="110">
        <f t="shared" si="7"/>
        <v>8164.600000000002</v>
      </c>
    </row>
    <row r="39" spans="1:53" ht="34.5" customHeight="1">
      <c r="A39" s="6">
        <v>27</v>
      </c>
      <c r="B39" s="105" t="s">
        <v>54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55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3"/>
        <v>396.63069228744405</v>
      </c>
      <c r="AE40" s="3">
        <v>381</v>
      </c>
      <c r="AF40" s="3">
        <v>1155.6</v>
      </c>
      <c r="AG40" s="28">
        <f aca="true" t="shared" si="39" ref="AG40:AG45">AF40/AE40*100</f>
        <v>303.3070866141732</v>
      </c>
      <c r="AH40" s="3">
        <v>382.3</v>
      </c>
      <c r="AI40" s="3">
        <v>1130.4</v>
      </c>
      <c r="AJ40" s="3">
        <f aca="true" t="shared" si="40" ref="AJ40:AK42">AB40+AE40+AH40</f>
        <v>1143.2</v>
      </c>
      <c r="AK40" s="3">
        <f t="shared" si="40"/>
        <v>3792.7999999999997</v>
      </c>
      <c r="AL40" s="14">
        <f t="shared" si="37"/>
        <v>331.7704688593422</v>
      </c>
      <c r="AM40" s="3">
        <v>2732.1</v>
      </c>
      <c r="AN40" s="3">
        <v>12873.3</v>
      </c>
      <c r="AO40" s="3"/>
      <c r="AP40" s="3"/>
      <c r="AQ40" s="14" t="e">
        <f t="shared" si="4"/>
        <v>#DIV/0!</v>
      </c>
      <c r="AR40" s="3"/>
      <c r="AS40" s="3"/>
      <c r="AT40" s="3">
        <f aca="true" t="shared" si="41" ref="AT40:AU42">M40+Y40+AJ40+AM40+AO40+AR40</f>
        <v>44465.9</v>
      </c>
      <c r="AU40" s="3">
        <f t="shared" si="41"/>
        <v>55801</v>
      </c>
      <c r="AV40" s="14">
        <f t="shared" si="38"/>
        <v>125.49166889684005</v>
      </c>
      <c r="AW40" s="14">
        <f t="shared" si="18"/>
        <v>-11335.099999999999</v>
      </c>
      <c r="AX40" s="4">
        <f t="shared" si="28"/>
        <v>14115.800000000003</v>
      </c>
      <c r="AY40" s="110">
        <f t="shared" si="5"/>
        <v>44465.9</v>
      </c>
      <c r="AZ40" s="110">
        <f t="shared" si="6"/>
        <v>55801</v>
      </c>
      <c r="BA40" s="110">
        <f t="shared" si="7"/>
        <v>14115.800000000003</v>
      </c>
    </row>
    <row r="41" spans="1:53" ht="34.5" customHeight="1">
      <c r="A41" s="6">
        <v>29</v>
      </c>
      <c r="B41" s="106" t="s">
        <v>56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3"/>
        <v>-48796</v>
      </c>
      <c r="AE41" s="3">
        <v>-253.1</v>
      </c>
      <c r="AF41" s="3">
        <v>997.7</v>
      </c>
      <c r="AG41" s="28">
        <f t="shared" si="39"/>
        <v>-394.19201896483605</v>
      </c>
      <c r="AH41" s="3">
        <v>-0.9</v>
      </c>
      <c r="AI41" s="3">
        <v>1046.9</v>
      </c>
      <c r="AJ41" s="3">
        <f t="shared" si="40"/>
        <v>-256.5</v>
      </c>
      <c r="AK41" s="3">
        <f t="shared" si="40"/>
        <v>3264.5000000000005</v>
      </c>
      <c r="AL41" s="14">
        <f t="shared" si="37"/>
        <v>-1272.7095516569202</v>
      </c>
      <c r="AM41" s="3">
        <v>0.4</v>
      </c>
      <c r="AN41" s="3">
        <v>855.9</v>
      </c>
      <c r="AO41" s="3"/>
      <c r="AP41" s="3"/>
      <c r="AQ41" s="14" t="e">
        <f t="shared" si="4"/>
        <v>#DIV/0!</v>
      </c>
      <c r="AR41" s="3"/>
      <c r="AS41" s="3"/>
      <c r="AT41" s="3">
        <f t="shared" si="41"/>
        <v>37120.8</v>
      </c>
      <c r="AU41" s="3">
        <f t="shared" si="41"/>
        <v>32547.9</v>
      </c>
      <c r="AV41" s="14">
        <f t="shared" si="38"/>
        <v>87.68103058123748</v>
      </c>
      <c r="AW41" s="14">
        <f t="shared" si="18"/>
        <v>4572.9000000000015</v>
      </c>
      <c r="AX41" s="4">
        <f t="shared" si="28"/>
        <v>26262.4</v>
      </c>
      <c r="AY41" s="110">
        <f t="shared" si="5"/>
        <v>37120.8</v>
      </c>
      <c r="AZ41" s="110">
        <f t="shared" si="6"/>
        <v>32547.9</v>
      </c>
      <c r="BA41" s="110">
        <f t="shared" si="7"/>
        <v>26262.4</v>
      </c>
    </row>
    <row r="42" spans="1:53" ht="34.5" customHeight="1">
      <c r="A42" s="6">
        <v>30</v>
      </c>
      <c r="B42" s="106" t="s">
        <v>57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3"/>
        <v>-22350.625</v>
      </c>
      <c r="AE42" s="3">
        <v>-21.7</v>
      </c>
      <c r="AF42" s="3">
        <v>2933.5</v>
      </c>
      <c r="AG42" s="28">
        <f t="shared" si="39"/>
        <v>-13518.433179723503</v>
      </c>
      <c r="AH42" s="3">
        <v>-23.5</v>
      </c>
      <c r="AI42" s="3">
        <v>3007.1</v>
      </c>
      <c r="AJ42" s="3">
        <f t="shared" si="40"/>
        <v>-61.2</v>
      </c>
      <c r="AK42" s="3">
        <f t="shared" si="40"/>
        <v>9516.7</v>
      </c>
      <c r="AL42" s="14">
        <f t="shared" si="37"/>
        <v>-15550.163398692812</v>
      </c>
      <c r="AM42" s="3">
        <v>4118</v>
      </c>
      <c r="AN42" s="3">
        <v>2943.3</v>
      </c>
      <c r="AO42" s="3"/>
      <c r="AP42" s="3"/>
      <c r="AQ42" s="14" t="e">
        <f t="shared" si="4"/>
        <v>#DIV/0!</v>
      </c>
      <c r="AR42" s="3"/>
      <c r="AS42" s="3"/>
      <c r="AT42" s="3">
        <f t="shared" si="41"/>
        <v>103209.00000000001</v>
      </c>
      <c r="AU42" s="3">
        <f t="shared" si="41"/>
        <v>110070.9</v>
      </c>
      <c r="AV42" s="14">
        <f t="shared" si="38"/>
        <v>106.64854809173616</v>
      </c>
      <c r="AW42" s="14">
        <f t="shared" si="18"/>
        <v>-6861.89999999998</v>
      </c>
      <c r="AX42" s="4">
        <f>C42+AT42-AU42</f>
        <v>77777.70000000004</v>
      </c>
      <c r="AY42" s="110">
        <f t="shared" si="5"/>
        <v>103209.00000000001</v>
      </c>
      <c r="AZ42" s="110">
        <f t="shared" si="6"/>
        <v>110070.9</v>
      </c>
      <c r="BA42" s="110">
        <f t="shared" si="7"/>
        <v>77777.70000000004</v>
      </c>
    </row>
    <row r="43" spans="1:53" ht="34.5" customHeight="1">
      <c r="A43" s="6">
        <v>31</v>
      </c>
      <c r="B43" s="106" t="s">
        <v>58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59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14">
        <f t="shared" si="36"/>
        <v>1320.2799877600978</v>
      </c>
      <c r="AB44" s="3">
        <v>0</v>
      </c>
      <c r="AC44" s="3">
        <v>1933</v>
      </c>
      <c r="AD44" s="28" t="e">
        <f t="shared" si="3"/>
        <v>#DIV/0!</v>
      </c>
      <c r="AE44" s="3">
        <v>0</v>
      </c>
      <c r="AF44" s="3">
        <v>2089.5</v>
      </c>
      <c r="AG44" s="28" t="e">
        <f t="shared" si="39"/>
        <v>#DIV/0!</v>
      </c>
      <c r="AH44" s="3">
        <v>0</v>
      </c>
      <c r="AI44" s="3">
        <v>2124.1</v>
      </c>
      <c r="AJ44" s="3">
        <f>AB44+AE44+AH44</f>
        <v>0</v>
      </c>
      <c r="AK44" s="3">
        <f>AC44+AF44+AI44</f>
        <v>6146.6</v>
      </c>
      <c r="AL44" s="28" t="e">
        <f t="shared" si="37"/>
        <v>#DIV/0!</v>
      </c>
      <c r="AM44" s="3">
        <v>1534.2</v>
      </c>
      <c r="AN44" s="3">
        <v>1830.9</v>
      </c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49675.7</v>
      </c>
      <c r="AU44" s="3">
        <f>N44+Z44+AK44+AN44+AP44+AS44</f>
        <v>53809.3</v>
      </c>
      <c r="AV44" s="14">
        <f t="shared" si="38"/>
        <v>108.32117111585747</v>
      </c>
      <c r="AW44" s="14">
        <f t="shared" si="18"/>
        <v>-4133.600000000006</v>
      </c>
      <c r="AX44" s="4">
        <f t="shared" si="28"/>
        <v>31469.800000000003</v>
      </c>
      <c r="AY44" s="110">
        <f t="shared" si="5"/>
        <v>49675.7</v>
      </c>
      <c r="AZ44" s="110">
        <f t="shared" si="6"/>
        <v>53809.3</v>
      </c>
      <c r="BA44" s="110">
        <f t="shared" si="7"/>
        <v>31469.800000000003</v>
      </c>
    </row>
    <row r="45" spans="1:53" ht="34.5" customHeight="1">
      <c r="A45" s="6">
        <v>33</v>
      </c>
      <c r="B45" s="106" t="s">
        <v>60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3"/>
        <v>175.4301750240012</v>
      </c>
      <c r="AE45" s="3">
        <v>1351.9</v>
      </c>
      <c r="AF45" s="3">
        <v>2161</v>
      </c>
      <c r="AG45" s="28">
        <f t="shared" si="39"/>
        <v>159.84910126488646</v>
      </c>
      <c r="AH45" s="3">
        <v>1336.8</v>
      </c>
      <c r="AI45" s="3">
        <v>2250.4</v>
      </c>
      <c r="AJ45" s="3">
        <f>AB45+AE45+AH45</f>
        <v>4042.8</v>
      </c>
      <c r="AK45" s="3">
        <f>AC45+AF45+AI45</f>
        <v>6786.9</v>
      </c>
      <c r="AL45" s="14">
        <f t="shared" si="37"/>
        <v>167.8762243989314</v>
      </c>
      <c r="AM45" s="3">
        <v>2383.8</v>
      </c>
      <c r="AN45" s="3">
        <v>2090.1</v>
      </c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44974.3</v>
      </c>
      <c r="AU45" s="3">
        <f>N45+Z45+AK45+AN45+AP45+AS45</f>
        <v>49440.9</v>
      </c>
      <c r="AV45" s="14">
        <f t="shared" si="38"/>
        <v>109.9314497390732</v>
      </c>
      <c r="AW45" s="14">
        <f t="shared" si="18"/>
        <v>-4466.5999999999985</v>
      </c>
      <c r="AX45" s="4">
        <f t="shared" si="28"/>
        <v>14075.300000000003</v>
      </c>
      <c r="AY45" s="110">
        <f t="shared" si="5"/>
        <v>44974.3</v>
      </c>
      <c r="AZ45" s="110">
        <f t="shared" si="6"/>
        <v>49440.9</v>
      </c>
      <c r="BA45" s="110">
        <f t="shared" si="7"/>
        <v>14075.300000000003</v>
      </c>
    </row>
    <row r="46" spans="1:53" s="8" customFormat="1" ht="34.5" customHeight="1">
      <c r="A46" s="38">
        <v>34</v>
      </c>
      <c r="B46" s="16" t="s">
        <v>61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3"/>
        <v>207.65252327943085</v>
      </c>
      <c r="AE46" s="45">
        <f>AE47</f>
        <v>89334</v>
      </c>
      <c r="AF46" s="45">
        <f>AF47</f>
        <v>150603</v>
      </c>
      <c r="AG46" s="28">
        <f>AF46/AE46*100</f>
        <v>168.58418967022635</v>
      </c>
      <c r="AH46" s="45">
        <f>AH47</f>
        <v>80457</v>
      </c>
      <c r="AI46" s="45">
        <f>AI47</f>
        <v>160063</v>
      </c>
      <c r="AJ46" s="45">
        <f>AJ47</f>
        <v>259892</v>
      </c>
      <c r="AK46" s="45">
        <f>AK47</f>
        <v>497763</v>
      </c>
      <c r="AL46" s="14">
        <f t="shared" si="37"/>
        <v>191.5268650054638</v>
      </c>
      <c r="AM46" s="45">
        <f aca="true" t="shared" si="42" ref="AM46:AU46">AM47</f>
        <v>123735</v>
      </c>
      <c r="AN46" s="45">
        <f t="shared" si="42"/>
        <v>164784</v>
      </c>
      <c r="AO46" s="45">
        <f t="shared" si="42"/>
        <v>0</v>
      </c>
      <c r="AP46" s="45">
        <f t="shared" si="42"/>
        <v>0</v>
      </c>
      <c r="AQ46" s="14" t="e">
        <f t="shared" si="4"/>
        <v>#DIV/0!</v>
      </c>
      <c r="AR46" s="45">
        <f t="shared" si="42"/>
        <v>0</v>
      </c>
      <c r="AS46" s="45">
        <f t="shared" si="42"/>
        <v>0</v>
      </c>
      <c r="AT46" s="45">
        <f t="shared" si="42"/>
        <v>3548974</v>
      </c>
      <c r="AU46" s="45">
        <f t="shared" si="42"/>
        <v>3643306</v>
      </c>
      <c r="AV46" s="14">
        <f t="shared" si="38"/>
        <v>102.6580076382639</v>
      </c>
      <c r="AW46" s="46">
        <f>AW47</f>
        <v>-94332</v>
      </c>
      <c r="AX46" s="46">
        <f>AX47</f>
        <v>2351055</v>
      </c>
      <c r="AY46" s="110">
        <f t="shared" si="5"/>
        <v>3548974</v>
      </c>
      <c r="AZ46" s="110">
        <f t="shared" si="6"/>
        <v>3643306</v>
      </c>
      <c r="BA46" s="110">
        <f t="shared" si="7"/>
        <v>2351055</v>
      </c>
    </row>
    <row r="47" spans="1:53" s="8" customFormat="1" ht="34.5" customHeight="1">
      <c r="A47" s="38"/>
      <c r="B47" s="1" t="s">
        <v>66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3"/>
        <v>207.65252327943085</v>
      </c>
      <c r="AE47" s="3">
        <f>88986+348</f>
        <v>89334</v>
      </c>
      <c r="AF47" s="3">
        <f>149886+717</f>
        <v>150603</v>
      </c>
      <c r="AG47" s="28">
        <f>AF47/AE47*100</f>
        <v>168.58418967022635</v>
      </c>
      <c r="AH47" s="3">
        <f>79963+494</f>
        <v>80457</v>
      </c>
      <c r="AI47" s="3">
        <f>159469+594</f>
        <v>160063</v>
      </c>
      <c r="AJ47" s="3">
        <f>AB47+AE47+AH47</f>
        <v>259892</v>
      </c>
      <c r="AK47" s="3">
        <f>AC47+AF47+AI47</f>
        <v>497763</v>
      </c>
      <c r="AL47" s="14">
        <f t="shared" si="37"/>
        <v>191.5268650054638</v>
      </c>
      <c r="AM47" s="3">
        <f>122796+939</f>
        <v>123735</v>
      </c>
      <c r="AN47" s="3">
        <f>164099+685</f>
        <v>164784</v>
      </c>
      <c r="AO47" s="3"/>
      <c r="AP47" s="3"/>
      <c r="AQ47" s="14" t="e">
        <f t="shared" si="4"/>
        <v>#DIV/0!</v>
      </c>
      <c r="AR47" s="3"/>
      <c r="AS47" s="3"/>
      <c r="AT47" s="3">
        <f>M47+Y47+AJ47+AM47+AO47+AR47</f>
        <v>3548974</v>
      </c>
      <c r="AU47" s="3">
        <f>N47+Z47+AK47+AN47+AP47+AS47</f>
        <v>3643306</v>
      </c>
      <c r="AV47" s="14">
        <f t="shared" si="38"/>
        <v>102.6580076382639</v>
      </c>
      <c r="AW47" s="14">
        <f>AT47-AU47</f>
        <v>-94332</v>
      </c>
      <c r="AX47" s="4">
        <f>C47+AT47-AU47</f>
        <v>2351055</v>
      </c>
      <c r="AY47" s="110">
        <f t="shared" si="5"/>
        <v>3548974</v>
      </c>
      <c r="AZ47" s="110">
        <f t="shared" si="6"/>
        <v>3643306</v>
      </c>
      <c r="BA47" s="110">
        <f t="shared" si="7"/>
        <v>2351055</v>
      </c>
    </row>
    <row r="48" spans="1:53" s="8" customFormat="1" ht="34.5" customHeight="1">
      <c r="A48" s="38"/>
      <c r="B48" s="1" t="s">
        <v>67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4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62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202248.6</v>
      </c>
      <c r="AD49" s="14">
        <f t="shared" si="3"/>
        <v>220.36839094549316</v>
      </c>
      <c r="AE49" s="4">
        <f>AE8+AE46</f>
        <v>90687.3</v>
      </c>
      <c r="AF49" s="4">
        <f>AF8+AF46</f>
        <v>163031.9</v>
      </c>
      <c r="AG49" s="28">
        <f>AF49/AE49*100</f>
        <v>179.7736838565047</v>
      </c>
      <c r="AH49" s="4">
        <f>AH8+AH46</f>
        <v>82032.5</v>
      </c>
      <c r="AI49" s="4">
        <f>AI8+AI46</f>
        <v>173472.6</v>
      </c>
      <c r="AJ49" s="4">
        <f>AJ8+AJ46</f>
        <v>264497.3</v>
      </c>
      <c r="AK49" s="4">
        <f>AK8+AK46</f>
        <v>538753.1</v>
      </c>
      <c r="AL49" s="14">
        <f>AK49/AJ49*100</f>
        <v>203.6894516503571</v>
      </c>
      <c r="AM49" s="4">
        <f>AM8+AM46</f>
        <v>136186.6</v>
      </c>
      <c r="AN49" s="4">
        <f>AN8+AN46</f>
        <v>188831.8</v>
      </c>
      <c r="AO49" s="4">
        <f>AO8+AO46</f>
        <v>0</v>
      </c>
      <c r="AP49" s="4">
        <f>AP8+AP46</f>
        <v>0</v>
      </c>
      <c r="AQ49" s="14" t="e">
        <f t="shared" si="4"/>
        <v>#DIV/0!</v>
      </c>
      <c r="AR49" s="4">
        <f>AR8+AR46</f>
        <v>0</v>
      </c>
      <c r="AS49" s="4">
        <f>AS8+AS46</f>
        <v>0</v>
      </c>
      <c r="AT49" s="4">
        <f>AT8+AT46</f>
        <v>3942718</v>
      </c>
      <c r="AU49" s="4">
        <f>AU8+AU46</f>
        <v>4072872.4</v>
      </c>
      <c r="AV49" s="14">
        <f>AU49/AT49*100</f>
        <v>103.30113388784082</v>
      </c>
      <c r="AW49" s="46">
        <f>AW8+AW46</f>
        <v>-130154.39999999997</v>
      </c>
      <c r="AX49" s="46">
        <f>AX8+AX46</f>
        <v>2582976.7</v>
      </c>
      <c r="AY49" s="110">
        <f t="shared" si="5"/>
        <v>3942718</v>
      </c>
      <c r="AZ49" s="110">
        <f t="shared" si="6"/>
        <v>4072872.4</v>
      </c>
      <c r="BA49" s="110">
        <f>C49+AY49-AZ49</f>
        <v>2582976.6999999997</v>
      </c>
    </row>
    <row r="50" spans="1:50" s="120" customFormat="1" ht="51.75" customHeight="1">
      <c r="A50" s="233" t="s">
        <v>68</v>
      </c>
      <c r="B50" s="233"/>
      <c r="C50" s="23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69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43" t="s">
        <v>17</v>
      </c>
      <c r="B54" s="243"/>
      <c r="C54" s="24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42" t="s">
        <v>19</v>
      </c>
      <c r="C56" s="242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29499.2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3029.499999999999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AJ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49" sqref="AY4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</row>
    <row r="2" spans="2:59" s="30" customFormat="1" ht="60" customHeight="1">
      <c r="B2" s="227" t="s">
        <v>90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7"/>
      <c r="C4" s="237"/>
      <c r="AW4" s="11" t="s">
        <v>28</v>
      </c>
    </row>
    <row r="5" spans="1:59" ht="54.7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9" t="s">
        <v>74</v>
      </c>
      <c r="K5" s="240"/>
      <c r="L5" s="241"/>
      <c r="M5" s="230" t="s">
        <v>76</v>
      </c>
      <c r="N5" s="231"/>
      <c r="O5" s="232"/>
      <c r="P5" s="230" t="s">
        <v>75</v>
      </c>
      <c r="Q5" s="231"/>
      <c r="R5" s="232"/>
      <c r="S5" s="239" t="s">
        <v>78</v>
      </c>
      <c r="T5" s="240"/>
      <c r="U5" s="241"/>
      <c r="V5" s="239" t="s">
        <v>79</v>
      </c>
      <c r="W5" s="240"/>
      <c r="X5" s="241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64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8">AC7/AB7*100</f>
        <v>100.9785647716682</v>
      </c>
      <c r="AE7" s="95">
        <f t="shared" si="0"/>
        <v>224.89999999999998</v>
      </c>
      <c r="AF7" s="95">
        <f t="shared" si="0"/>
        <v>264.09999999999997</v>
      </c>
      <c r="AG7" s="95" t="e">
        <f t="shared" si="0"/>
        <v>#DIV/0!</v>
      </c>
      <c r="AH7" s="95">
        <f t="shared" si="0"/>
        <v>234.2</v>
      </c>
      <c r="AI7" s="95">
        <f t="shared" si="0"/>
        <v>11.8</v>
      </c>
      <c r="AJ7" s="95">
        <f>SUM(AJ8:AJ44)-AJ33-AJ34-AJ35-AJ36</f>
        <v>673.6999999999999</v>
      </c>
      <c r="AK7" s="95">
        <f>SUM(AK8:AK44)-AK33-AK34-AK35-AK36</f>
        <v>492.6</v>
      </c>
      <c r="AL7" s="95">
        <f t="shared" si="0"/>
        <v>0</v>
      </c>
      <c r="AM7" s="95">
        <f t="shared" si="0"/>
        <v>1.6</v>
      </c>
      <c r="AN7" s="95">
        <f t="shared" si="0"/>
        <v>56.099999999999994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 t="shared" si="0"/>
        <v>18843.5</v>
      </c>
      <c r="AT7" s="95">
        <f t="shared" si="0"/>
        <v>27024.9</v>
      </c>
      <c r="AU7" s="95">
        <f>AT7/AS7*100</f>
        <v>143.41762411441613</v>
      </c>
      <c r="AV7" s="95">
        <f>SUM(AV8:AV44)-AV33-AV34-AV35-AV36</f>
        <v>-8181.4000000000015</v>
      </c>
      <c r="AW7" s="95">
        <f>SUM(AW8:AW44)-AW33-AW34-AW35-AW36</f>
        <v>613.3000000000001</v>
      </c>
      <c r="AX7" s="20">
        <f>M7+Y7+AJ7+AM7</f>
        <v>18843.5</v>
      </c>
      <c r="AY7" s="20">
        <f>N7+Z7+AK7+AN7</f>
        <v>27024.899999999998</v>
      </c>
      <c r="AZ7" s="18">
        <f>C7+AX7-AY7</f>
        <v>613.2999999999993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29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>
        <v>0</v>
      </c>
      <c r="AF8" s="3">
        <v>0</v>
      </c>
      <c r="AG8" s="14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/>
      <c r="AM8" s="3">
        <v>0</v>
      </c>
      <c r="AN8" s="3">
        <v>0</v>
      </c>
      <c r="AO8" s="3"/>
      <c r="AP8" s="3"/>
      <c r="AQ8" s="3"/>
      <c r="AR8" s="3"/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M8+Y8+AJ8+AM8</f>
        <v>1811.1</v>
      </c>
      <c r="AY8" s="20">
        <f aca="true" t="shared" si="8" ref="AY8:AY48">N8+Z8+AK8+AN8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30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3" ref="AJ9:AK33">AB9+AE9+AH9</f>
        <v>0</v>
      </c>
      <c r="AK9" s="3">
        <f aca="true" t="shared" si="14" ref="AK9:AK30">AC9+AF9+AI9</f>
        <v>0</v>
      </c>
      <c r="AL9" s="14"/>
      <c r="AM9" s="3">
        <v>0</v>
      </c>
      <c r="AN9" s="3">
        <v>0</v>
      </c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95">
        <f t="shared" si="6"/>
        <v>197.67441860465115</v>
      </c>
      <c r="AV9" s="14">
        <f>AS9-AT9</f>
        <v>-21</v>
      </c>
      <c r="AW9" s="4">
        <f>C9+AS9-AT9</f>
        <v>0.7000000000000028</v>
      </c>
      <c r="AX9" s="20">
        <f t="shared" si="7"/>
        <v>21.5</v>
      </c>
      <c r="AY9" s="20">
        <f t="shared" si="8"/>
        <v>42.5</v>
      </c>
      <c r="AZ9" s="18">
        <f t="shared" si="9"/>
        <v>0.7000000000000028</v>
      </c>
    </row>
    <row r="10" spans="1:52" ht="34.5" customHeight="1">
      <c r="A10" s="84">
        <v>3</v>
      </c>
      <c r="B10" s="15" t="s">
        <v>31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4">
        <f t="shared" si="13"/>
        <v>0</v>
      </c>
      <c r="AK10" s="94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32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33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0</v>
      </c>
      <c r="AK12" s="3">
        <f t="shared" si="14"/>
        <v>0</v>
      </c>
      <c r="AL12" s="14"/>
      <c r="AM12" s="3">
        <v>0</v>
      </c>
      <c r="AN12" s="3">
        <v>0</v>
      </c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34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4">
        <f t="shared" si="13"/>
        <v>0</v>
      </c>
      <c r="AK13" s="94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65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35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>
        <v>0</v>
      </c>
      <c r="AF15" s="3">
        <v>1.5</v>
      </c>
      <c r="AG15" s="14"/>
      <c r="AH15" s="3">
        <v>0</v>
      </c>
      <c r="AI15" s="3">
        <v>0</v>
      </c>
      <c r="AJ15" s="3">
        <f t="shared" si="13"/>
        <v>0</v>
      </c>
      <c r="AK15" s="3">
        <f t="shared" si="14"/>
        <v>1.8</v>
      </c>
      <c r="AL15" s="14"/>
      <c r="AM15" s="3">
        <v>0</v>
      </c>
      <c r="AN15" s="3">
        <v>0</v>
      </c>
      <c r="AO15" s="3"/>
      <c r="AP15" s="3"/>
      <c r="AQ15" s="3"/>
      <c r="AR15" s="3"/>
      <c r="AS15" s="3">
        <f>M15+Y15+AJ15+AM15+AO15+AQ15</f>
        <v>450.70000000000005</v>
      </c>
      <c r="AT15" s="3">
        <f>N15+Z15+AK15+AN15+AP15+AR15</f>
        <v>742.6999999999999</v>
      </c>
      <c r="AU15" s="95">
        <f t="shared" si="6"/>
        <v>164.78810738850675</v>
      </c>
      <c r="AV15" s="14">
        <f>AS15-AT15</f>
        <v>-291.9999999999999</v>
      </c>
      <c r="AW15" s="4">
        <f>C15+AS15-AT15</f>
        <v>0</v>
      </c>
      <c r="AX15" s="20">
        <f t="shared" si="7"/>
        <v>450.70000000000005</v>
      </c>
      <c r="AY15" s="20">
        <f t="shared" si="8"/>
        <v>742.6999999999999</v>
      </c>
      <c r="AZ15" s="18">
        <f t="shared" si="9"/>
        <v>0</v>
      </c>
    </row>
    <row r="16" spans="1:52" ht="34.5" customHeight="1">
      <c r="A16" s="84">
        <v>9</v>
      </c>
      <c r="B16" s="1" t="s">
        <v>36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5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37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6" ref="Y17:Z19">P17+S17+V17</f>
        <v>0</v>
      </c>
      <c r="Z17" s="3">
        <f t="shared" si="16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>
        <v>0</v>
      </c>
      <c r="AF17" s="3">
        <v>0</v>
      </c>
      <c r="AG17" s="14"/>
      <c r="AH17" s="3">
        <v>0</v>
      </c>
      <c r="AI17" s="3">
        <v>0</v>
      </c>
      <c r="AJ17" s="3">
        <f t="shared" si="13"/>
        <v>0</v>
      </c>
      <c r="AK17" s="3">
        <f t="shared" si="14"/>
        <v>0</v>
      </c>
      <c r="AL17" s="14"/>
      <c r="AM17" s="3">
        <v>0</v>
      </c>
      <c r="AN17" s="3">
        <v>0</v>
      </c>
      <c r="AO17" s="3"/>
      <c r="AP17" s="3"/>
      <c r="AQ17" s="3"/>
      <c r="AR17" s="3"/>
      <c r="AS17" s="3">
        <f aca="true" t="shared" si="17" ref="AS17:AT19">M17+Y17+AJ17+AM17+AO17+AQ17</f>
        <v>0</v>
      </c>
      <c r="AT17" s="3">
        <f t="shared" si="17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38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6"/>
        <v>2.9</v>
      </c>
      <c r="Z18" s="3">
        <f t="shared" si="16"/>
        <v>73.2</v>
      </c>
      <c r="AA18" s="14">
        <f>Z18/Y18*100</f>
        <v>2524.137931034483</v>
      </c>
      <c r="AB18" s="3">
        <v>0</v>
      </c>
      <c r="AC18" s="3">
        <v>0</v>
      </c>
      <c r="AD18" s="28" t="e">
        <f t="shared" si="4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28"/>
      <c r="AM18" s="3"/>
      <c r="AN18" s="3"/>
      <c r="AO18" s="3"/>
      <c r="AP18" s="3"/>
      <c r="AQ18" s="3"/>
      <c r="AR18" s="3"/>
      <c r="AS18" s="3">
        <f t="shared" si="17"/>
        <v>73.1</v>
      </c>
      <c r="AT18" s="3">
        <f t="shared" si="17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39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6"/>
        <v>8.6</v>
      </c>
      <c r="Z19" s="3">
        <f t="shared" si="16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3"/>
        <v>0</v>
      </c>
      <c r="AK19" s="3">
        <f t="shared" si="14"/>
        <v>0</v>
      </c>
      <c r="AL19" s="28"/>
      <c r="AM19" s="3">
        <v>0</v>
      </c>
      <c r="AN19" s="3">
        <v>0</v>
      </c>
      <c r="AO19" s="3"/>
      <c r="AP19" s="3"/>
      <c r="AQ19" s="3"/>
      <c r="AR19" s="3"/>
      <c r="AS19" s="3">
        <f t="shared" si="17"/>
        <v>192.1</v>
      </c>
      <c r="AT19" s="3">
        <f t="shared" si="17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40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5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41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5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42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43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44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>
        <v>0</v>
      </c>
      <c r="AF24" s="3">
        <v>0</v>
      </c>
      <c r="AG24" s="14"/>
      <c r="AH24" s="3">
        <v>0</v>
      </c>
      <c r="AI24" s="3">
        <v>0</v>
      </c>
      <c r="AJ24" s="3">
        <f t="shared" si="13"/>
        <v>0</v>
      </c>
      <c r="AK24" s="3">
        <f t="shared" si="14"/>
        <v>0</v>
      </c>
      <c r="AL24" s="14"/>
      <c r="AM24" s="3">
        <v>0</v>
      </c>
      <c r="AN24" s="3">
        <v>0</v>
      </c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1089.3000000000002</v>
      </c>
      <c r="AU24" s="95">
        <f t="shared" si="6"/>
        <v>171.5973534971645</v>
      </c>
      <c r="AV24" s="14">
        <f>AS24-AT24</f>
        <v>-454.5000000000002</v>
      </c>
      <c r="AW24" s="4">
        <f>C24+AS24-AT24</f>
        <v>0</v>
      </c>
      <c r="AX24" s="20">
        <f t="shared" si="7"/>
        <v>634.8</v>
      </c>
      <c r="AY24" s="20">
        <f t="shared" si="8"/>
        <v>1089.3000000000002</v>
      </c>
      <c r="AZ24" s="18">
        <f t="shared" si="9"/>
        <v>0</v>
      </c>
    </row>
    <row r="25" spans="1:52" ht="34.5" customHeight="1">
      <c r="A25" s="84">
        <v>18</v>
      </c>
      <c r="B25" s="1" t="s">
        <v>45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94">
        <f t="shared" si="13"/>
        <v>0</v>
      </c>
      <c r="AK25" s="94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46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>
        <v>0.2</v>
      </c>
      <c r="AF26" s="3">
        <v>0</v>
      </c>
      <c r="AG26" s="28"/>
      <c r="AH26" s="3">
        <v>0</v>
      </c>
      <c r="AI26" s="3">
        <v>0.3</v>
      </c>
      <c r="AJ26" s="3">
        <f t="shared" si="13"/>
        <v>0.5</v>
      </c>
      <c r="AK26" s="3">
        <f t="shared" si="14"/>
        <v>1.4000000000000001</v>
      </c>
      <c r="AL26" s="14"/>
      <c r="AM26" s="3">
        <v>0</v>
      </c>
      <c r="AN26" s="3">
        <v>0.2</v>
      </c>
      <c r="AO26" s="3"/>
      <c r="AP26" s="3"/>
      <c r="AQ26" s="3"/>
      <c r="AR26" s="3"/>
      <c r="AS26" s="3">
        <f>M26+Y26+AJ26+AM26+AO26+AQ26</f>
        <v>224.90000000000003</v>
      </c>
      <c r="AT26" s="3">
        <f>N26+Z26+AK26+AN26+AP26+AR26</f>
        <v>371.29999999999995</v>
      </c>
      <c r="AU26" s="95">
        <f t="shared" si="6"/>
        <v>165.09559804357488</v>
      </c>
      <c r="AV26" s="14">
        <f>AS26-AT26</f>
        <v>-146.39999999999992</v>
      </c>
      <c r="AW26" s="4">
        <f>C26+AS26-AT26</f>
        <v>0</v>
      </c>
      <c r="AX26" s="20">
        <f t="shared" si="7"/>
        <v>224.90000000000003</v>
      </c>
      <c r="AY26" s="20">
        <f t="shared" si="8"/>
        <v>371.29999999999995</v>
      </c>
      <c r="AZ26" s="18">
        <f t="shared" si="9"/>
        <v>0</v>
      </c>
    </row>
    <row r="27" spans="1:52" ht="34.5" customHeight="1">
      <c r="A27" s="84">
        <v>20</v>
      </c>
      <c r="B27" s="15" t="s">
        <v>47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>
        <v>0</v>
      </c>
      <c r="AF27" s="3">
        <v>0</v>
      </c>
      <c r="AG27" s="28"/>
      <c r="AH27" s="3">
        <v>0</v>
      </c>
      <c r="AI27" s="3">
        <v>0</v>
      </c>
      <c r="AJ27" s="3">
        <f t="shared" si="13"/>
        <v>-3.3</v>
      </c>
      <c r="AK27" s="3">
        <f t="shared" si="14"/>
        <v>0</v>
      </c>
      <c r="AL27" s="14"/>
      <c r="AM27" s="3">
        <v>0</v>
      </c>
      <c r="AN27" s="3">
        <v>0</v>
      </c>
      <c r="AO27" s="3"/>
      <c r="AP27" s="3"/>
      <c r="AQ27" s="3"/>
      <c r="AR27" s="3"/>
      <c r="AS27" s="3">
        <f>M27+Y27+AJ27+AM27+AO27+AQ27</f>
        <v>362.9</v>
      </c>
      <c r="AT27" s="3">
        <f>N27+Z27+AK27+AN27+AP27+AR27</f>
        <v>514.3</v>
      </c>
      <c r="AU27" s="95">
        <f t="shared" si="6"/>
        <v>141.71948195095067</v>
      </c>
      <c r="AV27" s="14">
        <f>AS27-AT27</f>
        <v>-151.39999999999998</v>
      </c>
      <c r="AW27" s="4">
        <f>C27+AS27-AT27</f>
        <v>-5.899999999999977</v>
      </c>
      <c r="AX27" s="20">
        <f t="shared" si="7"/>
        <v>362.9</v>
      </c>
      <c r="AY27" s="20">
        <f t="shared" si="8"/>
        <v>514.3</v>
      </c>
      <c r="AZ27" s="18">
        <f t="shared" si="9"/>
        <v>-5.899999999999977</v>
      </c>
    </row>
    <row r="28" spans="1:52" ht="34.5" customHeight="1">
      <c r="A28" s="84">
        <v>21</v>
      </c>
      <c r="B28" s="102" t="s">
        <v>48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49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50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51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52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8" ref="P32:AI32">P33+P34+P35+P36</f>
        <v>0.3</v>
      </c>
      <c r="Q32" s="45">
        <f t="shared" si="18"/>
        <v>173.4</v>
      </c>
      <c r="R32" s="95">
        <f t="shared" si="5"/>
        <v>57800</v>
      </c>
      <c r="S32" s="45">
        <f t="shared" si="18"/>
        <v>0</v>
      </c>
      <c r="T32" s="45">
        <f t="shared" si="18"/>
        <v>148.9</v>
      </c>
      <c r="U32" s="45" t="e">
        <f t="shared" si="18"/>
        <v>#DIV/0!</v>
      </c>
      <c r="V32" s="45">
        <f t="shared" si="18"/>
        <v>0</v>
      </c>
      <c r="W32" s="45">
        <f t="shared" si="18"/>
        <v>0.8</v>
      </c>
      <c r="X32" s="45" t="e">
        <f t="shared" si="18"/>
        <v>#DIV/0!</v>
      </c>
      <c r="Y32" s="45">
        <f t="shared" si="18"/>
        <v>0.3</v>
      </c>
      <c r="Z32" s="45">
        <f t="shared" si="18"/>
        <v>323.1</v>
      </c>
      <c r="AA32" s="100" t="e">
        <f t="shared" si="18"/>
        <v>#DIV/0!</v>
      </c>
      <c r="AB32" s="45">
        <f t="shared" si="18"/>
        <v>0</v>
      </c>
      <c r="AC32" s="45">
        <f t="shared" si="18"/>
        <v>0.2</v>
      </c>
      <c r="AD32" s="28" t="e">
        <f t="shared" si="4"/>
        <v>#DIV/0!</v>
      </c>
      <c r="AE32" s="45">
        <f t="shared" si="18"/>
        <v>0</v>
      </c>
      <c r="AF32" s="45">
        <f t="shared" si="18"/>
        <v>0.1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>AJ33+AJ34+AJ35+AJ36</f>
        <v>0</v>
      </c>
      <c r="AK32" s="45">
        <f>AK33+AK34+AK35+AK36</f>
        <v>0.30000000000000004</v>
      </c>
      <c r="AL32" s="95"/>
      <c r="AM32" s="45">
        <f aca="true" t="shared" si="19" ref="AM32:AT32">AM33+AM34+AM35+AM36</f>
        <v>0</v>
      </c>
      <c r="AN32" s="45">
        <f t="shared" si="19"/>
        <v>0.1</v>
      </c>
      <c r="AO32" s="45">
        <f t="shared" si="19"/>
        <v>0</v>
      </c>
      <c r="AP32" s="45">
        <f t="shared" si="19"/>
        <v>0</v>
      </c>
      <c r="AQ32" s="45">
        <f t="shared" si="19"/>
        <v>0</v>
      </c>
      <c r="AR32" s="45">
        <f t="shared" si="19"/>
        <v>0</v>
      </c>
      <c r="AS32" s="45">
        <f t="shared" si="19"/>
        <v>540</v>
      </c>
      <c r="AT32" s="45">
        <f t="shared" si="19"/>
        <v>798</v>
      </c>
      <c r="AU32" s="95">
        <f t="shared" si="6"/>
        <v>147.77777777777777</v>
      </c>
      <c r="AV32" s="45">
        <f>AV33+AV34+AV35+AV36</f>
        <v>-258</v>
      </c>
      <c r="AW32" s="45">
        <f>AW33+AW34+AW35+AW36</f>
        <v>14.100000000000023</v>
      </c>
      <c r="AX32" s="20">
        <f t="shared" si="7"/>
        <v>540</v>
      </c>
      <c r="AY32" s="20">
        <f t="shared" si="8"/>
        <v>798</v>
      </c>
      <c r="AZ32" s="18">
        <f t="shared" si="9"/>
        <v>14.100000000000023</v>
      </c>
    </row>
    <row r="33" spans="1:52" ht="34.5" customHeight="1">
      <c r="A33" s="84"/>
      <c r="B33" s="15" t="s">
        <v>77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0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1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23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2" ref="M34:M44">D34+G34+J34</f>
        <v>539.7</v>
      </c>
      <c r="N34" s="3">
        <f aca="true" t="shared" si="23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1"/>
        <v>107700.00000000003</v>
      </c>
      <c r="AB34" s="3">
        <v>0</v>
      </c>
      <c r="AC34" s="3">
        <v>0.2</v>
      </c>
      <c r="AD34" s="28" t="e">
        <f t="shared" si="4"/>
        <v>#DIV/0!</v>
      </c>
      <c r="AE34" s="3">
        <v>0</v>
      </c>
      <c r="AF34" s="3">
        <v>0.1</v>
      </c>
      <c r="AG34" s="14"/>
      <c r="AH34" s="3">
        <v>0</v>
      </c>
      <c r="AI34" s="3">
        <v>0</v>
      </c>
      <c r="AJ34" s="3">
        <f aca="true" t="shared" si="24" ref="AJ34:AJ44">AB34+AE34+AH34</f>
        <v>0</v>
      </c>
      <c r="AK34" s="3">
        <f aca="true" t="shared" si="25" ref="AK34:AK44">AC34+AF34+AI34</f>
        <v>0.30000000000000004</v>
      </c>
      <c r="AL34" s="14"/>
      <c r="AM34" s="3">
        <v>0</v>
      </c>
      <c r="AN34" s="3">
        <v>0.1</v>
      </c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798</v>
      </c>
      <c r="AU34" s="95">
        <f t="shared" si="6"/>
        <v>147.77777777777777</v>
      </c>
      <c r="AV34" s="14">
        <f>AS34-AT34</f>
        <v>-258</v>
      </c>
      <c r="AW34" s="4">
        <f>C34+AS34-AT34</f>
        <v>14.100000000000023</v>
      </c>
      <c r="AX34" s="20">
        <f t="shared" si="7"/>
        <v>540</v>
      </c>
      <c r="AY34" s="20">
        <f t="shared" si="8"/>
        <v>798</v>
      </c>
      <c r="AZ34" s="18">
        <f t="shared" si="9"/>
        <v>14.100000000000023</v>
      </c>
    </row>
    <row r="35" spans="1:52" ht="34.5" customHeight="1">
      <c r="A35" s="84"/>
      <c r="B35" s="15" t="s">
        <v>25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1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4">
        <f t="shared" si="24"/>
        <v>0</v>
      </c>
      <c r="AK35" s="94">
        <f t="shared" si="25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67</v>
      </c>
      <c r="C36" s="2"/>
      <c r="D36" s="21"/>
      <c r="E36" s="21"/>
      <c r="F36" s="14"/>
      <c r="G36" s="3"/>
      <c r="H36" s="3"/>
      <c r="I36" s="36" t="e">
        <f aca="true" t="shared" si="26" ref="I36:I48">H36/G36*100</f>
        <v>#DIV/0!</v>
      </c>
      <c r="J36" s="3"/>
      <c r="K36" s="3"/>
      <c r="L36" s="28" t="e">
        <f t="shared" si="2"/>
        <v>#DIV/0!</v>
      </c>
      <c r="M36" s="94">
        <f t="shared" si="22"/>
        <v>0</v>
      </c>
      <c r="N36" s="94">
        <f t="shared" si="23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0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4">
        <f t="shared" si="24"/>
        <v>0</v>
      </c>
      <c r="AK36" s="94">
        <f t="shared" si="25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53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6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2"/>
        <v>694.1999999999999</v>
      </c>
      <c r="N37" s="3">
        <f t="shared" si="23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0"/>
        <v>#DIV/0!</v>
      </c>
      <c r="Y37" s="3">
        <f aca="true" t="shared" si="27" ref="Y37:Z41">P37+S37+V37</f>
        <v>47.9</v>
      </c>
      <c r="Z37" s="3">
        <f t="shared" si="27"/>
        <v>456</v>
      </c>
      <c r="AA37" s="14">
        <f t="shared" si="21"/>
        <v>951.9832985386222</v>
      </c>
      <c r="AB37" s="3">
        <v>0</v>
      </c>
      <c r="AC37" s="3">
        <v>0.7</v>
      </c>
      <c r="AD37" s="28" t="e">
        <f t="shared" si="4"/>
        <v>#DIV/0!</v>
      </c>
      <c r="AE37" s="3">
        <v>0</v>
      </c>
      <c r="AF37" s="3">
        <v>0</v>
      </c>
      <c r="AG37" s="14"/>
      <c r="AH37" s="3">
        <v>0</v>
      </c>
      <c r="AI37" s="3">
        <v>0</v>
      </c>
      <c r="AJ37" s="3">
        <f t="shared" si="24"/>
        <v>0</v>
      </c>
      <c r="AK37" s="3">
        <f t="shared" si="25"/>
        <v>0.7</v>
      </c>
      <c r="AL37" s="14"/>
      <c r="AM37" s="3">
        <v>0</v>
      </c>
      <c r="AN37" s="3">
        <v>0</v>
      </c>
      <c r="AO37" s="3"/>
      <c r="AP37" s="3"/>
      <c r="AQ37" s="3"/>
      <c r="AR37" s="3"/>
      <c r="AS37" s="3">
        <f>M37+Y37+AJ37+AM37+AO37+AQ37</f>
        <v>742.0999999999999</v>
      </c>
      <c r="AT37" s="3">
        <f>N37+Z37+AK37+AN37+AP37+AR37</f>
        <v>1242.0000000000002</v>
      </c>
      <c r="AU37" s="95">
        <f t="shared" si="6"/>
        <v>167.3628890985043</v>
      </c>
      <c r="AV37" s="14">
        <f>AS37-AT37</f>
        <v>-499.9000000000003</v>
      </c>
      <c r="AW37" s="4">
        <f>C37+AS37-AT37</f>
        <v>-0.20000000000027285</v>
      </c>
      <c r="AX37" s="20">
        <f t="shared" si="7"/>
        <v>742.0999999999999</v>
      </c>
      <c r="AY37" s="20">
        <f t="shared" si="8"/>
        <v>1242.0000000000002</v>
      </c>
      <c r="AZ37" s="18">
        <f t="shared" si="9"/>
        <v>-0.20000000000027285</v>
      </c>
    </row>
    <row r="38" spans="1:52" ht="34.5" customHeight="1">
      <c r="A38" s="84">
        <v>27</v>
      </c>
      <c r="B38" s="105" t="s">
        <v>54</v>
      </c>
      <c r="C38" s="2"/>
      <c r="D38" s="3"/>
      <c r="E38" s="3"/>
      <c r="F38" s="14"/>
      <c r="G38" s="3"/>
      <c r="H38" s="3"/>
      <c r="I38" s="28" t="e">
        <f t="shared" si="26"/>
        <v>#DIV/0!</v>
      </c>
      <c r="J38" s="3"/>
      <c r="K38" s="3"/>
      <c r="L38" s="28" t="e">
        <f t="shared" si="2"/>
        <v>#DIV/0!</v>
      </c>
      <c r="M38" s="94">
        <f t="shared" si="22"/>
        <v>0</v>
      </c>
      <c r="N38" s="94">
        <f t="shared" si="23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0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4">
        <f t="shared" si="24"/>
        <v>0</v>
      </c>
      <c r="AK38" s="94">
        <f t="shared" si="25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55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6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2"/>
        <v>1300.2</v>
      </c>
      <c r="N39" s="3">
        <f t="shared" si="23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0"/>
        <v>263.85542168674704</v>
      </c>
      <c r="Y39" s="3">
        <f t="shared" si="27"/>
        <v>226.90000000000003</v>
      </c>
      <c r="Z39" s="3">
        <f t="shared" si="27"/>
        <v>958.8</v>
      </c>
      <c r="AA39" s="14">
        <f t="shared" si="21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>
        <v>47.7</v>
      </c>
      <c r="AF39" s="3">
        <v>89.8</v>
      </c>
      <c r="AG39" s="14"/>
      <c r="AH39" s="3">
        <v>46</v>
      </c>
      <c r="AI39" s="3">
        <v>7.7</v>
      </c>
      <c r="AJ39" s="3">
        <f t="shared" si="24"/>
        <v>141.4</v>
      </c>
      <c r="AK39" s="3">
        <f t="shared" si="25"/>
        <v>143.2</v>
      </c>
      <c r="AL39" s="14"/>
      <c r="AM39" s="3">
        <v>0.4</v>
      </c>
      <c r="AN39" s="3">
        <v>55.8</v>
      </c>
      <c r="AO39" s="3"/>
      <c r="AP39" s="3"/>
      <c r="AQ39" s="3"/>
      <c r="AR39" s="3"/>
      <c r="AS39" s="3">
        <f aca="true" t="shared" si="28" ref="AS39:AT41">M39+Y39+AJ39+AM39+AO39+AQ39</f>
        <v>1668.9000000000003</v>
      </c>
      <c r="AT39" s="3">
        <f t="shared" si="28"/>
        <v>2346.8</v>
      </c>
      <c r="AU39" s="95">
        <f t="shared" si="6"/>
        <v>140.61956977649947</v>
      </c>
      <c r="AV39" s="14">
        <f>AS39-AT39</f>
        <v>-677.8999999999999</v>
      </c>
      <c r="AW39" s="4">
        <f>C39+AS39-AT39</f>
        <v>38.30000000000018</v>
      </c>
      <c r="AX39" s="20">
        <f t="shared" si="7"/>
        <v>1668.9000000000003</v>
      </c>
      <c r="AY39" s="20">
        <f t="shared" si="8"/>
        <v>2346.8</v>
      </c>
      <c r="AZ39" s="18">
        <f t="shared" si="9"/>
        <v>38.30000000000018</v>
      </c>
    </row>
    <row r="40" spans="1:52" ht="34.5" customHeight="1">
      <c r="A40" s="84">
        <v>29</v>
      </c>
      <c r="B40" s="106" t="s">
        <v>56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6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2"/>
        <v>1599.6999999999998</v>
      </c>
      <c r="N40" s="3">
        <f t="shared" si="23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0"/>
        <v>11337.5</v>
      </c>
      <c r="Y40" s="3">
        <f t="shared" si="27"/>
        <v>91.49999999999999</v>
      </c>
      <c r="Z40" s="3">
        <f t="shared" si="27"/>
        <v>1824.2</v>
      </c>
      <c r="AA40" s="14">
        <f t="shared" si="21"/>
        <v>1993.6612021857925</v>
      </c>
      <c r="AB40" s="3">
        <v>0</v>
      </c>
      <c r="AC40" s="3">
        <v>0</v>
      </c>
      <c r="AD40" s="28" t="e">
        <f t="shared" si="4"/>
        <v>#DIV/0!</v>
      </c>
      <c r="AE40" s="3">
        <v>0</v>
      </c>
      <c r="AF40" s="3">
        <v>0.8</v>
      </c>
      <c r="AG40" s="14"/>
      <c r="AH40" s="3">
        <v>0</v>
      </c>
      <c r="AI40" s="3">
        <v>0</v>
      </c>
      <c r="AJ40" s="3">
        <f t="shared" si="24"/>
        <v>0</v>
      </c>
      <c r="AK40" s="3">
        <f t="shared" si="25"/>
        <v>0.8</v>
      </c>
      <c r="AL40" s="14"/>
      <c r="AM40" s="3">
        <v>0</v>
      </c>
      <c r="AN40" s="3">
        <v>0</v>
      </c>
      <c r="AO40" s="3"/>
      <c r="AP40" s="3"/>
      <c r="AQ40" s="3"/>
      <c r="AR40" s="3"/>
      <c r="AS40" s="3">
        <f t="shared" si="28"/>
        <v>1691.1999999999998</v>
      </c>
      <c r="AT40" s="3">
        <f t="shared" si="28"/>
        <v>2821.8</v>
      </c>
      <c r="AU40" s="95">
        <f t="shared" si="6"/>
        <v>166.85193945127722</v>
      </c>
      <c r="AV40" s="14">
        <f>AS40-AT40</f>
        <v>-1130.6000000000004</v>
      </c>
      <c r="AW40" s="4">
        <f>C40+AS40-AT40</f>
        <v>0</v>
      </c>
      <c r="AX40" s="20">
        <f t="shared" si="7"/>
        <v>1691.1999999999998</v>
      </c>
      <c r="AY40" s="20">
        <f t="shared" si="8"/>
        <v>2821.8</v>
      </c>
      <c r="AZ40" s="18">
        <f t="shared" si="9"/>
        <v>0</v>
      </c>
    </row>
    <row r="41" spans="1:52" ht="34.5" customHeight="1">
      <c r="A41" s="84">
        <v>30</v>
      </c>
      <c r="B41" s="106" t="s">
        <v>57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6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2"/>
        <v>3343.7</v>
      </c>
      <c r="N41" s="3">
        <f t="shared" si="23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7"/>
        <v>154.7</v>
      </c>
      <c r="Z41" s="3">
        <f t="shared" si="27"/>
        <v>3498.2</v>
      </c>
      <c r="AA41" s="14">
        <f t="shared" si="21"/>
        <v>2261.2798965740144</v>
      </c>
      <c r="AB41" s="3">
        <v>-1</v>
      </c>
      <c r="AC41" s="3">
        <v>0.1</v>
      </c>
      <c r="AD41" s="14">
        <f t="shared" si="4"/>
        <v>-10</v>
      </c>
      <c r="AE41" s="3">
        <v>3.8</v>
      </c>
      <c r="AF41" s="3">
        <v>-1</v>
      </c>
      <c r="AG41" s="14"/>
      <c r="AH41" s="3">
        <v>0</v>
      </c>
      <c r="AI41" s="3">
        <v>3.8</v>
      </c>
      <c r="AJ41" s="3">
        <f t="shared" si="24"/>
        <v>2.8</v>
      </c>
      <c r="AK41" s="3">
        <f t="shared" si="25"/>
        <v>2.9</v>
      </c>
      <c r="AL41" s="14"/>
      <c r="AM41" s="3">
        <v>1.8</v>
      </c>
      <c r="AN41" s="3">
        <v>0</v>
      </c>
      <c r="AO41" s="3"/>
      <c r="AP41" s="3"/>
      <c r="AQ41" s="3"/>
      <c r="AR41" s="3"/>
      <c r="AS41" s="3">
        <f t="shared" si="28"/>
        <v>3503</v>
      </c>
      <c r="AT41" s="3">
        <f t="shared" si="28"/>
        <v>4360</v>
      </c>
      <c r="AU41" s="95">
        <f t="shared" si="6"/>
        <v>124.46474450471025</v>
      </c>
      <c r="AV41" s="14">
        <f>AS41-AT41</f>
        <v>-857</v>
      </c>
      <c r="AW41" s="4">
        <f>C41+AS41-AT41</f>
        <v>1.6000000000003638</v>
      </c>
      <c r="AX41" s="20">
        <f t="shared" si="7"/>
        <v>3503</v>
      </c>
      <c r="AY41" s="20">
        <f t="shared" si="8"/>
        <v>4360</v>
      </c>
      <c r="AZ41" s="18">
        <f t="shared" si="9"/>
        <v>1.6000000000003638</v>
      </c>
    </row>
    <row r="42" spans="1:52" ht="34.5" customHeight="1">
      <c r="A42" s="84">
        <v>31</v>
      </c>
      <c r="B42" s="106" t="s">
        <v>58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6"/>
        <v>#DIV/0!</v>
      </c>
      <c r="J42" s="3"/>
      <c r="K42" s="3"/>
      <c r="L42" s="28" t="e">
        <f t="shared" si="2"/>
        <v>#DIV/0!</v>
      </c>
      <c r="M42" s="94">
        <f t="shared" si="22"/>
        <v>0</v>
      </c>
      <c r="N42" s="94">
        <f t="shared" si="23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4">
        <f t="shared" si="24"/>
        <v>0</v>
      </c>
      <c r="AK42" s="94">
        <f t="shared" si="25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59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6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2"/>
        <v>1592</v>
      </c>
      <c r="N43" s="3">
        <f t="shared" si="23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24"/>
        <v>0</v>
      </c>
      <c r="AK43" s="3">
        <f t="shared" si="25"/>
        <v>2.4</v>
      </c>
      <c r="AL43" s="14"/>
      <c r="AM43" s="3">
        <v>0</v>
      </c>
      <c r="AN43" s="3">
        <v>0</v>
      </c>
      <c r="AO43" s="3"/>
      <c r="AP43" s="3"/>
      <c r="AQ43" s="3"/>
      <c r="AR43" s="3"/>
      <c r="AS43" s="3">
        <f>M43+Y43+AJ43+AM43+AO43+AQ43</f>
        <v>1672.1</v>
      </c>
      <c r="AT43" s="3">
        <f>N43+Z43+AK43+AN43+AP43+AR43</f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60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6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2"/>
        <v>3727.7</v>
      </c>
      <c r="N44" s="3">
        <f t="shared" si="23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>
        <v>173.2</v>
      </c>
      <c r="AF44" s="3">
        <v>172.9</v>
      </c>
      <c r="AG44" s="28"/>
      <c r="AH44" s="3">
        <v>188.2</v>
      </c>
      <c r="AI44" s="3">
        <v>0</v>
      </c>
      <c r="AJ44" s="3">
        <f t="shared" si="24"/>
        <v>532.3</v>
      </c>
      <c r="AK44" s="3">
        <f t="shared" si="25"/>
        <v>339.1</v>
      </c>
      <c r="AL44" s="14"/>
      <c r="AM44" s="3">
        <v>-0.6</v>
      </c>
      <c r="AN44" s="3">
        <v>0</v>
      </c>
      <c r="AO44" s="3"/>
      <c r="AP44" s="3"/>
      <c r="AQ44" s="3"/>
      <c r="AR44" s="3"/>
      <c r="AS44" s="3">
        <f>M44+Y44+AJ44+AM44+AO44+AQ44</f>
        <v>4945.599999999999</v>
      </c>
      <c r="AT44" s="3">
        <f>N44+Z44+AK44+AN44+AP44+AR44</f>
        <v>6617.9</v>
      </c>
      <c r="AU44" s="95">
        <f t="shared" si="6"/>
        <v>133.81389517955355</v>
      </c>
      <c r="AV44" s="14">
        <f>AS44-AT44</f>
        <v>-1672.3000000000002</v>
      </c>
      <c r="AW44" s="4">
        <f>C44+AS44-AT44</f>
        <v>564.8999999999996</v>
      </c>
      <c r="AX44" s="20">
        <f t="shared" si="7"/>
        <v>4945.599999999999</v>
      </c>
      <c r="AY44" s="20">
        <f t="shared" si="8"/>
        <v>6617.9</v>
      </c>
      <c r="AZ44" s="18">
        <f t="shared" si="9"/>
        <v>564.8999999999996</v>
      </c>
    </row>
    <row r="45" spans="1:59" s="8" customFormat="1" ht="34.5" customHeight="1">
      <c r="A45" s="16">
        <v>34</v>
      </c>
      <c r="B45" s="16" t="s">
        <v>61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6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2488</v>
      </c>
      <c r="AF45" s="4">
        <f t="shared" si="29"/>
        <v>2380</v>
      </c>
      <c r="AG45" s="4">
        <f t="shared" si="29"/>
        <v>0</v>
      </c>
      <c r="AH45" s="4">
        <f t="shared" si="29"/>
        <v>2204</v>
      </c>
      <c r="AI45" s="4">
        <f t="shared" si="29"/>
        <v>2158</v>
      </c>
      <c r="AJ45" s="4">
        <f t="shared" si="29"/>
        <v>6808</v>
      </c>
      <c r="AK45" s="4">
        <f t="shared" si="29"/>
        <v>7230</v>
      </c>
      <c r="AL45" s="4">
        <f t="shared" si="29"/>
        <v>0</v>
      </c>
      <c r="AM45" s="4">
        <f t="shared" si="29"/>
        <v>-299</v>
      </c>
      <c r="AN45" s="4">
        <f t="shared" si="29"/>
        <v>2302</v>
      </c>
      <c r="AO45" s="4">
        <f t="shared" si="29"/>
        <v>0</v>
      </c>
      <c r="AP45" s="4">
        <f t="shared" si="29"/>
        <v>0</v>
      </c>
      <c r="AQ45" s="4">
        <f t="shared" si="29"/>
        <v>0</v>
      </c>
      <c r="AR45" s="4">
        <f t="shared" si="29"/>
        <v>0</v>
      </c>
      <c r="AS45" s="4">
        <f t="shared" si="29"/>
        <v>109653</v>
      </c>
      <c r="AT45" s="4">
        <f t="shared" si="29"/>
        <v>167733</v>
      </c>
      <c r="AU45" s="95">
        <f t="shared" si="6"/>
        <v>152.96708708380072</v>
      </c>
      <c r="AV45" s="46">
        <f>AV46</f>
        <v>-58080</v>
      </c>
      <c r="AW45" s="46">
        <f>AW46</f>
        <v>2744</v>
      </c>
      <c r="AX45" s="20">
        <f t="shared" si="7"/>
        <v>109653</v>
      </c>
      <c r="AY45" s="20">
        <f t="shared" si="8"/>
        <v>167733</v>
      </c>
      <c r="AZ45" s="18">
        <f t="shared" si="9"/>
        <v>2744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66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6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>
        <v>2488</v>
      </c>
      <c r="AF46" s="3">
        <v>2380</v>
      </c>
      <c r="AG46" s="14"/>
      <c r="AH46" s="3">
        <v>2204</v>
      </c>
      <c r="AI46" s="3">
        <v>2158</v>
      </c>
      <c r="AJ46" s="3">
        <f>AB46+AE46+AH46</f>
        <v>6808</v>
      </c>
      <c r="AK46" s="3">
        <f>AC46+AF46+AI46</f>
        <v>7230</v>
      </c>
      <c r="AL46" s="14"/>
      <c r="AM46" s="3">
        <v>-299</v>
      </c>
      <c r="AN46" s="3">
        <v>2302</v>
      </c>
      <c r="AO46" s="3"/>
      <c r="AP46" s="3"/>
      <c r="AQ46" s="3"/>
      <c r="AR46" s="3"/>
      <c r="AS46" s="3">
        <f>M45+Y45+AJ46+AM46+AO46+AQ46</f>
        <v>109653</v>
      </c>
      <c r="AT46" s="3">
        <f>N45+Z45+AK46+AN46+AP46+AR46</f>
        <v>167733</v>
      </c>
      <c r="AU46" s="95">
        <f t="shared" si="6"/>
        <v>152.96708708380072</v>
      </c>
      <c r="AV46" s="14">
        <f>AS46-AT46</f>
        <v>-58080</v>
      </c>
      <c r="AW46" s="4">
        <f>C46+AS46-AT46</f>
        <v>2744</v>
      </c>
      <c r="AX46" s="20">
        <f t="shared" si="7"/>
        <v>109653</v>
      </c>
      <c r="AY46" s="20">
        <f t="shared" si="8"/>
        <v>167733</v>
      </c>
      <c r="AZ46" s="18">
        <f t="shared" si="9"/>
        <v>2744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67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6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62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6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 aca="true" t="shared" si="30" ref="U48:AR48">U7+U45-U32</f>
        <v>#DIV/0!</v>
      </c>
      <c r="V48" s="45">
        <f>V7+V45</f>
        <v>2305.9</v>
      </c>
      <c r="W48" s="45">
        <f>W7+W45</f>
        <v>14135.9</v>
      </c>
      <c r="X48" s="45" t="e">
        <f t="shared" si="30"/>
        <v>#DIV/0!</v>
      </c>
      <c r="Y48" s="45">
        <f>Y7+Y45</f>
        <v>19447.7</v>
      </c>
      <c r="Z48" s="45">
        <f>Z7+Z45</f>
        <v>113795.3</v>
      </c>
      <c r="AA48" s="45">
        <f aca="true" t="shared" si="31" ref="AA48:AN48">AA7+AA45</f>
        <v>1580.3382165145063</v>
      </c>
      <c r="AB48" s="45">
        <f t="shared" si="31"/>
        <v>2330.6</v>
      </c>
      <c r="AC48" s="45">
        <f t="shared" si="31"/>
        <v>2908.7</v>
      </c>
      <c r="AD48" s="45">
        <f t="shared" si="31"/>
        <v>228.1997367943525</v>
      </c>
      <c r="AE48" s="45">
        <f t="shared" si="31"/>
        <v>2712.9</v>
      </c>
      <c r="AF48" s="45">
        <f t="shared" si="31"/>
        <v>2644.1</v>
      </c>
      <c r="AG48" s="45" t="e">
        <f t="shared" si="31"/>
        <v>#DIV/0!</v>
      </c>
      <c r="AH48" s="45">
        <f t="shared" si="31"/>
        <v>2438.2</v>
      </c>
      <c r="AI48" s="45">
        <f t="shared" si="31"/>
        <v>2169.8</v>
      </c>
      <c r="AJ48" s="45">
        <f t="shared" si="31"/>
        <v>7481.7</v>
      </c>
      <c r="AK48" s="45">
        <f t="shared" si="31"/>
        <v>7722.6</v>
      </c>
      <c r="AL48" s="45">
        <f t="shared" si="31"/>
        <v>0</v>
      </c>
      <c r="AM48" s="45">
        <f t="shared" si="31"/>
        <v>-297.4</v>
      </c>
      <c r="AN48" s="45">
        <f t="shared" si="31"/>
        <v>2358.1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128496.5</v>
      </c>
      <c r="AT48" s="45">
        <f>AT7+AT45</f>
        <v>194757.9</v>
      </c>
      <c r="AU48" s="95">
        <f t="shared" si="6"/>
        <v>151.5666963691618</v>
      </c>
      <c r="AV48" s="45">
        <f>AV7+AV45</f>
        <v>-66261.4</v>
      </c>
      <c r="AW48" s="45">
        <f>AW7+AW45</f>
        <v>3357.3</v>
      </c>
      <c r="AX48" s="20">
        <f t="shared" si="7"/>
        <v>128496.5</v>
      </c>
      <c r="AY48" s="20">
        <f t="shared" si="8"/>
        <v>194757.90000000002</v>
      </c>
      <c r="AZ48" s="18">
        <f t="shared" si="9"/>
        <v>3357.2999999999884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233" t="s">
        <v>68</v>
      </c>
      <c r="B49" s="233"/>
      <c r="C49" s="233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69</v>
      </c>
      <c r="AX49" s="121"/>
      <c r="AY49" s="132">
        <f>AY45+AY7</f>
        <v>194757.9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42" t="s">
        <v>19</v>
      </c>
      <c r="C55" s="24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0.7000000000000028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N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E46" sqref="BE46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</row>
    <row r="2" spans="1:49" s="30" customFormat="1" ht="34.5" customHeight="1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</row>
    <row r="3" spans="1:49" s="30" customFormat="1" ht="60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7"/>
      <c r="C4" s="237"/>
      <c r="AW4" s="11" t="s">
        <v>28</v>
      </c>
    </row>
    <row r="5" spans="1:49" ht="56.2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9" t="s">
        <v>74</v>
      </c>
      <c r="K5" s="240"/>
      <c r="L5" s="241"/>
      <c r="M5" s="230" t="s">
        <v>76</v>
      </c>
      <c r="N5" s="231"/>
      <c r="O5" s="232"/>
      <c r="P5" s="230" t="s">
        <v>75</v>
      </c>
      <c r="Q5" s="231"/>
      <c r="R5" s="232"/>
      <c r="S5" s="239" t="s">
        <v>78</v>
      </c>
      <c r="T5" s="240"/>
      <c r="U5" s="241"/>
      <c r="V5" s="239" t="s">
        <v>79</v>
      </c>
      <c r="W5" s="240"/>
      <c r="X5" s="241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</row>
    <row r="6" spans="1:49" ht="43.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</row>
    <row r="7" spans="1:52" s="8" customFormat="1" ht="34.5" customHeight="1">
      <c r="A7" s="83"/>
      <c r="B7" s="13" t="s">
        <v>64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-436.20000000000005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4840.9</v>
      </c>
      <c r="Z7" s="95">
        <f t="shared" si="0"/>
        <v>22897.899999999998</v>
      </c>
      <c r="AA7" s="14">
        <f>Z7/Y7*100</f>
        <v>473.0091511908943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338</v>
      </c>
      <c r="AF7" s="95">
        <f t="shared" si="0"/>
        <v>-5.329070518200751E-15</v>
      </c>
      <c r="AG7" s="95">
        <f t="shared" si="0"/>
        <v>0</v>
      </c>
      <c r="AH7" s="95">
        <f t="shared" si="0"/>
        <v>89.9</v>
      </c>
      <c r="AI7" s="95">
        <f t="shared" si="0"/>
        <v>29.1</v>
      </c>
      <c r="AJ7" s="95">
        <f t="shared" si="0"/>
        <v>480.9</v>
      </c>
      <c r="AK7" s="95">
        <f t="shared" si="0"/>
        <v>100.30000000000001</v>
      </c>
      <c r="AL7" s="95" t="e">
        <f t="shared" si="0"/>
        <v>#DIV/0!</v>
      </c>
      <c r="AM7" s="95">
        <f t="shared" si="0"/>
        <v>-2.4</v>
      </c>
      <c r="AN7" s="95">
        <f t="shared" si="0"/>
        <v>-13.999999999999996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60850.9</v>
      </c>
      <c r="AT7" s="95">
        <f>SUM(AT8:AT44)-AT33-AT34-AT35-AT36</f>
        <v>112672.3</v>
      </c>
      <c r="AU7" s="95">
        <f>AT7/AS7*100</f>
        <v>185.1612712383876</v>
      </c>
      <c r="AV7" s="95">
        <f>SUM(AV8:AV44)-AV33-AV34-AV35-AV36</f>
        <v>-51821.4</v>
      </c>
      <c r="AW7" s="95">
        <f>SUM(AW8:AW44)-AW33-AW34-AW35-AW36</f>
        <v>-466.0999999999981</v>
      </c>
      <c r="AX7" s="20">
        <f>M7+Y7+AJ7+AM7</f>
        <v>60850.9</v>
      </c>
      <c r="AY7" s="20">
        <f>N7+Z7+AK7+AN7</f>
        <v>112672.29999999999</v>
      </c>
      <c r="AZ7" s="20">
        <f>C7+AX7-AY7</f>
        <v>-466.09999999999127</v>
      </c>
    </row>
    <row r="8" spans="1:52" ht="34.5" customHeight="1">
      <c r="A8" s="84">
        <v>1</v>
      </c>
      <c r="B8" s="1" t="s">
        <v>29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>
        <v>26.1</v>
      </c>
      <c r="AF8" s="3">
        <v>0</v>
      </c>
      <c r="AG8" s="14"/>
      <c r="AH8" s="3">
        <v>0.2</v>
      </c>
      <c r="AI8" s="3">
        <v>0</v>
      </c>
      <c r="AJ8" s="3">
        <f>AB8+AE8+AH8</f>
        <v>26.7</v>
      </c>
      <c r="AK8" s="3">
        <f>AC8+AF8+AI8</f>
        <v>0</v>
      </c>
      <c r="AL8" s="14">
        <f>AK8/AJ8*100</f>
        <v>0</v>
      </c>
      <c r="AM8" s="3">
        <v>-0.8</v>
      </c>
      <c r="AN8" s="3">
        <v>26.1</v>
      </c>
      <c r="AO8" s="3"/>
      <c r="AP8" s="3"/>
      <c r="AQ8" s="3"/>
      <c r="AR8" s="3"/>
      <c r="AS8" s="3">
        <f>M8+Y8+AJ8+AM8+AO8+AQ8</f>
        <v>7244.599999999999</v>
      </c>
      <c r="AT8" s="3">
        <f>N8+Z8+AK8+AN8+AP8+AR8</f>
        <v>11212.699999999999</v>
      </c>
      <c r="AU8" s="14">
        <f>AT8/AS8*100</f>
        <v>154.77321039118792</v>
      </c>
      <c r="AV8" s="3">
        <f>AS8-AT8</f>
        <v>-3968.0999999999995</v>
      </c>
      <c r="AW8" s="88">
        <f>C8+AS8-AT8</f>
        <v>-0.8999999999996362</v>
      </c>
      <c r="AX8" s="20">
        <f aca="true" t="shared" si="8" ref="AX8:AX48">M8+Y8+AJ8+AM8</f>
        <v>7244.599999999999</v>
      </c>
      <c r="AY8" s="20">
        <f aca="true" t="shared" si="9" ref="AY8:AY48">N8+Z8+AK8+AN8</f>
        <v>11212.699999999999</v>
      </c>
      <c r="AZ8" s="20">
        <f aca="true" t="shared" si="10" ref="AZ8:AZ48">C8+AX8-AY8</f>
        <v>-0.8999999999996362</v>
      </c>
    </row>
    <row r="9" spans="1:52" ht="34.5" customHeight="1">
      <c r="A9" s="84">
        <v>2</v>
      </c>
      <c r="B9" s="32" t="s">
        <v>30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14" t="e">
        <f>AK9/AJ9*100</f>
        <v>#DIV/0!</v>
      </c>
      <c r="AM9" s="3">
        <v>0</v>
      </c>
      <c r="AN9" s="3">
        <v>0</v>
      </c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88">
        <f>C9+AS9-AT9</f>
        <v>16.299999999999955</v>
      </c>
      <c r="AX9" s="20">
        <f t="shared" si="8"/>
        <v>164.1</v>
      </c>
      <c r="AY9" s="20">
        <f t="shared" si="9"/>
        <v>361.40000000000003</v>
      </c>
      <c r="AZ9" s="20">
        <f t="shared" si="10"/>
        <v>16.299999999999955</v>
      </c>
    </row>
    <row r="10" spans="1:52" ht="34.5" customHeight="1">
      <c r="A10" s="84">
        <v>3</v>
      </c>
      <c r="B10" s="15" t="s">
        <v>31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4">
        <f aca="true" t="shared" si="13" ref="AJ10:AJ44">AB10+AE10+AH10</f>
        <v>0</v>
      </c>
      <c r="AK10" s="94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32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33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>
        <v>0</v>
      </c>
      <c r="AN12" s="3">
        <v>0</v>
      </c>
      <c r="AO12" s="3"/>
      <c r="AP12" s="3"/>
      <c r="AQ12" s="3"/>
      <c r="AR12" s="3"/>
      <c r="AS12" s="3">
        <f>M12+Y12+AJ12+AM12+AO12+AQ12</f>
        <v>1446.3999999999999</v>
      </c>
      <c r="AT12" s="3">
        <f>N12+Z12+AK12+AN12+AP12+AR12</f>
        <v>3042.4</v>
      </c>
      <c r="AU12" s="14">
        <f>AT12/AS12*100</f>
        <v>210.34292035398235</v>
      </c>
      <c r="AV12" s="3">
        <f>AS12-AT12</f>
        <v>-1596.0000000000002</v>
      </c>
      <c r="AW12" s="88">
        <f>C12+AS12-AT12</f>
        <v>-106.50000000000045</v>
      </c>
      <c r="AX12" s="20">
        <f t="shared" si="8"/>
        <v>1446.3999999999999</v>
      </c>
      <c r="AY12" s="20">
        <f t="shared" si="9"/>
        <v>3042.4</v>
      </c>
      <c r="AZ12" s="20">
        <f t="shared" si="10"/>
        <v>-106.50000000000045</v>
      </c>
    </row>
    <row r="13" spans="1:52" ht="34.5" customHeight="1">
      <c r="A13" s="84">
        <v>6</v>
      </c>
      <c r="B13" s="1" t="s">
        <v>34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94">
        <f t="shared" si="13"/>
        <v>0</v>
      </c>
      <c r="AK13" s="94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65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35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>
        <v>0</v>
      </c>
      <c r="AF15" s="3">
        <v>4.9</v>
      </c>
      <c r="AG15" s="14"/>
      <c r="AH15" s="3">
        <v>3.8</v>
      </c>
      <c r="AI15" s="3">
        <v>0</v>
      </c>
      <c r="AJ15" s="3">
        <f t="shared" si="13"/>
        <v>3.8</v>
      </c>
      <c r="AK15" s="3">
        <f t="shared" si="14"/>
        <v>12.100000000000001</v>
      </c>
      <c r="AL15" s="14">
        <f>AK15/AJ15*100</f>
        <v>318.42105263157896</v>
      </c>
      <c r="AM15" s="3">
        <v>0</v>
      </c>
      <c r="AN15" s="3">
        <v>0</v>
      </c>
      <c r="AO15" s="3"/>
      <c r="AP15" s="3"/>
      <c r="AQ15" s="3"/>
      <c r="AR15" s="3"/>
      <c r="AS15" s="3">
        <f>M15+Y15+AJ15+AM15+AO15+AQ15</f>
        <v>1398.8999999999996</v>
      </c>
      <c r="AT15" s="3">
        <f>N15+Z15+AK15+AN15+AP15+AR15</f>
        <v>2366.7999999999997</v>
      </c>
      <c r="AU15" s="14">
        <f>AT15/AS15*100</f>
        <v>169.19007791836444</v>
      </c>
      <c r="AV15" s="3">
        <f>AS15-AT15</f>
        <v>-967.9000000000001</v>
      </c>
      <c r="AW15" s="88">
        <f>C15+AS15-AT15</f>
        <v>-1.2000000000002728</v>
      </c>
      <c r="AX15" s="20">
        <f t="shared" si="8"/>
        <v>1398.8999999999996</v>
      </c>
      <c r="AY15" s="20">
        <f t="shared" si="9"/>
        <v>2366.7999999999997</v>
      </c>
      <c r="AZ15" s="20">
        <f t="shared" si="10"/>
        <v>-1.2000000000002728</v>
      </c>
    </row>
    <row r="16" spans="1:52" ht="34.5" customHeight="1">
      <c r="A16" s="84">
        <v>9</v>
      </c>
      <c r="B16" s="1" t="s">
        <v>36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4">
        <f t="shared" si="13"/>
        <v>0</v>
      </c>
      <c r="AK16" s="94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37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94">
        <f t="shared" si="13"/>
        <v>0</v>
      </c>
      <c r="AK17" s="94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38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>
        <v>0</v>
      </c>
      <c r="AC18" s="3">
        <v>0</v>
      </c>
      <c r="AD18" s="14" t="e">
        <f t="shared" si="7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39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>
        <v>33.9</v>
      </c>
      <c r="AF19" s="3">
        <v>0</v>
      </c>
      <c r="AG19" s="28"/>
      <c r="AH19" s="3">
        <v>-11.8</v>
      </c>
      <c r="AI19" s="3">
        <v>0</v>
      </c>
      <c r="AJ19" s="3">
        <f t="shared" si="13"/>
        <v>26.399999999999995</v>
      </c>
      <c r="AK19" s="3">
        <f t="shared" si="14"/>
        <v>0</v>
      </c>
      <c r="AL19" s="14"/>
      <c r="AM19" s="3">
        <v>-2</v>
      </c>
      <c r="AN19" s="3">
        <v>0</v>
      </c>
      <c r="AO19" s="3"/>
      <c r="AP19" s="3"/>
      <c r="AQ19" s="3"/>
      <c r="AR19" s="3"/>
      <c r="AS19" s="3">
        <f t="shared" si="16"/>
        <v>619.4</v>
      </c>
      <c r="AT19" s="3">
        <f t="shared" si="16"/>
        <v>1198.1</v>
      </c>
      <c r="AU19" s="14">
        <f>AT19/AS19*100</f>
        <v>193.42912495963836</v>
      </c>
      <c r="AV19" s="3">
        <f>AS19-AT19</f>
        <v>-578.6999999999999</v>
      </c>
      <c r="AW19" s="88">
        <f>C19+AS19-AT19</f>
        <v>-49.299999999999955</v>
      </c>
      <c r="AX19" s="20">
        <f t="shared" si="8"/>
        <v>619.4</v>
      </c>
      <c r="AY19" s="20">
        <f t="shared" si="9"/>
        <v>1198.1</v>
      </c>
      <c r="AZ19" s="20">
        <f t="shared" si="10"/>
        <v>-49.299999999999955</v>
      </c>
    </row>
    <row r="20" spans="1:52" ht="34.5" customHeight="1">
      <c r="A20" s="84">
        <v>13</v>
      </c>
      <c r="B20" s="15" t="s">
        <v>40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28"/>
      <c r="AM20" s="94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41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42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43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44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>
        <v>6.6</v>
      </c>
      <c r="AF24" s="3">
        <v>5.8</v>
      </c>
      <c r="AG24" s="14"/>
      <c r="AH24" s="3">
        <v>10.6</v>
      </c>
      <c r="AI24" s="3">
        <v>10.6</v>
      </c>
      <c r="AJ24" s="3">
        <f t="shared" si="13"/>
        <v>17.5</v>
      </c>
      <c r="AK24" s="3">
        <f t="shared" si="14"/>
        <v>17.4</v>
      </c>
      <c r="AL24" s="14"/>
      <c r="AM24" s="3">
        <v>0.8</v>
      </c>
      <c r="AN24" s="3">
        <v>0.8</v>
      </c>
      <c r="AO24" s="3"/>
      <c r="AP24" s="3"/>
      <c r="AQ24" s="3"/>
      <c r="AR24" s="3"/>
      <c r="AS24" s="3">
        <f>M24+Y24+AJ24+AM24+AO24+AQ24</f>
        <v>2473.5</v>
      </c>
      <c r="AT24" s="3">
        <f>N24+Z24+AK24+AN24+AP24+AR24</f>
        <v>4678.099999999999</v>
      </c>
      <c r="AU24" s="14">
        <f>AT24/AS24*100</f>
        <v>189.12876490802503</v>
      </c>
      <c r="AV24" s="3">
        <f>AS24-AT24</f>
        <v>-2204.5999999999995</v>
      </c>
      <c r="AW24" s="88">
        <f>C24+AS24-AT24</f>
        <v>-10.099999999999454</v>
      </c>
      <c r="AX24" s="20">
        <f t="shared" si="8"/>
        <v>2473.5</v>
      </c>
      <c r="AY24" s="20">
        <f t="shared" si="9"/>
        <v>4678.099999999999</v>
      </c>
      <c r="AZ24" s="20">
        <f t="shared" si="10"/>
        <v>-10.099999999999454</v>
      </c>
    </row>
    <row r="25" spans="1:52" ht="34.5" customHeight="1">
      <c r="A25" s="84">
        <v>18</v>
      </c>
      <c r="B25" s="1" t="s">
        <v>45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4">
        <f t="shared" si="13"/>
        <v>0</v>
      </c>
      <c r="AK25" s="94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46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>
        <v>3.1</v>
      </c>
      <c r="AF26" s="3">
        <v>0</v>
      </c>
      <c r="AG26" s="28"/>
      <c r="AH26" s="3">
        <v>0</v>
      </c>
      <c r="AI26" s="3">
        <v>3.1</v>
      </c>
      <c r="AJ26" s="3">
        <f t="shared" si="13"/>
        <v>3.1</v>
      </c>
      <c r="AK26" s="3">
        <f t="shared" si="14"/>
        <v>3.1</v>
      </c>
      <c r="AL26" s="14"/>
      <c r="AM26" s="3">
        <v>0</v>
      </c>
      <c r="AN26" s="3">
        <v>0</v>
      </c>
      <c r="AO26" s="3"/>
      <c r="AP26" s="3"/>
      <c r="AQ26" s="3"/>
      <c r="AR26" s="3"/>
      <c r="AS26" s="3">
        <f>M26+Y26+AJ26+AM26+AO26+AQ26</f>
        <v>231.60000000000002</v>
      </c>
      <c r="AT26" s="3">
        <f>N26+Z26+AK26+AN26+AP26+AR26</f>
        <v>613.8000000000001</v>
      </c>
      <c r="AU26" s="14">
        <f>AT26/AS26*100</f>
        <v>265.0259067357513</v>
      </c>
      <c r="AV26" s="3">
        <f>AS26-AT26</f>
        <v>-382.20000000000005</v>
      </c>
      <c r="AW26" s="88">
        <f>C26+AS26-AT26</f>
        <v>0</v>
      </c>
      <c r="AX26" s="20">
        <f t="shared" si="8"/>
        <v>231.60000000000002</v>
      </c>
      <c r="AY26" s="20">
        <f t="shared" si="9"/>
        <v>613.8000000000001</v>
      </c>
      <c r="AZ26" s="20">
        <f t="shared" si="10"/>
        <v>0</v>
      </c>
    </row>
    <row r="27" spans="1:52" ht="34.5" customHeight="1">
      <c r="A27" s="84">
        <v>20</v>
      </c>
      <c r="B27" s="15" t="s">
        <v>47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>
        <v>0</v>
      </c>
      <c r="AF27" s="3">
        <v>0</v>
      </c>
      <c r="AG27" s="28"/>
      <c r="AH27" s="3">
        <v>3.2</v>
      </c>
      <c r="AI27" s="3">
        <v>0</v>
      </c>
      <c r="AJ27" s="3">
        <f t="shared" si="13"/>
        <v>3.2</v>
      </c>
      <c r="AK27" s="3">
        <f t="shared" si="14"/>
        <v>0</v>
      </c>
      <c r="AL27" s="14"/>
      <c r="AM27" s="3">
        <v>0</v>
      </c>
      <c r="AN27" s="3">
        <v>0</v>
      </c>
      <c r="AO27" s="3"/>
      <c r="AP27" s="3"/>
      <c r="AQ27" s="3"/>
      <c r="AR27" s="3"/>
      <c r="AS27" s="3">
        <f>M27+Y27+AJ27+AM27+AO27+AQ27</f>
        <v>2403.4</v>
      </c>
      <c r="AT27" s="3">
        <f>N27+Z27+AK27+AN27+AP27+AR27</f>
        <v>5602.2</v>
      </c>
      <c r="AU27" s="14">
        <f>AT27/AS27*100</f>
        <v>233.09478239161186</v>
      </c>
      <c r="AV27" s="3">
        <f>AS27-AT27</f>
        <v>-3198.7999999999997</v>
      </c>
      <c r="AW27" s="88">
        <f>C27+AS27-AT27</f>
        <v>-116.39999999999964</v>
      </c>
      <c r="AX27" s="20">
        <f t="shared" si="8"/>
        <v>2403.4</v>
      </c>
      <c r="AY27" s="20">
        <f t="shared" si="9"/>
        <v>5602.2</v>
      </c>
      <c r="AZ27" s="20">
        <f t="shared" si="10"/>
        <v>-116.39999999999964</v>
      </c>
    </row>
    <row r="28" spans="1:52" ht="34.5" customHeight="1">
      <c r="A28" s="84">
        <v>21</v>
      </c>
      <c r="B28" s="102" t="s">
        <v>48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49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50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51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52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15.4</v>
      </c>
      <c r="AF32" s="45">
        <f t="shared" si="17"/>
        <v>15.7</v>
      </c>
      <c r="AG32" s="45">
        <f t="shared" si="17"/>
        <v>0</v>
      </c>
      <c r="AH32" s="45">
        <f t="shared" si="17"/>
        <v>0</v>
      </c>
      <c r="AI32" s="45">
        <f t="shared" si="17"/>
        <v>15.4</v>
      </c>
      <c r="AJ32" s="3">
        <f t="shared" si="13"/>
        <v>30.3</v>
      </c>
      <c r="AK32" s="3">
        <f t="shared" si="14"/>
        <v>31.1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952.5999999999999</v>
      </c>
      <c r="AT32" s="45">
        <f t="shared" si="17"/>
        <v>1589.6</v>
      </c>
      <c r="AU32" s="14">
        <f>AT32/AS32*100</f>
        <v>166.8696199874029</v>
      </c>
      <c r="AV32" s="45">
        <f t="shared" si="17"/>
        <v>-637</v>
      </c>
      <c r="AW32" s="45">
        <f t="shared" si="17"/>
        <v>-0.09999999999990905</v>
      </c>
      <c r="AX32" s="20">
        <f t="shared" si="8"/>
        <v>952.5999999999999</v>
      </c>
      <c r="AY32" s="20">
        <f t="shared" si="9"/>
        <v>1589.6</v>
      </c>
      <c r="AZ32" s="20">
        <f t="shared" si="10"/>
        <v>-0.09999999999990905</v>
      </c>
    </row>
    <row r="33" spans="1:52" ht="34.5" customHeight="1">
      <c r="A33" s="84"/>
      <c r="B33" s="15" t="s">
        <v>77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94">
        <f t="shared" si="13"/>
        <v>0</v>
      </c>
      <c r="AK33" s="94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23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>
        <v>15.4</v>
      </c>
      <c r="AF34" s="3">
        <v>15.7</v>
      </c>
      <c r="AG34" s="14"/>
      <c r="AH34" s="3">
        <v>0</v>
      </c>
      <c r="AI34" s="3">
        <v>15.4</v>
      </c>
      <c r="AJ34" s="3">
        <f t="shared" si="13"/>
        <v>30.3</v>
      </c>
      <c r="AK34" s="3">
        <f t="shared" si="14"/>
        <v>31.1</v>
      </c>
      <c r="AL34" s="14"/>
      <c r="AM34" s="3">
        <v>0</v>
      </c>
      <c r="AN34" s="3">
        <v>0</v>
      </c>
      <c r="AO34" s="3"/>
      <c r="AP34" s="3"/>
      <c r="AQ34" s="3"/>
      <c r="AR34" s="3"/>
      <c r="AS34" s="3">
        <f>M34+Y34+AJ34+AM34+AO34+AQ34</f>
        <v>952.5999999999999</v>
      </c>
      <c r="AT34" s="3">
        <f>N34+Z34+AK34+AN34+AP34+AR34</f>
        <v>1589.6</v>
      </c>
      <c r="AU34" s="14">
        <f>AT34/AS34*100</f>
        <v>166.8696199874029</v>
      </c>
      <c r="AV34" s="3">
        <f>AS34-AT34</f>
        <v>-637</v>
      </c>
      <c r="AW34" s="88">
        <f>C34+AS34-AT34</f>
        <v>-0.09999999999990905</v>
      </c>
      <c r="AX34" s="20">
        <f t="shared" si="8"/>
        <v>952.5999999999999</v>
      </c>
      <c r="AY34" s="20">
        <f t="shared" si="9"/>
        <v>1589.6</v>
      </c>
      <c r="AZ34" s="20">
        <f t="shared" si="10"/>
        <v>-0.09999999999990905</v>
      </c>
    </row>
    <row r="35" spans="1:52" ht="34.5" customHeight="1" hidden="1">
      <c r="A35" s="84"/>
      <c r="B35" s="15" t="s">
        <v>25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67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94">
        <f t="shared" si="13"/>
        <v>0</v>
      </c>
      <c r="AK36" s="94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53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-115.2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-115.2</v>
      </c>
      <c r="Z37" s="3">
        <f>Q37+T37+W37</f>
        <v>1079</v>
      </c>
      <c r="AA37" s="14">
        <f>Z37/Y37*100</f>
        <v>-936.6319444444445</v>
      </c>
      <c r="AB37" s="3">
        <v>0</v>
      </c>
      <c r="AC37" s="3">
        <v>0</v>
      </c>
      <c r="AD37" s="28" t="e">
        <f t="shared" si="7"/>
        <v>#DIV/0!</v>
      </c>
      <c r="AE37" s="3">
        <v>0</v>
      </c>
      <c r="AF37" s="3">
        <v>-0.5</v>
      </c>
      <c r="AG37" s="14"/>
      <c r="AH37" s="3">
        <v>83</v>
      </c>
      <c r="AI37" s="3">
        <v>0</v>
      </c>
      <c r="AJ37" s="3">
        <f t="shared" si="13"/>
        <v>83</v>
      </c>
      <c r="AK37" s="3">
        <f t="shared" si="14"/>
        <v>-0.5</v>
      </c>
      <c r="AL37" s="14"/>
      <c r="AM37" s="3">
        <v>0</v>
      </c>
      <c r="AN37" s="3">
        <v>0</v>
      </c>
      <c r="AO37" s="3"/>
      <c r="AP37" s="3"/>
      <c r="AQ37" s="3"/>
      <c r="AR37" s="3"/>
      <c r="AS37" s="3">
        <f>M37+Y37+AJ37+AM37+AO37+AQ37</f>
        <v>2413.0000000000005</v>
      </c>
      <c r="AT37" s="3">
        <f>N37+Z37+AK37+AN37+AP37+AR37</f>
        <v>4478.4</v>
      </c>
      <c r="AU37" s="14">
        <f>AT37/AS37*100</f>
        <v>185.59469539991707</v>
      </c>
      <c r="AV37" s="3">
        <f>AS37-AT37</f>
        <v>-2065.399999999999</v>
      </c>
      <c r="AW37" s="88">
        <f>C37+AS37-AT37</f>
        <v>-15.49999999999909</v>
      </c>
      <c r="AX37" s="20">
        <f t="shared" si="8"/>
        <v>2413.0000000000005</v>
      </c>
      <c r="AY37" s="20">
        <f t="shared" si="9"/>
        <v>4478.4</v>
      </c>
      <c r="AZ37" s="20">
        <f t="shared" si="10"/>
        <v>-15.49999999999909</v>
      </c>
    </row>
    <row r="38" spans="1:52" ht="34.5" customHeight="1">
      <c r="A38" s="84">
        <v>27</v>
      </c>
      <c r="B38" s="105" t="s">
        <v>54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4">
        <f t="shared" si="13"/>
        <v>0</v>
      </c>
      <c r="AK38" s="94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55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>
        <v>-0.4</v>
      </c>
      <c r="AF39" s="3">
        <v>-40</v>
      </c>
      <c r="AG39" s="14"/>
      <c r="AH39" s="3">
        <v>0</v>
      </c>
      <c r="AI39" s="3">
        <v>0</v>
      </c>
      <c r="AJ39" s="3">
        <f t="shared" si="13"/>
        <v>-0.4</v>
      </c>
      <c r="AK39" s="3">
        <f t="shared" si="14"/>
        <v>-40</v>
      </c>
      <c r="AL39" s="14"/>
      <c r="AM39" s="3">
        <v>0</v>
      </c>
      <c r="AN39" s="3">
        <v>-40.9</v>
      </c>
      <c r="AO39" s="3"/>
      <c r="AP39" s="3"/>
      <c r="AQ39" s="3"/>
      <c r="AR39" s="3"/>
      <c r="AS39" s="3">
        <f aca="true" t="shared" si="25" ref="AS39:AT41">M39+Y39+AJ39+AM39+AO39+AQ39</f>
        <v>6492.6</v>
      </c>
      <c r="AT39" s="3">
        <f t="shared" si="25"/>
        <v>15135.9</v>
      </c>
      <c r="AU39" s="14">
        <f aca="true" t="shared" si="26" ref="AU39:AU48">AT39/AS39*100</f>
        <v>233.12540430644114</v>
      </c>
      <c r="AV39" s="3">
        <f aca="true" t="shared" si="27" ref="AV39:AV44">AS39-AT39</f>
        <v>-8643.3</v>
      </c>
      <c r="AW39" s="88">
        <f aca="true" t="shared" si="28" ref="AW39:AW44">C39+AS39-AT39</f>
        <v>-14</v>
      </c>
      <c r="AX39" s="20">
        <f t="shared" si="8"/>
        <v>6492.6</v>
      </c>
      <c r="AY39" s="20">
        <f t="shared" si="9"/>
        <v>15135.9</v>
      </c>
      <c r="AZ39" s="20">
        <f t="shared" si="10"/>
        <v>-14</v>
      </c>
    </row>
    <row r="40" spans="1:52" ht="34.5" customHeight="1">
      <c r="A40" s="84">
        <v>29</v>
      </c>
      <c r="B40" s="106" t="s">
        <v>56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>
        <v>251.4</v>
      </c>
      <c r="AF40" s="3">
        <v>0</v>
      </c>
      <c r="AG40" s="14"/>
      <c r="AH40" s="3">
        <v>0.9</v>
      </c>
      <c r="AI40" s="3">
        <v>0</v>
      </c>
      <c r="AJ40" s="3">
        <f t="shared" si="13"/>
        <v>254.8</v>
      </c>
      <c r="AK40" s="3">
        <f t="shared" si="14"/>
        <v>0</v>
      </c>
      <c r="AL40" s="14"/>
      <c r="AM40" s="3">
        <v>-0.4</v>
      </c>
      <c r="AN40" s="3">
        <v>0</v>
      </c>
      <c r="AO40" s="3"/>
      <c r="AP40" s="3"/>
      <c r="AQ40" s="3"/>
      <c r="AR40" s="3"/>
      <c r="AS40" s="3">
        <f t="shared" si="25"/>
        <v>5114.4</v>
      </c>
      <c r="AT40" s="3">
        <f t="shared" si="25"/>
        <v>15589.300000000001</v>
      </c>
      <c r="AU40" s="14">
        <f t="shared" si="26"/>
        <v>304.81190364461133</v>
      </c>
      <c r="AV40" s="3">
        <f t="shared" si="27"/>
        <v>-10474.900000000001</v>
      </c>
      <c r="AW40" s="88">
        <f t="shared" si="28"/>
        <v>-171.00000000000182</v>
      </c>
      <c r="AX40" s="20">
        <f t="shared" si="8"/>
        <v>5114.4</v>
      </c>
      <c r="AY40" s="20">
        <f t="shared" si="9"/>
        <v>15589.300000000001</v>
      </c>
      <c r="AZ40" s="20">
        <f t="shared" si="10"/>
        <v>-171.00000000000182</v>
      </c>
    </row>
    <row r="41" spans="1:52" ht="34.5" customHeight="1">
      <c r="A41" s="84">
        <v>30</v>
      </c>
      <c r="B41" s="106" t="s">
        <v>57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>
        <v>0</v>
      </c>
      <c r="AF41" s="3">
        <v>14.1</v>
      </c>
      <c r="AG41" s="14"/>
      <c r="AH41" s="3">
        <v>0</v>
      </c>
      <c r="AI41" s="3">
        <v>0</v>
      </c>
      <c r="AJ41" s="3">
        <f t="shared" si="13"/>
        <v>14.1</v>
      </c>
      <c r="AK41" s="3">
        <f t="shared" si="14"/>
        <v>77.1</v>
      </c>
      <c r="AL41" s="14"/>
      <c r="AM41" s="3">
        <v>0</v>
      </c>
      <c r="AN41" s="3">
        <v>0</v>
      </c>
      <c r="AO41" s="3"/>
      <c r="AP41" s="3"/>
      <c r="AQ41" s="3"/>
      <c r="AR41" s="3"/>
      <c r="AS41" s="3">
        <f t="shared" si="25"/>
        <v>19014.1</v>
      </c>
      <c r="AT41" s="3">
        <f t="shared" si="25"/>
        <v>30257.3</v>
      </c>
      <c r="AU41" s="97">
        <f t="shared" si="26"/>
        <v>159.1308555230066</v>
      </c>
      <c r="AV41" s="3">
        <f t="shared" si="27"/>
        <v>-11243.2</v>
      </c>
      <c r="AW41" s="88">
        <f t="shared" si="28"/>
        <v>0.5</v>
      </c>
      <c r="AX41" s="20">
        <f t="shared" si="8"/>
        <v>19014.1</v>
      </c>
      <c r="AY41" s="20">
        <f t="shared" si="9"/>
        <v>30257.3</v>
      </c>
      <c r="AZ41" s="20">
        <f t="shared" si="10"/>
        <v>0.5</v>
      </c>
    </row>
    <row r="42" spans="1:52" ht="34.5" customHeight="1">
      <c r="A42" s="84">
        <v>31</v>
      </c>
      <c r="B42" s="106" t="s">
        <v>58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3">
        <f t="shared" si="13"/>
        <v>0</v>
      </c>
      <c r="AK42" s="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59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>
        <v>1.9</v>
      </c>
      <c r="AF43" s="3">
        <v>0</v>
      </c>
      <c r="AG43" s="28"/>
      <c r="AH43" s="3">
        <v>0</v>
      </c>
      <c r="AI43" s="3">
        <v>0</v>
      </c>
      <c r="AJ43" s="3">
        <f t="shared" si="13"/>
        <v>1.9</v>
      </c>
      <c r="AK43" s="3">
        <f t="shared" si="14"/>
        <v>0</v>
      </c>
      <c r="AL43" s="14"/>
      <c r="AM43" s="3">
        <v>0</v>
      </c>
      <c r="AN43" s="3">
        <v>0</v>
      </c>
      <c r="AO43" s="3"/>
      <c r="AP43" s="3"/>
      <c r="AQ43" s="3"/>
      <c r="AR43" s="3"/>
      <c r="AS43" s="3">
        <f>M43+Y43+AJ43+AM43+AO43+AQ43</f>
        <v>7787.700000000001</v>
      </c>
      <c r="AT43" s="3">
        <f>N43+Z43+AK43+AN43+AP43+AR43</f>
        <v>11010.3</v>
      </c>
      <c r="AU43" s="14">
        <f t="shared" si="26"/>
        <v>141.38063869948763</v>
      </c>
      <c r="AV43" s="3">
        <f t="shared" si="27"/>
        <v>-3222.5999999999985</v>
      </c>
      <c r="AW43" s="88">
        <f t="shared" si="28"/>
        <v>2.100000000002183</v>
      </c>
      <c r="AX43" s="20">
        <f t="shared" si="8"/>
        <v>7787.700000000001</v>
      </c>
      <c r="AY43" s="20">
        <f t="shared" si="9"/>
        <v>11010.3</v>
      </c>
      <c r="AZ43" s="20">
        <f t="shared" si="10"/>
        <v>2.100000000002183</v>
      </c>
    </row>
    <row r="44" spans="1:52" ht="34.5" customHeight="1">
      <c r="A44" s="84">
        <v>33</v>
      </c>
      <c r="B44" s="106" t="s">
        <v>60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>
        <v>0</v>
      </c>
      <c r="AF44" s="3">
        <v>0</v>
      </c>
      <c r="AG44" s="28"/>
      <c r="AH44" s="3">
        <v>0</v>
      </c>
      <c r="AI44" s="3">
        <v>0</v>
      </c>
      <c r="AJ44" s="3">
        <f t="shared" si="13"/>
        <v>0</v>
      </c>
      <c r="AK44" s="3">
        <f t="shared" si="14"/>
        <v>0</v>
      </c>
      <c r="AL44" s="14"/>
      <c r="AM44" s="3">
        <v>0</v>
      </c>
      <c r="AN44" s="3">
        <v>0</v>
      </c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61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277</v>
      </c>
      <c r="AF45" s="45">
        <f>AF46</f>
        <v>1072</v>
      </c>
      <c r="AG45" s="14">
        <f>AF45/AE45*100</f>
        <v>387.00361010830323</v>
      </c>
      <c r="AH45" s="45">
        <f>AH46</f>
        <v>-498</v>
      </c>
      <c r="AI45" s="45">
        <f>AI46</f>
        <v>1601</v>
      </c>
      <c r="AJ45" s="45">
        <f>AJ46</f>
        <v>-839</v>
      </c>
      <c r="AK45" s="45">
        <f>AK46</f>
        <v>3015</v>
      </c>
      <c r="AL45" s="14">
        <f>AK45/AJ45*100</f>
        <v>-359.3563766388558</v>
      </c>
      <c r="AM45" s="45">
        <f aca="true" t="shared" si="29" ref="AM45:AT45">AM46</f>
        <v>-637</v>
      </c>
      <c r="AN45" s="45">
        <f t="shared" si="29"/>
        <v>567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1">
        <f t="shared" si="29"/>
        <v>130174</v>
      </c>
      <c r="AT45" s="91">
        <f t="shared" si="29"/>
        <v>185659</v>
      </c>
      <c r="AU45" s="14">
        <f t="shared" si="26"/>
        <v>142.6237190222318</v>
      </c>
      <c r="AV45" s="46">
        <f>AV46+AV47</f>
        <v>-55485</v>
      </c>
      <c r="AW45" s="46">
        <f>AW46+AW47</f>
        <v>-783</v>
      </c>
      <c r="AX45" s="20">
        <f t="shared" si="8"/>
        <v>130174</v>
      </c>
      <c r="AY45" s="20">
        <f t="shared" si="9"/>
        <v>185659</v>
      </c>
      <c r="AZ45" s="20">
        <f t="shared" si="10"/>
        <v>-783</v>
      </c>
    </row>
    <row r="46" spans="1:52" s="8" customFormat="1" ht="34.5" customHeight="1">
      <c r="A46" s="16"/>
      <c r="B46" s="1" t="s">
        <v>66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>
        <v>277</v>
      </c>
      <c r="AF46" s="3">
        <v>1072</v>
      </c>
      <c r="AG46" s="14"/>
      <c r="AH46" s="3">
        <v>-498</v>
      </c>
      <c r="AI46" s="3">
        <v>1601</v>
      </c>
      <c r="AJ46" s="3">
        <f>AB46+AE46+AH46</f>
        <v>-839</v>
      </c>
      <c r="AK46" s="3">
        <f>AC46+AF46+AI46</f>
        <v>3015</v>
      </c>
      <c r="AL46" s="14">
        <f>AK46/AJ46*100</f>
        <v>-359.3563766388558</v>
      </c>
      <c r="AM46" s="3">
        <v>-637</v>
      </c>
      <c r="AN46" s="3">
        <v>567</v>
      </c>
      <c r="AO46" s="3"/>
      <c r="AP46" s="3"/>
      <c r="AQ46" s="3"/>
      <c r="AR46" s="3"/>
      <c r="AS46" s="3">
        <f>M46+Y46+AJ46+AM46+AO46+AQ46</f>
        <v>130174</v>
      </c>
      <c r="AT46" s="3">
        <f>N46+Z46+AK46+AN46+AP46+AR46</f>
        <v>185659</v>
      </c>
      <c r="AU46" s="14">
        <f t="shared" si="26"/>
        <v>142.6237190222318</v>
      </c>
      <c r="AV46" s="3">
        <f>AS46-AT46</f>
        <v>-55485</v>
      </c>
      <c r="AW46" s="88">
        <f>C46+AS46-AT46</f>
        <v>-783</v>
      </c>
      <c r="AX46" s="20">
        <f t="shared" si="8"/>
        <v>130174</v>
      </c>
      <c r="AY46" s="20">
        <f t="shared" si="9"/>
        <v>185659</v>
      </c>
      <c r="AZ46" s="20">
        <f t="shared" si="10"/>
        <v>-783</v>
      </c>
    </row>
    <row r="47" spans="1:52" s="8" customFormat="1" ht="34.5" customHeight="1">
      <c r="A47" s="16"/>
      <c r="B47" s="1" t="s">
        <v>67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62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648.8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11764.9</v>
      </c>
      <c r="Z48" s="45">
        <f>Z7+Z45</f>
        <v>57400.899999999994</v>
      </c>
      <c r="AA48" s="14">
        <f>Z48/Y48*100</f>
        <v>487.89959965660563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615</v>
      </c>
      <c r="AF48" s="45">
        <f>AF7+AF45</f>
        <v>1072</v>
      </c>
      <c r="AG48" s="45">
        <f>AG7+AG45-AG32</f>
        <v>387.00361010830323</v>
      </c>
      <c r="AH48" s="45">
        <f>AH7+AH45</f>
        <v>-408.1</v>
      </c>
      <c r="AI48" s="45">
        <f>AI7+AI45</f>
        <v>1630.1</v>
      </c>
      <c r="AJ48" s="45">
        <f>AJ7+AJ45</f>
        <v>-358.1</v>
      </c>
      <c r="AK48" s="45">
        <f>AK7+AK45</f>
        <v>3115.3</v>
      </c>
      <c r="AL48" s="45" t="e">
        <f>AL7+AL45-AL32</f>
        <v>#DIV/0!</v>
      </c>
      <c r="AM48" s="45">
        <f aca="true" t="shared" si="30" ref="AM48:AT48">AM7+AM45</f>
        <v>-639.4</v>
      </c>
      <c r="AN48" s="45">
        <f t="shared" si="30"/>
        <v>553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191024.9</v>
      </c>
      <c r="AT48" s="45">
        <f t="shared" si="30"/>
        <v>298331.3</v>
      </c>
      <c r="AU48" s="14">
        <f t="shared" si="26"/>
        <v>156.17403804425496</v>
      </c>
      <c r="AV48" s="45">
        <f>AV7+AV45</f>
        <v>-107306.4</v>
      </c>
      <c r="AW48" s="45">
        <f>AW7+AW45</f>
        <v>-1249.099999999998</v>
      </c>
      <c r="AX48" s="20">
        <f t="shared" si="8"/>
        <v>191024.9</v>
      </c>
      <c r="AY48" s="20">
        <f t="shared" si="9"/>
        <v>298331.3</v>
      </c>
      <c r="AZ48" s="20">
        <f t="shared" si="10"/>
        <v>-1249.100000000035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233" t="s">
        <v>68</v>
      </c>
      <c r="B53" s="233"/>
      <c r="C53" s="233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69</v>
      </c>
    </row>
    <row r="54" spans="1:54" ht="73.5" customHeight="1" hidden="1">
      <c r="A54" s="244" t="s">
        <v>17</v>
      </c>
      <c r="B54" s="244"/>
      <c r="C54" s="244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42" t="s">
        <v>19</v>
      </c>
      <c r="C55" s="24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-154.70000000000186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-49.299999999999955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tabSelected="1" view="pageBreakPreview" zoomScale="70" zoomScaleNormal="75" zoomScaleSheetLayoutView="70" zoomScalePageLayoutView="0" workbookViewId="0" topLeftCell="A3">
      <pane xSplit="6" ySplit="5" topLeftCell="AN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49" sqref="AY49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0" width="13.875" style="8" customWidth="1"/>
    <col min="41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</row>
    <row r="3" spans="1:49" s="30" customFormat="1" ht="60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</row>
    <row r="4" spans="2:49" ht="34.5" customHeight="1">
      <c r="B4" s="237"/>
      <c r="C4" s="237"/>
      <c r="AW4" s="11" t="s">
        <v>28</v>
      </c>
    </row>
    <row r="5" spans="1:49" ht="36.7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9" t="s">
        <v>74</v>
      </c>
      <c r="K5" s="240"/>
      <c r="L5" s="241"/>
      <c r="M5" s="230" t="s">
        <v>76</v>
      </c>
      <c r="N5" s="231"/>
      <c r="O5" s="232"/>
      <c r="P5" s="230" t="s">
        <v>75</v>
      </c>
      <c r="Q5" s="231"/>
      <c r="R5" s="232"/>
      <c r="S5" s="239" t="s">
        <v>78</v>
      </c>
      <c r="T5" s="240"/>
      <c r="U5" s="241"/>
      <c r="V5" s="239" t="s">
        <v>79</v>
      </c>
      <c r="W5" s="240"/>
      <c r="X5" s="241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</row>
    <row r="6" spans="1:49" ht="65.2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</row>
    <row r="7" spans="1:52" s="111" customFormat="1" ht="34.5" customHeight="1">
      <c r="A7" s="108"/>
      <c r="B7" s="109" t="s">
        <v>64</v>
      </c>
      <c r="C7" s="95">
        <f aca="true" t="shared" si="0" ref="C7:AR7">SUM(C8:C44)-C33-C34-C35-C36</f>
        <v>-1732.1999999999998</v>
      </c>
      <c r="D7" s="95">
        <f t="shared" si="0"/>
        <v>13903.2</v>
      </c>
      <c r="E7" s="95">
        <f t="shared" si="0"/>
        <v>2241.4</v>
      </c>
      <c r="F7" s="95">
        <f aca="true" t="shared" si="1" ref="F7:F21">E7/D7*100</f>
        <v>16.121468438920537</v>
      </c>
      <c r="G7" s="95">
        <f t="shared" si="0"/>
        <v>9507.400000000001</v>
      </c>
      <c r="H7" s="95">
        <f t="shared" si="0"/>
        <v>5190.200000000001</v>
      </c>
      <c r="I7" s="95">
        <f aca="true" t="shared" si="2" ref="I7:I48">H7/G7*100</f>
        <v>54.591160569661525</v>
      </c>
      <c r="J7" s="95">
        <f t="shared" si="0"/>
        <v>7219.999999999999</v>
      </c>
      <c r="K7" s="95">
        <f t="shared" si="0"/>
        <v>12538.499999999998</v>
      </c>
      <c r="L7" s="95">
        <f>K7/J7*100</f>
        <v>173.6634349030471</v>
      </c>
      <c r="M7" s="95">
        <f t="shared" si="0"/>
        <v>30630.600000000002</v>
      </c>
      <c r="N7" s="95">
        <f t="shared" si="0"/>
        <v>19970.1</v>
      </c>
      <c r="O7" s="95">
        <f>N7/M7*100</f>
        <v>65.1965681377446</v>
      </c>
      <c r="P7" s="95">
        <f t="shared" si="0"/>
        <v>1098.8</v>
      </c>
      <c r="Q7" s="95">
        <f t="shared" si="0"/>
        <v>6043.9</v>
      </c>
      <c r="R7" s="95">
        <f aca="true" t="shared" si="3" ref="R7:R48">Q7/P7*100</f>
        <v>550.0455041863852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1413.7</v>
      </c>
      <c r="Z7" s="95">
        <f t="shared" si="0"/>
        <v>8522.5</v>
      </c>
      <c r="AA7" s="95">
        <f>Z7/Y7*100</f>
        <v>602.8506755322911</v>
      </c>
      <c r="AB7" s="95">
        <f t="shared" si="0"/>
        <v>157.2</v>
      </c>
      <c r="AC7" s="95">
        <f t="shared" si="0"/>
        <v>1100.2999999999997</v>
      </c>
      <c r="AD7" s="95">
        <f>AC7/AB7*100</f>
        <v>699.9363867684477</v>
      </c>
      <c r="AE7" s="95">
        <f t="shared" si="0"/>
        <v>157.2</v>
      </c>
      <c r="AF7" s="95">
        <f t="shared" si="0"/>
        <v>485</v>
      </c>
      <c r="AG7" s="95">
        <f t="shared" si="0"/>
        <v>0</v>
      </c>
      <c r="AH7" s="95">
        <f t="shared" si="0"/>
        <v>151.5</v>
      </c>
      <c r="AI7" s="95">
        <f t="shared" si="0"/>
        <v>876.3000000000001</v>
      </c>
      <c r="AJ7" s="95">
        <f t="shared" si="0"/>
        <v>465.9</v>
      </c>
      <c r="AK7" s="95">
        <f t="shared" si="0"/>
        <v>2461.6</v>
      </c>
      <c r="AL7" s="95" t="e">
        <f t="shared" si="0"/>
        <v>#DIV/0!</v>
      </c>
      <c r="AM7" s="95">
        <f t="shared" si="0"/>
        <v>602.1</v>
      </c>
      <c r="AN7" s="95">
        <f t="shared" si="0"/>
        <v>365.1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33112.299999999996</v>
      </c>
      <c r="AT7" s="95">
        <f>SUM(AT8:AT44)-AT33-AT34-AT35-AT36</f>
        <v>31319.299999999996</v>
      </c>
      <c r="AU7" s="95">
        <f>AT7/AS7*100</f>
        <v>94.58509375670067</v>
      </c>
      <c r="AV7" s="95">
        <f>SUM(AV8:AV44)-AV33-AV34-AV35-AV36</f>
        <v>1793.000000000001</v>
      </c>
      <c r="AW7" s="95">
        <f>SUM(AW8:AW44)-AW33-AW34-AW35-AW36</f>
        <v>60.80000000000069</v>
      </c>
      <c r="AX7" s="20">
        <f>M7+Y7+AJ7+AM7</f>
        <v>33112.3</v>
      </c>
      <c r="AY7" s="20">
        <f>N7+Z7+AK7+AN7</f>
        <v>31319.299999999996</v>
      </c>
      <c r="AZ7" s="20">
        <f>C7+AX7-AY7</f>
        <v>60.80000000000655</v>
      </c>
    </row>
    <row r="8" spans="1:52" s="40" customFormat="1" ht="34.5" customHeight="1">
      <c r="A8" s="6">
        <v>1</v>
      </c>
      <c r="B8" s="1" t="s">
        <v>29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64.6</v>
      </c>
      <c r="AL8" s="14" t="e">
        <f>AK8/AJ8*100</f>
        <v>#DIV/0!</v>
      </c>
      <c r="AM8" s="3">
        <v>15.8</v>
      </c>
      <c r="AN8" s="3">
        <v>3.2</v>
      </c>
      <c r="AO8" s="3"/>
      <c r="AP8" s="3"/>
      <c r="AQ8" s="3"/>
      <c r="AR8" s="3"/>
      <c r="AS8" s="3">
        <f>M8+Y8+AJ8+AM8+AO8+AQ8</f>
        <v>1016.6000000000001</v>
      </c>
      <c r="AT8" s="3">
        <f>N8+Z8+AK8+AN8+AP8+AR8</f>
        <v>1044.9</v>
      </c>
      <c r="AU8" s="14">
        <f>AT8/AS8*100</f>
        <v>102.78378910092465</v>
      </c>
      <c r="AV8" s="14">
        <f>AS8-AT8</f>
        <v>-28.299999999999955</v>
      </c>
      <c r="AW8" s="4">
        <f>C8+AS8-AT8</f>
        <v>-19</v>
      </c>
      <c r="AX8" s="20">
        <f aca="true" t="shared" si="7" ref="AX8:AX48">M8+Y8+AJ8+AM8</f>
        <v>1016.6000000000001</v>
      </c>
      <c r="AY8" s="20">
        <f aca="true" t="shared" si="8" ref="AY8:AY48">N8+Z8+AK8+AN8</f>
        <v>1044.9</v>
      </c>
      <c r="AZ8" s="20">
        <f aca="true" t="shared" si="9" ref="AZ8:AZ48">C8+AX8-AY8</f>
        <v>-19</v>
      </c>
    </row>
    <row r="9" spans="1:52" s="40" customFormat="1" ht="34.5" customHeight="1">
      <c r="A9" s="6">
        <v>2</v>
      </c>
      <c r="B9" s="32" t="s">
        <v>30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>
        <v>0</v>
      </c>
      <c r="AF9" s="3">
        <v>28.2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76.5</v>
      </c>
      <c r="AL9" s="14" t="e">
        <f>AK9/AJ9*100</f>
        <v>#DIV/0!</v>
      </c>
      <c r="AM9" s="3">
        <v>0</v>
      </c>
      <c r="AN9" s="3">
        <v>0</v>
      </c>
      <c r="AO9" s="3"/>
      <c r="AP9" s="3"/>
      <c r="AQ9" s="3"/>
      <c r="AR9" s="3"/>
      <c r="AS9" s="3">
        <f aca="true" t="shared" si="16" ref="AS9:AS44">M9+Y9+AJ9+AM9+AO9+AQ9</f>
        <v>1111.3</v>
      </c>
      <c r="AT9" s="3">
        <f aca="true" t="shared" si="17" ref="AT9:AT44">N9+Z9+AK9+AN9+AP9+AR9</f>
        <v>1293.1</v>
      </c>
      <c r="AU9" s="14">
        <f>AT9/AS9*100</f>
        <v>116.35921893278143</v>
      </c>
      <c r="AV9" s="14">
        <f aca="true" t="shared" si="18" ref="AV9:AV44">AS9-AT9</f>
        <v>-181.79999999999995</v>
      </c>
      <c r="AW9" s="4">
        <f aca="true" t="shared" si="19" ref="AW9:AW44">C9+AS9-AT9</f>
        <v>21.600000000000136</v>
      </c>
      <c r="AX9" s="20">
        <f t="shared" si="7"/>
        <v>1111.3</v>
      </c>
      <c r="AY9" s="20">
        <f t="shared" si="8"/>
        <v>1293.1</v>
      </c>
      <c r="AZ9" s="20">
        <f t="shared" si="9"/>
        <v>21.600000000000136</v>
      </c>
    </row>
    <row r="10" spans="1:52" s="40" customFormat="1" ht="34.5" customHeight="1">
      <c r="A10" s="6">
        <v>3</v>
      </c>
      <c r="B10" s="15" t="s">
        <v>31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32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167.2+66.6</f>
        <v>233.79999999999998</v>
      </c>
      <c r="H11" s="3">
        <f>51.2+51.1</f>
        <v>102.30000000000001</v>
      </c>
      <c r="I11" s="95">
        <f t="shared" si="2"/>
        <v>43.75534644995724</v>
      </c>
      <c r="J11" s="3">
        <f>131.2+91.5</f>
        <v>222.7</v>
      </c>
      <c r="K11" s="3">
        <f>47.6+158.1</f>
        <v>205.7</v>
      </c>
      <c r="L11" s="95">
        <f t="shared" si="4"/>
        <v>92.36641221374046</v>
      </c>
      <c r="M11" s="3">
        <f t="shared" si="10"/>
        <v>732</v>
      </c>
      <c r="N11" s="3">
        <f t="shared" si="11"/>
        <v>332.5</v>
      </c>
      <c r="O11" s="95">
        <f t="shared" si="5"/>
        <v>45.42349726775956</v>
      </c>
      <c r="P11" s="3">
        <f>26.8+(-21)</f>
        <v>5.800000000000001</v>
      </c>
      <c r="Q11" s="3">
        <v>220.3</v>
      </c>
      <c r="R11" s="95">
        <f t="shared" si="3"/>
        <v>3798.275862068965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5.800000000000001</v>
      </c>
      <c r="Z11" s="45">
        <f t="shared" si="13"/>
        <v>295</v>
      </c>
      <c r="AA11" s="95">
        <f t="shared" si="6"/>
        <v>5086.206896551724</v>
      </c>
      <c r="AB11" s="3">
        <v>0</v>
      </c>
      <c r="AC11" s="3">
        <v>33.6</v>
      </c>
      <c r="AD11" s="28"/>
      <c r="AE11" s="3">
        <v>0</v>
      </c>
      <c r="AF11" s="3">
        <v>17.9</v>
      </c>
      <c r="AG11" s="28"/>
      <c r="AH11" s="3">
        <v>0</v>
      </c>
      <c r="AI11" s="41">
        <v>37.5</v>
      </c>
      <c r="AJ11" s="3">
        <f t="shared" si="14"/>
        <v>0</v>
      </c>
      <c r="AK11" s="3">
        <f t="shared" si="15"/>
        <v>89</v>
      </c>
      <c r="AL11" s="14" t="e">
        <f aca="true" t="shared" si="21" ref="AL11:AL28">AK11/AJ11*100</f>
        <v>#DIV/0!</v>
      </c>
      <c r="AM11" s="3">
        <v>0</v>
      </c>
      <c r="AN11" s="3">
        <v>22.1</v>
      </c>
      <c r="AO11" s="3"/>
      <c r="AP11" s="3"/>
      <c r="AQ11" s="3"/>
      <c r="AR11" s="3"/>
      <c r="AS11" s="3">
        <f t="shared" si="16"/>
        <v>737.8</v>
      </c>
      <c r="AT11" s="3">
        <f t="shared" si="17"/>
        <v>738.6</v>
      </c>
      <c r="AU11" s="14">
        <f>AT11/AS11*100</f>
        <v>100.10843046896179</v>
      </c>
      <c r="AV11" s="14">
        <f t="shared" si="18"/>
        <v>-0.8000000000000682</v>
      </c>
      <c r="AW11" s="4">
        <f t="shared" si="19"/>
        <v>0.8999999999999773</v>
      </c>
      <c r="AX11" s="20">
        <f t="shared" si="7"/>
        <v>737.8</v>
      </c>
      <c r="AY11" s="20">
        <f t="shared" si="8"/>
        <v>738.6</v>
      </c>
      <c r="AZ11" s="20">
        <f t="shared" si="9"/>
        <v>0.8999999999999773</v>
      </c>
    </row>
    <row r="12" spans="1:52" s="40" customFormat="1" ht="34.5" customHeight="1">
      <c r="A12" s="6">
        <v>5</v>
      </c>
      <c r="B12" s="1" t="s">
        <v>33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>
        <v>0</v>
      </c>
      <c r="AF12" s="3">
        <v>28.9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63.4</v>
      </c>
      <c r="AL12" s="14" t="e">
        <f t="shared" si="21"/>
        <v>#DIV/0!</v>
      </c>
      <c r="AM12" s="3">
        <v>40.1</v>
      </c>
      <c r="AN12" s="3">
        <v>0</v>
      </c>
      <c r="AO12" s="3"/>
      <c r="AP12" s="3"/>
      <c r="AQ12" s="3"/>
      <c r="AR12" s="3"/>
      <c r="AS12" s="3">
        <f t="shared" si="16"/>
        <v>865.5000000000001</v>
      </c>
      <c r="AT12" s="3">
        <f t="shared" si="17"/>
        <v>877.9</v>
      </c>
      <c r="AU12" s="14">
        <f>AT12/AS12*100</f>
        <v>101.43269786250721</v>
      </c>
      <c r="AV12" s="14">
        <f t="shared" si="18"/>
        <v>-12.399999999999864</v>
      </c>
      <c r="AW12" s="4">
        <f t="shared" si="19"/>
        <v>41.80000000000018</v>
      </c>
      <c r="AX12" s="20">
        <f t="shared" si="7"/>
        <v>865.5000000000001</v>
      </c>
      <c r="AY12" s="20">
        <f t="shared" si="8"/>
        <v>877.9</v>
      </c>
      <c r="AZ12" s="20">
        <f t="shared" si="9"/>
        <v>41.80000000000018</v>
      </c>
    </row>
    <row r="13" spans="1:52" s="40" customFormat="1" ht="34.5" customHeight="1">
      <c r="A13" s="6">
        <v>6</v>
      </c>
      <c r="B13" s="1" t="s">
        <v>34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>
        <v>0</v>
      </c>
      <c r="AF13" s="3">
        <v>4.7</v>
      </c>
      <c r="AG13" s="28"/>
      <c r="AH13" s="3">
        <v>0</v>
      </c>
      <c r="AI13" s="3">
        <v>0</v>
      </c>
      <c r="AJ13" s="3">
        <f t="shared" si="14"/>
        <v>0</v>
      </c>
      <c r="AK13" s="3">
        <f t="shared" si="15"/>
        <v>4.7</v>
      </c>
      <c r="AL13" s="28" t="e">
        <f t="shared" si="21"/>
        <v>#DIV/0!</v>
      </c>
      <c r="AM13" s="3">
        <v>7.4</v>
      </c>
      <c r="AN13" s="3">
        <v>19.6</v>
      </c>
      <c r="AO13" s="3"/>
      <c r="AP13" s="3"/>
      <c r="AQ13" s="3"/>
      <c r="AR13" s="3"/>
      <c r="AS13" s="3">
        <f t="shared" si="16"/>
        <v>363.79999999999995</v>
      </c>
      <c r="AT13" s="3">
        <f t="shared" si="17"/>
        <v>316.8</v>
      </c>
      <c r="AU13" s="14">
        <f>AT13/AS13*100</f>
        <v>87.08081363386478</v>
      </c>
      <c r="AV13" s="14">
        <f t="shared" si="18"/>
        <v>46.99999999999994</v>
      </c>
      <c r="AW13" s="4">
        <f t="shared" si="19"/>
        <v>-65.70000000000005</v>
      </c>
      <c r="AX13" s="20">
        <f t="shared" si="7"/>
        <v>363.79999999999995</v>
      </c>
      <c r="AY13" s="20">
        <f t="shared" si="8"/>
        <v>316.8</v>
      </c>
      <c r="AZ13" s="20">
        <f t="shared" si="9"/>
        <v>-65.70000000000005</v>
      </c>
    </row>
    <row r="14" spans="1:52" s="40" customFormat="1" ht="34.5" customHeight="1">
      <c r="A14" s="6">
        <v>7</v>
      </c>
      <c r="B14" s="1" t="s">
        <v>65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>
        <v>0</v>
      </c>
      <c r="AF14" s="41">
        <v>0</v>
      </c>
      <c r="AG14" s="33"/>
      <c r="AH14" s="41">
        <v>0</v>
      </c>
      <c r="AI14" s="41">
        <v>0</v>
      </c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>
        <v>0</v>
      </c>
      <c r="AN14" s="41">
        <v>0</v>
      </c>
      <c r="AO14" s="41"/>
      <c r="AP14" s="41"/>
      <c r="AQ14" s="41"/>
      <c r="AR14" s="41"/>
      <c r="AS14" s="3">
        <f t="shared" si="16"/>
        <v>597.6</v>
      </c>
      <c r="AT14" s="3">
        <f t="shared" si="17"/>
        <v>597.7</v>
      </c>
      <c r="AU14" s="14">
        <f aca="true" t="shared" si="22" ref="AU14:AU22">AT14/AS14*100</f>
        <v>100.01673360107095</v>
      </c>
      <c r="AV14" s="14">
        <f t="shared" si="18"/>
        <v>-0.10000000000002274</v>
      </c>
      <c r="AW14" s="4">
        <f t="shared" si="19"/>
        <v>-0.10000000000002274</v>
      </c>
      <c r="AX14" s="20">
        <f t="shared" si="7"/>
        <v>597.6</v>
      </c>
      <c r="AY14" s="20">
        <f t="shared" si="8"/>
        <v>597.7</v>
      </c>
      <c r="AZ14" s="20">
        <f t="shared" si="9"/>
        <v>-0.10000000000002274</v>
      </c>
    </row>
    <row r="15" spans="1:52" s="40" customFormat="1" ht="34.5" customHeight="1">
      <c r="A15" s="6">
        <v>8</v>
      </c>
      <c r="B15" s="1" t="s">
        <v>35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/>
      <c r="AH15" s="3">
        <v>0</v>
      </c>
      <c r="AI15" s="3">
        <v>0</v>
      </c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>
        <v>136.9</v>
      </c>
      <c r="AN15" s="3">
        <v>61.6</v>
      </c>
      <c r="AO15" s="3"/>
      <c r="AP15" s="3"/>
      <c r="AQ15" s="3"/>
      <c r="AR15" s="3"/>
      <c r="AS15" s="3">
        <f t="shared" si="16"/>
        <v>1850.0000000000002</v>
      </c>
      <c r="AT15" s="3">
        <f t="shared" si="17"/>
        <v>1754.7</v>
      </c>
      <c r="AU15" s="14">
        <f t="shared" si="22"/>
        <v>94.84864864864863</v>
      </c>
      <c r="AV15" s="14">
        <f t="shared" si="18"/>
        <v>95.30000000000018</v>
      </c>
      <c r="AW15" s="4">
        <f t="shared" si="19"/>
        <v>78.40000000000009</v>
      </c>
      <c r="AX15" s="20">
        <f t="shared" si="7"/>
        <v>1850.0000000000002</v>
      </c>
      <c r="AY15" s="20">
        <f t="shared" si="8"/>
        <v>1754.7</v>
      </c>
      <c r="AZ15" s="20">
        <f t="shared" si="9"/>
        <v>78.40000000000009</v>
      </c>
    </row>
    <row r="16" spans="1:52" s="40" customFormat="1" ht="34.5" customHeight="1">
      <c r="A16" s="6">
        <v>9</v>
      </c>
      <c r="B16" s="1" t="s">
        <v>36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>
        <v>0</v>
      </c>
      <c r="AF16" s="3">
        <v>0</v>
      </c>
      <c r="AG16" s="28"/>
      <c r="AH16" s="3">
        <v>0</v>
      </c>
      <c r="AI16" s="3">
        <v>0</v>
      </c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>
        <v>0.7</v>
      </c>
      <c r="AN16" s="3">
        <v>0</v>
      </c>
      <c r="AO16" s="3"/>
      <c r="AP16" s="3"/>
      <c r="AQ16" s="3"/>
      <c r="AR16" s="3"/>
      <c r="AS16" s="3">
        <f t="shared" si="16"/>
        <v>143.39999999999998</v>
      </c>
      <c r="AT16" s="3">
        <f t="shared" si="17"/>
        <v>185</v>
      </c>
      <c r="AU16" s="14">
        <f t="shared" si="22"/>
        <v>129.0097629009763</v>
      </c>
      <c r="AV16" s="14">
        <f t="shared" si="18"/>
        <v>-41.60000000000002</v>
      </c>
      <c r="AW16" s="4">
        <f t="shared" si="19"/>
        <v>0.6999999999999886</v>
      </c>
      <c r="AX16" s="20">
        <f t="shared" si="7"/>
        <v>143.39999999999998</v>
      </c>
      <c r="AY16" s="20">
        <f t="shared" si="8"/>
        <v>185</v>
      </c>
      <c r="AZ16" s="20">
        <f t="shared" si="9"/>
        <v>0.6999999999999886</v>
      </c>
    </row>
    <row r="17" spans="1:52" s="40" customFormat="1" ht="34.5" customHeight="1">
      <c r="A17" s="6">
        <v>10</v>
      </c>
      <c r="B17" s="15" t="s">
        <v>37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38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503.8</v>
      </c>
      <c r="AT18" s="3">
        <f t="shared" si="17"/>
        <v>521.2</v>
      </c>
      <c r="AU18" s="14">
        <f t="shared" si="22"/>
        <v>103.45375148868598</v>
      </c>
      <c r="AV18" s="14">
        <f t="shared" si="18"/>
        <v>-17.400000000000034</v>
      </c>
      <c r="AW18" s="4">
        <f t="shared" si="19"/>
        <v>-17.400000000000034</v>
      </c>
      <c r="AX18" s="20">
        <f t="shared" si="7"/>
        <v>503.8</v>
      </c>
      <c r="AY18" s="20">
        <f t="shared" si="8"/>
        <v>521.2</v>
      </c>
      <c r="AZ18" s="20">
        <f t="shared" si="9"/>
        <v>-17.400000000000034</v>
      </c>
    </row>
    <row r="19" spans="1:52" s="40" customFormat="1" ht="34.5" customHeight="1">
      <c r="A19" s="6">
        <v>12</v>
      </c>
      <c r="B19" s="1" t="s">
        <v>39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>
        <v>12.5</v>
      </c>
      <c r="AN19" s="3">
        <v>0</v>
      </c>
      <c r="AO19" s="3"/>
      <c r="AP19" s="3"/>
      <c r="AQ19" s="3"/>
      <c r="AR19" s="3"/>
      <c r="AS19" s="3">
        <f t="shared" si="16"/>
        <v>694.7</v>
      </c>
      <c r="AT19" s="3">
        <f t="shared" si="17"/>
        <v>694.7</v>
      </c>
      <c r="AU19" s="14">
        <f t="shared" si="22"/>
        <v>100</v>
      </c>
      <c r="AV19" s="14">
        <f t="shared" si="18"/>
        <v>0</v>
      </c>
      <c r="AW19" s="4">
        <f t="shared" si="19"/>
        <v>13.399999999999977</v>
      </c>
      <c r="AX19" s="20">
        <f t="shared" si="7"/>
        <v>694.7</v>
      </c>
      <c r="AY19" s="20">
        <f t="shared" si="8"/>
        <v>694.7</v>
      </c>
      <c r="AZ19" s="20">
        <f t="shared" si="9"/>
        <v>13.399999999999977</v>
      </c>
    </row>
    <row r="20" spans="1:52" s="40" customFormat="1" ht="34.5" customHeight="1">
      <c r="A20" s="6">
        <v>13</v>
      </c>
      <c r="B20" s="15" t="s">
        <v>40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41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42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>
        <v>0</v>
      </c>
      <c r="AF22" s="3">
        <v>0</v>
      </c>
      <c r="AG22" s="28"/>
      <c r="AH22" s="3">
        <v>0</v>
      </c>
      <c r="AI22" s="3">
        <v>16.3</v>
      </c>
      <c r="AJ22" s="3">
        <f t="shared" si="14"/>
        <v>0</v>
      </c>
      <c r="AK22" s="3">
        <f t="shared" si="15"/>
        <v>39</v>
      </c>
      <c r="AL22" s="28" t="e">
        <f t="shared" si="21"/>
        <v>#DIV/0!</v>
      </c>
      <c r="AM22" s="3">
        <v>0</v>
      </c>
      <c r="AN22" s="3">
        <v>0</v>
      </c>
      <c r="AO22" s="3"/>
      <c r="AP22" s="3"/>
      <c r="AQ22" s="3"/>
      <c r="AR22" s="3"/>
      <c r="AS22" s="3">
        <f t="shared" si="16"/>
        <v>368.5</v>
      </c>
      <c r="AT22" s="3">
        <f t="shared" si="17"/>
        <v>331.6</v>
      </c>
      <c r="AU22" s="14">
        <f t="shared" si="22"/>
        <v>89.9864314789688</v>
      </c>
      <c r="AV22" s="14">
        <f t="shared" si="18"/>
        <v>36.89999999999998</v>
      </c>
      <c r="AW22" s="4">
        <f t="shared" si="19"/>
        <v>27.299999999999955</v>
      </c>
      <c r="AX22" s="20">
        <f t="shared" si="7"/>
        <v>368.5</v>
      </c>
      <c r="AY22" s="20">
        <f t="shared" si="8"/>
        <v>331.6</v>
      </c>
      <c r="AZ22" s="20">
        <f t="shared" si="9"/>
        <v>27.299999999999955</v>
      </c>
    </row>
    <row r="23" spans="1:52" ht="34.5" customHeight="1">
      <c r="A23" s="6">
        <v>16</v>
      </c>
      <c r="B23" s="15" t="s">
        <v>43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44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>
        <v>0</v>
      </c>
      <c r="AF24" s="3">
        <v>190.4</v>
      </c>
      <c r="AG24" s="28"/>
      <c r="AH24" s="3">
        <v>0</v>
      </c>
      <c r="AI24" s="3">
        <v>1.5</v>
      </c>
      <c r="AJ24" s="3">
        <f t="shared" si="14"/>
        <v>0</v>
      </c>
      <c r="AK24" s="3">
        <f t="shared" si="15"/>
        <v>193.4</v>
      </c>
      <c r="AL24" s="28" t="e">
        <f t="shared" si="21"/>
        <v>#DIV/0!</v>
      </c>
      <c r="AM24" s="3">
        <v>0</v>
      </c>
      <c r="AN24" s="3">
        <v>35.2</v>
      </c>
      <c r="AO24" s="3"/>
      <c r="AP24" s="3"/>
      <c r="AQ24" s="3"/>
      <c r="AR24" s="3"/>
      <c r="AS24" s="3">
        <f t="shared" si="16"/>
        <v>1021.5</v>
      </c>
      <c r="AT24" s="3">
        <f t="shared" si="17"/>
        <v>1010.9</v>
      </c>
      <c r="AU24" s="14">
        <f>AT24/AS24*100</f>
        <v>98.96231032794908</v>
      </c>
      <c r="AV24" s="14">
        <f t="shared" si="18"/>
        <v>10.600000000000023</v>
      </c>
      <c r="AW24" s="4">
        <f t="shared" si="19"/>
        <v>-60.60000000000002</v>
      </c>
      <c r="AX24" s="20">
        <f t="shared" si="7"/>
        <v>1021.5</v>
      </c>
      <c r="AY24" s="20">
        <f t="shared" si="8"/>
        <v>1010.9</v>
      </c>
      <c r="AZ24" s="20">
        <f t="shared" si="9"/>
        <v>-60.60000000000002</v>
      </c>
    </row>
    <row r="25" spans="1:52" s="40" customFormat="1" ht="34.5" customHeight="1">
      <c r="A25" s="6">
        <v>18</v>
      </c>
      <c r="B25" s="1" t="s">
        <v>45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>
        <v>0</v>
      </c>
      <c r="AF25" s="3">
        <v>0</v>
      </c>
      <c r="AG25" s="14"/>
      <c r="AH25" s="3">
        <v>0</v>
      </c>
      <c r="AI25" s="3">
        <v>0</v>
      </c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>
        <v>22.7</v>
      </c>
      <c r="AN25" s="3">
        <v>0</v>
      </c>
      <c r="AO25" s="3"/>
      <c r="AP25" s="3"/>
      <c r="AQ25" s="3"/>
      <c r="AR25" s="3"/>
      <c r="AS25" s="3">
        <f t="shared" si="16"/>
        <v>975</v>
      </c>
      <c r="AT25" s="3">
        <f t="shared" si="17"/>
        <v>978.1</v>
      </c>
      <c r="AU25" s="14">
        <f>AT25/AS25*100</f>
        <v>100.31794871794872</v>
      </c>
      <c r="AV25" s="14">
        <f t="shared" si="18"/>
        <v>-3.1000000000000227</v>
      </c>
      <c r="AW25" s="4">
        <f t="shared" si="19"/>
        <v>22.699999999999932</v>
      </c>
      <c r="AX25" s="20">
        <f t="shared" si="7"/>
        <v>975</v>
      </c>
      <c r="AY25" s="20">
        <f t="shared" si="8"/>
        <v>978.1</v>
      </c>
      <c r="AZ25" s="20">
        <f t="shared" si="9"/>
        <v>22.699999999999932</v>
      </c>
    </row>
    <row r="26" spans="1:52" ht="34.5" customHeight="1">
      <c r="A26" s="6">
        <v>19</v>
      </c>
      <c r="B26" s="15" t="s">
        <v>46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47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>
        <v>0</v>
      </c>
      <c r="AF27" s="3">
        <v>4.7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14.100000000000001</v>
      </c>
      <c r="AL27" s="14" t="e">
        <f t="shared" si="21"/>
        <v>#DIV/0!</v>
      </c>
      <c r="AM27" s="3">
        <v>0</v>
      </c>
      <c r="AN27" s="3">
        <v>0</v>
      </c>
      <c r="AO27" s="3"/>
      <c r="AP27" s="3"/>
      <c r="AQ27" s="3"/>
      <c r="AR27" s="3"/>
      <c r="AS27" s="3">
        <f t="shared" si="16"/>
        <v>85.1</v>
      </c>
      <c r="AT27" s="3">
        <f t="shared" si="17"/>
        <v>85.1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7"/>
        <v>85.1</v>
      </c>
      <c r="AY27" s="20">
        <f t="shared" si="8"/>
        <v>85.1</v>
      </c>
      <c r="AZ27" s="20">
        <f t="shared" si="9"/>
        <v>0</v>
      </c>
    </row>
    <row r="28" spans="1:52" s="40" customFormat="1" ht="34.5" customHeight="1">
      <c r="A28" s="6">
        <v>21</v>
      </c>
      <c r="B28" s="102" t="s">
        <v>48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>
        <v>0</v>
      </c>
      <c r="AF28" s="3">
        <v>41.7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41.7</v>
      </c>
      <c r="AL28" s="14" t="e">
        <f t="shared" si="21"/>
        <v>#DIV/0!</v>
      </c>
      <c r="AM28" s="41">
        <v>22.3</v>
      </c>
      <c r="AN28" s="41">
        <v>0</v>
      </c>
      <c r="AO28" s="41"/>
      <c r="AP28" s="41"/>
      <c r="AQ28" s="41"/>
      <c r="AR28" s="41"/>
      <c r="AS28" s="3">
        <f t="shared" si="16"/>
        <v>1034.4</v>
      </c>
      <c r="AT28" s="3">
        <f t="shared" si="17"/>
        <v>1044.9</v>
      </c>
      <c r="AU28" s="14">
        <f>AT28/AS28*100</f>
        <v>101.01508120649652</v>
      </c>
      <c r="AV28" s="14">
        <f t="shared" si="18"/>
        <v>-10.5</v>
      </c>
      <c r="AW28" s="4">
        <f t="shared" si="19"/>
        <v>115.09999999999991</v>
      </c>
      <c r="AX28" s="20">
        <f t="shared" si="7"/>
        <v>1034.4</v>
      </c>
      <c r="AY28" s="20">
        <f t="shared" si="8"/>
        <v>1044.9</v>
      </c>
      <c r="AZ28" s="20">
        <f t="shared" si="9"/>
        <v>115.09999999999991</v>
      </c>
    </row>
    <row r="29" spans="1:52" ht="34.5" customHeight="1">
      <c r="A29" s="6">
        <v>22</v>
      </c>
      <c r="B29" s="1" t="s">
        <v>49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50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51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52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368.9</v>
      </c>
      <c r="AJ32" s="45">
        <f t="shared" si="25"/>
        <v>0</v>
      </c>
      <c r="AK32" s="45">
        <f t="shared" si="25"/>
        <v>368.9</v>
      </c>
      <c r="AL32" s="45" t="e">
        <f t="shared" si="25"/>
        <v>#DIV/0!</v>
      </c>
      <c r="AM32" s="45">
        <f t="shared" si="25"/>
        <v>3.3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6154.2</v>
      </c>
      <c r="AT32" s="3">
        <f t="shared" si="17"/>
        <v>6532.699999999999</v>
      </c>
      <c r="AU32" s="14">
        <f>AT32/AS32*100</f>
        <v>106.15027135939683</v>
      </c>
      <c r="AV32" s="45">
        <f>AV33+AV34+AV35+AV36</f>
        <v>-378.49999999999943</v>
      </c>
      <c r="AW32" s="45">
        <f>AW33+AW34+AW35+AW36</f>
        <v>-371.39999999999947</v>
      </c>
      <c r="AX32" s="20">
        <f t="shared" si="7"/>
        <v>6154.2</v>
      </c>
      <c r="AY32" s="20">
        <f t="shared" si="8"/>
        <v>6532.699999999999</v>
      </c>
      <c r="AZ32" s="20">
        <f t="shared" si="9"/>
        <v>-371.3999999999987</v>
      </c>
    </row>
    <row r="33" spans="1:52" s="40" customFormat="1" ht="34.5" customHeight="1">
      <c r="A33" s="6"/>
      <c r="B33" s="15" t="s">
        <v>77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>
        <v>3.3</v>
      </c>
      <c r="AN33" s="3">
        <v>0</v>
      </c>
      <c r="AO33" s="3"/>
      <c r="AP33" s="3"/>
      <c r="AQ33" s="3"/>
      <c r="AR33" s="3"/>
      <c r="AS33" s="3">
        <f t="shared" si="16"/>
        <v>130.4</v>
      </c>
      <c r="AT33" s="3">
        <f t="shared" si="17"/>
        <v>138.3</v>
      </c>
      <c r="AU33" s="14">
        <f>AT33/AS33*100</f>
        <v>106.05828220858898</v>
      </c>
      <c r="AV33" s="14">
        <f t="shared" si="18"/>
        <v>-7.900000000000006</v>
      </c>
      <c r="AW33" s="4">
        <f t="shared" si="19"/>
        <v>-0.8000000000000114</v>
      </c>
      <c r="AX33" s="20">
        <f t="shared" si="7"/>
        <v>130.4</v>
      </c>
      <c r="AY33" s="20">
        <f t="shared" si="8"/>
        <v>138.3</v>
      </c>
      <c r="AZ33" s="20">
        <f t="shared" si="9"/>
        <v>-0.8000000000000114</v>
      </c>
    </row>
    <row r="34" spans="1:52" s="40" customFormat="1" ht="34.5" customHeight="1">
      <c r="A34" s="6"/>
      <c r="B34" s="15" t="s">
        <v>23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>
        <v>0</v>
      </c>
      <c r="AF34" s="3">
        <v>0</v>
      </c>
      <c r="AG34" s="28"/>
      <c r="AH34" s="3">
        <v>0</v>
      </c>
      <c r="AI34" s="3">
        <v>368.9</v>
      </c>
      <c r="AJ34" s="3">
        <f>AB34+AE34+AH34</f>
        <v>0</v>
      </c>
      <c r="AK34" s="3">
        <f>AC34+AF34+AI34</f>
        <v>368.9</v>
      </c>
      <c r="AL34" s="14" t="e">
        <f>AK34/AJ34*100</f>
        <v>#DIV/0!</v>
      </c>
      <c r="AM34" s="3">
        <v>0</v>
      </c>
      <c r="AN34" s="3">
        <v>0</v>
      </c>
      <c r="AO34" s="3"/>
      <c r="AP34" s="3"/>
      <c r="AQ34" s="3"/>
      <c r="AR34" s="3"/>
      <c r="AS34" s="3">
        <f t="shared" si="16"/>
        <v>6023.8</v>
      </c>
      <c r="AT34" s="3">
        <f>N34+Z34+AK34+AN34+AP34+AR34</f>
        <v>6394.4</v>
      </c>
      <c r="AU34" s="14">
        <f>AT34/AS34*100</f>
        <v>106.15226269132441</v>
      </c>
      <c r="AV34" s="14">
        <f>AS34-AT34</f>
        <v>-370.59999999999945</v>
      </c>
      <c r="AW34" s="4">
        <f>C34+AS34-AT34</f>
        <v>-370.59999999999945</v>
      </c>
      <c r="AX34" s="20">
        <f t="shared" si="7"/>
        <v>6023.8</v>
      </c>
      <c r="AY34" s="20">
        <f t="shared" si="8"/>
        <v>6394.4</v>
      </c>
      <c r="AZ34" s="20">
        <f t="shared" si="9"/>
        <v>-370.59999999999945</v>
      </c>
    </row>
    <row r="35" spans="1:52" s="40" customFormat="1" ht="34.5" customHeight="1" hidden="1">
      <c r="A35" s="6"/>
      <c r="B35" s="15" t="s">
        <v>25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67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53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54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1.7</v>
      </c>
      <c r="AJ38" s="3">
        <f t="shared" si="14"/>
        <v>0</v>
      </c>
      <c r="AK38" s="3">
        <f t="shared" si="15"/>
        <v>1.7</v>
      </c>
      <c r="AL38" s="14" t="e">
        <f t="shared" si="26"/>
        <v>#DIV/0!</v>
      </c>
      <c r="AM38" s="3">
        <v>17.2</v>
      </c>
      <c r="AN38" s="3">
        <v>0</v>
      </c>
      <c r="AO38" s="3"/>
      <c r="AP38" s="3"/>
      <c r="AQ38" s="3"/>
      <c r="AR38" s="3"/>
      <c r="AS38" s="3">
        <f t="shared" si="16"/>
        <v>745.0000000000001</v>
      </c>
      <c r="AT38" s="3">
        <f t="shared" si="17"/>
        <v>838.9000000000001</v>
      </c>
      <c r="AU38" s="14">
        <f aca="true" t="shared" si="29" ref="AU38:AU47">AT38/AS38*100</f>
        <v>112.60402684563758</v>
      </c>
      <c r="AV38" s="14">
        <f t="shared" si="18"/>
        <v>-93.89999999999998</v>
      </c>
      <c r="AW38" s="4">
        <f t="shared" si="19"/>
        <v>-94.69999999999993</v>
      </c>
      <c r="AX38" s="20">
        <f t="shared" si="7"/>
        <v>745.0000000000001</v>
      </c>
      <c r="AY38" s="20">
        <f t="shared" si="8"/>
        <v>838.9000000000001</v>
      </c>
      <c r="AZ38" s="20">
        <f t="shared" si="9"/>
        <v>-94.69999999999993</v>
      </c>
    </row>
    <row r="39" spans="1:52" s="40" customFormat="1" ht="34.5" customHeight="1">
      <c r="A39" s="6">
        <v>28</v>
      </c>
      <c r="B39" s="106" t="s">
        <v>55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>
        <v>57.2</v>
      </c>
      <c r="AF39" s="3">
        <v>37</v>
      </c>
      <c r="AG39" s="28"/>
      <c r="AH39" s="3">
        <v>51.6</v>
      </c>
      <c r="AI39" s="3">
        <v>46.1</v>
      </c>
      <c r="AJ39" s="3">
        <f t="shared" si="14"/>
        <v>166</v>
      </c>
      <c r="AK39" s="3">
        <f t="shared" si="15"/>
        <v>210</v>
      </c>
      <c r="AL39" s="14">
        <f t="shared" si="26"/>
        <v>126.50602409638554</v>
      </c>
      <c r="AM39" s="3">
        <v>62.9</v>
      </c>
      <c r="AN39" s="3">
        <v>37.8</v>
      </c>
      <c r="AO39" s="3"/>
      <c r="AP39" s="3"/>
      <c r="AQ39" s="3"/>
      <c r="AR39" s="3"/>
      <c r="AS39" s="3">
        <f t="shared" si="16"/>
        <v>1357.5</v>
      </c>
      <c r="AT39" s="3">
        <f t="shared" si="17"/>
        <v>942.6999999999999</v>
      </c>
      <c r="AU39" s="14">
        <f t="shared" si="29"/>
        <v>69.44383057090239</v>
      </c>
      <c r="AV39" s="14">
        <f t="shared" si="18"/>
        <v>414.80000000000007</v>
      </c>
      <c r="AW39" s="4">
        <f t="shared" si="19"/>
        <v>94.70000000000016</v>
      </c>
      <c r="AX39" s="20">
        <f t="shared" si="7"/>
        <v>1357.5</v>
      </c>
      <c r="AY39" s="20">
        <f t="shared" si="8"/>
        <v>942.6999999999999</v>
      </c>
      <c r="AZ39" s="20">
        <f t="shared" si="9"/>
        <v>94.70000000000016</v>
      </c>
    </row>
    <row r="40" spans="1:52" s="40" customFormat="1" ht="34.5" customHeight="1">
      <c r="A40" s="6">
        <v>29</v>
      </c>
      <c r="B40" s="106" t="s">
        <v>56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>
        <v>0</v>
      </c>
      <c r="AF40" s="3">
        <v>0</v>
      </c>
      <c r="AG40" s="28"/>
      <c r="AH40" s="3">
        <v>0</v>
      </c>
      <c r="AI40" s="3">
        <v>231.9</v>
      </c>
      <c r="AJ40" s="3">
        <f t="shared" si="14"/>
        <v>0</v>
      </c>
      <c r="AK40" s="3">
        <f t="shared" si="15"/>
        <v>243.9</v>
      </c>
      <c r="AL40" s="14" t="e">
        <f t="shared" si="26"/>
        <v>#DIV/0!</v>
      </c>
      <c r="AM40" s="3">
        <v>0</v>
      </c>
      <c r="AN40" s="3">
        <v>0</v>
      </c>
      <c r="AO40" s="3"/>
      <c r="AP40" s="3"/>
      <c r="AQ40" s="3"/>
      <c r="AR40" s="3"/>
      <c r="AS40" s="3">
        <f t="shared" si="16"/>
        <v>3842.6000000000004</v>
      </c>
      <c r="AT40" s="3">
        <f t="shared" si="17"/>
        <v>3524.2000000000003</v>
      </c>
      <c r="AU40" s="14">
        <f t="shared" si="29"/>
        <v>91.71394368396399</v>
      </c>
      <c r="AV40" s="14">
        <f t="shared" si="18"/>
        <v>318.4000000000001</v>
      </c>
      <c r="AW40" s="4">
        <f t="shared" si="19"/>
        <v>-268.5</v>
      </c>
      <c r="AX40" s="20">
        <f t="shared" si="7"/>
        <v>3842.6000000000004</v>
      </c>
      <c r="AY40" s="20">
        <f t="shared" si="8"/>
        <v>3524.2000000000003</v>
      </c>
      <c r="AZ40" s="20">
        <f t="shared" si="9"/>
        <v>-268.5</v>
      </c>
    </row>
    <row r="41" spans="1:52" ht="34.5" customHeight="1">
      <c r="A41" s="6">
        <v>30</v>
      </c>
      <c r="B41" s="106" t="s">
        <v>57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>
        <v>0</v>
      </c>
      <c r="AF41" s="3">
        <v>0</v>
      </c>
      <c r="AG41" s="28"/>
      <c r="AH41" s="3">
        <v>0</v>
      </c>
      <c r="AI41" s="3">
        <v>0</v>
      </c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>
        <v>87.9</v>
      </c>
      <c r="AN41" s="3">
        <v>15.6</v>
      </c>
      <c r="AO41" s="3"/>
      <c r="AP41" s="3"/>
      <c r="AQ41" s="3"/>
      <c r="AR41" s="3"/>
      <c r="AS41" s="3">
        <f t="shared" si="16"/>
        <v>3975.7000000000003</v>
      </c>
      <c r="AT41" s="3">
        <f t="shared" si="17"/>
        <v>3356.7</v>
      </c>
      <c r="AU41" s="97">
        <f t="shared" si="29"/>
        <v>84.43041476972608</v>
      </c>
      <c r="AV41" s="14">
        <f t="shared" si="18"/>
        <v>619.0000000000005</v>
      </c>
      <c r="AW41" s="4">
        <f t="shared" si="19"/>
        <v>85.10000000000036</v>
      </c>
      <c r="AX41" s="20">
        <f t="shared" si="7"/>
        <v>3975.7000000000003</v>
      </c>
      <c r="AY41" s="20">
        <f t="shared" si="8"/>
        <v>3356.7</v>
      </c>
      <c r="AZ41" s="20">
        <f t="shared" si="9"/>
        <v>85.10000000000036</v>
      </c>
    </row>
    <row r="42" spans="1:52" ht="34.5" customHeight="1">
      <c r="A42" s="6">
        <v>31</v>
      </c>
      <c r="B42" s="106" t="s">
        <v>58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59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>
        <v>38.8</v>
      </c>
      <c r="AN43" s="3">
        <v>61.4</v>
      </c>
      <c r="AO43" s="3"/>
      <c r="AP43" s="3"/>
      <c r="AQ43" s="3"/>
      <c r="AR43" s="3"/>
      <c r="AS43" s="3">
        <f t="shared" si="16"/>
        <v>1758.8</v>
      </c>
      <c r="AT43" s="3">
        <f t="shared" si="17"/>
        <v>1353.5</v>
      </c>
      <c r="AU43" s="14">
        <f t="shared" si="29"/>
        <v>76.95587900841483</v>
      </c>
      <c r="AV43" s="14">
        <f t="shared" si="18"/>
        <v>405.29999999999995</v>
      </c>
      <c r="AW43" s="4">
        <f t="shared" si="19"/>
        <v>129.5</v>
      </c>
      <c r="AX43" s="20">
        <f t="shared" si="7"/>
        <v>1758.8</v>
      </c>
      <c r="AY43" s="20">
        <f t="shared" si="8"/>
        <v>1353.5</v>
      </c>
      <c r="AZ43" s="20">
        <f t="shared" si="9"/>
        <v>129.5</v>
      </c>
    </row>
    <row r="44" spans="1:52" s="40" customFormat="1" ht="34.5" customHeight="1">
      <c r="A44" s="6">
        <v>33</v>
      </c>
      <c r="B44" s="106" t="s">
        <v>60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>
        <v>100</v>
      </c>
      <c r="AF44" s="3">
        <v>131.5</v>
      </c>
      <c r="AG44" s="28"/>
      <c r="AH44" s="3">
        <v>99.9</v>
      </c>
      <c r="AI44" s="3">
        <v>172.4</v>
      </c>
      <c r="AJ44" s="3">
        <f t="shared" si="14"/>
        <v>299.9</v>
      </c>
      <c r="AK44" s="3">
        <f t="shared" si="15"/>
        <v>376.9</v>
      </c>
      <c r="AL44" s="14">
        <f t="shared" si="26"/>
        <v>125.67522507502503</v>
      </c>
      <c r="AM44" s="3">
        <v>133.6</v>
      </c>
      <c r="AN44" s="3">
        <v>108.6</v>
      </c>
      <c r="AO44" s="3"/>
      <c r="AP44" s="3"/>
      <c r="AQ44" s="3"/>
      <c r="AR44" s="3"/>
      <c r="AS44" s="3">
        <f t="shared" si="16"/>
        <v>3909.4999999999995</v>
      </c>
      <c r="AT44" s="3">
        <f t="shared" si="17"/>
        <v>3295.4</v>
      </c>
      <c r="AU44" s="14">
        <f t="shared" si="29"/>
        <v>84.29210896534084</v>
      </c>
      <c r="AV44" s="14">
        <f t="shared" si="18"/>
        <v>614.0999999999995</v>
      </c>
      <c r="AW44" s="4">
        <f t="shared" si="19"/>
        <v>326.99999999999955</v>
      </c>
      <c r="AX44" s="20">
        <f t="shared" si="7"/>
        <v>3909.4999999999995</v>
      </c>
      <c r="AY44" s="20">
        <f t="shared" si="8"/>
        <v>3295.4</v>
      </c>
      <c r="AZ44" s="20">
        <f t="shared" si="9"/>
        <v>326.99999999999955</v>
      </c>
    </row>
    <row r="45" spans="1:52" s="111" customFormat="1" ht="34.5" customHeight="1">
      <c r="A45" s="112">
        <v>34</v>
      </c>
      <c r="B45" s="113" t="s">
        <v>61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1172.8</v>
      </c>
      <c r="AF45" s="103">
        <f>AF46+AF47</f>
        <v>6933.5</v>
      </c>
      <c r="AG45" s="95">
        <f>AF45/AE45*100</f>
        <v>591.1920190995908</v>
      </c>
      <c r="AH45" s="103">
        <f>AH46+AH47</f>
        <v>2014</v>
      </c>
      <c r="AI45" s="103">
        <f>AI46+AI47</f>
        <v>5020.8</v>
      </c>
      <c r="AJ45" s="103">
        <f>AJ46+AJ47</f>
        <v>5196.3</v>
      </c>
      <c r="AK45" s="103">
        <f>AK46+AK47</f>
        <v>21299.6</v>
      </c>
      <c r="AL45" s="95">
        <f t="shared" si="26"/>
        <v>409.89935146161685</v>
      </c>
      <c r="AM45" s="103">
        <f aca="true" t="shared" si="30" ref="AM45:AT45">AM46+AM47</f>
        <v>4981</v>
      </c>
      <c r="AN45" s="103">
        <f t="shared" si="30"/>
        <v>4548.5</v>
      </c>
      <c r="AO45" s="103">
        <f t="shared" si="30"/>
        <v>0</v>
      </c>
      <c r="AP45" s="103">
        <f t="shared" si="30"/>
        <v>0</v>
      </c>
      <c r="AQ45" s="103">
        <f>AQ46+AQ47</f>
        <v>0</v>
      </c>
      <c r="AR45" s="103">
        <f>AR46+AR47</f>
        <v>0</v>
      </c>
      <c r="AS45" s="103">
        <f t="shared" si="30"/>
        <v>308154</v>
      </c>
      <c r="AT45" s="103">
        <f t="shared" si="30"/>
        <v>302837.2</v>
      </c>
      <c r="AU45" s="95">
        <f t="shared" si="29"/>
        <v>98.27462891930658</v>
      </c>
      <c r="AV45" s="103">
        <f>AV46+AV47</f>
        <v>5316.799999999999</v>
      </c>
      <c r="AW45" s="103">
        <f>AW46+AW47</f>
        <v>11760.3</v>
      </c>
      <c r="AX45" s="20">
        <f t="shared" si="7"/>
        <v>308154</v>
      </c>
      <c r="AY45" s="20">
        <f t="shared" si="8"/>
        <v>302837.19999999995</v>
      </c>
      <c r="AZ45" s="20">
        <f t="shared" si="9"/>
        <v>11760.300000000047</v>
      </c>
    </row>
    <row r="46" spans="1:52" s="47" customFormat="1" ht="34.5" customHeight="1">
      <c r="A46" s="38"/>
      <c r="B46" s="1" t="s">
        <v>66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>
        <v>1144</v>
      </c>
      <c r="AF46" s="3">
        <v>6901</v>
      </c>
      <c r="AG46" s="28"/>
      <c r="AH46" s="3">
        <v>1984</v>
      </c>
      <c r="AI46" s="3">
        <v>4992</v>
      </c>
      <c r="AJ46" s="3">
        <f>AB46+AE46+AH46</f>
        <v>5105</v>
      </c>
      <c r="AK46" s="3">
        <f>AC46+AF46+AI46</f>
        <v>21218</v>
      </c>
      <c r="AL46" s="14">
        <f t="shared" si="26"/>
        <v>415.6317335945152</v>
      </c>
      <c r="AM46" s="3">
        <v>4785</v>
      </c>
      <c r="AN46" s="3">
        <v>4490</v>
      </c>
      <c r="AO46" s="3"/>
      <c r="AP46" s="3"/>
      <c r="AQ46" s="3"/>
      <c r="AR46" s="3"/>
      <c r="AS46" s="3">
        <f>M46+Y46+AJ46+AM46+AO46+AQ46</f>
        <v>303438</v>
      </c>
      <c r="AT46" s="3">
        <f>N46+Z46+AK46+AN46+AP46+AR46</f>
        <v>298136</v>
      </c>
      <c r="AU46" s="14">
        <f t="shared" si="29"/>
        <v>98.25269082975765</v>
      </c>
      <c r="AV46" s="14">
        <f>AS46-AT46</f>
        <v>5302</v>
      </c>
      <c r="AW46" s="4">
        <f>C46+AS46-AT46</f>
        <v>11593</v>
      </c>
      <c r="AX46" s="20">
        <f t="shared" si="7"/>
        <v>303438</v>
      </c>
      <c r="AY46" s="20">
        <f t="shared" si="8"/>
        <v>298136</v>
      </c>
      <c r="AZ46" s="20">
        <f t="shared" si="9"/>
        <v>11593</v>
      </c>
    </row>
    <row r="47" spans="1:52" s="8" customFormat="1" ht="34.5" customHeight="1">
      <c r="A47" s="38"/>
      <c r="B47" s="1" t="s">
        <v>67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>
        <v>28.8</v>
      </c>
      <c r="AF47" s="41">
        <v>32.5</v>
      </c>
      <c r="AG47" s="36"/>
      <c r="AH47" s="41">
        <v>30</v>
      </c>
      <c r="AI47" s="41">
        <v>28.8</v>
      </c>
      <c r="AJ47" s="3">
        <f>AB47+AE47+AH47</f>
        <v>91.3</v>
      </c>
      <c r="AK47" s="3">
        <f>AC47+AF47+AI47</f>
        <v>81.6</v>
      </c>
      <c r="AL47" s="14">
        <f t="shared" si="26"/>
        <v>89.37568455640744</v>
      </c>
      <c r="AM47" s="41">
        <v>196</v>
      </c>
      <c r="AN47" s="41">
        <v>58.5</v>
      </c>
      <c r="AO47" s="41"/>
      <c r="AP47" s="41"/>
      <c r="AQ47" s="41"/>
      <c r="AR47" s="41"/>
      <c r="AS47" s="3">
        <f>M47+Y47+AJ47+AM47+AO47+AQ47</f>
        <v>4716</v>
      </c>
      <c r="AT47" s="3">
        <f>N47+Z47+AK47+AN47+AP47+AR47</f>
        <v>4701.200000000001</v>
      </c>
      <c r="AU47" s="14">
        <f t="shared" si="29"/>
        <v>99.68617472434268</v>
      </c>
      <c r="AV47" s="14">
        <f>AS47-AT47</f>
        <v>14.799999999999272</v>
      </c>
      <c r="AW47" s="4">
        <f>C47+AS47-AT47</f>
        <v>167.29999999999927</v>
      </c>
      <c r="AX47" s="20">
        <f t="shared" si="7"/>
        <v>4716</v>
      </c>
      <c r="AY47" s="20">
        <f t="shared" si="8"/>
        <v>4701.200000000001</v>
      </c>
      <c r="AZ47" s="20">
        <f t="shared" si="9"/>
        <v>167.29999999999927</v>
      </c>
    </row>
    <row r="48" spans="1:52" s="8" customFormat="1" ht="34.5" customHeight="1">
      <c r="A48" s="38"/>
      <c r="B48" s="16" t="s">
        <v>62</v>
      </c>
      <c r="C48" s="45">
        <f>C7+C45</f>
        <v>4711.3</v>
      </c>
      <c r="D48" s="45">
        <f>D7+D45</f>
        <v>116211.59999999999</v>
      </c>
      <c r="E48" s="45">
        <f>E7+E45</f>
        <v>9018.4</v>
      </c>
      <c r="F48" s="14">
        <f t="shared" si="24"/>
        <v>7.760326852052635</v>
      </c>
      <c r="G48" s="45">
        <f>G7+G45</f>
        <v>92954.70000000001</v>
      </c>
      <c r="H48" s="45">
        <f>H7+H45</f>
        <v>90132.5</v>
      </c>
      <c r="I48" s="95">
        <f t="shared" si="2"/>
        <v>96.96389746833671</v>
      </c>
      <c r="J48" s="45">
        <f>J7+J45</f>
        <v>81489.5</v>
      </c>
      <c r="K48" s="45">
        <f>K7+K45</f>
        <v>95419.2</v>
      </c>
      <c r="L48" s="95">
        <f t="shared" si="4"/>
        <v>117.09385871799434</v>
      </c>
      <c r="M48" s="45">
        <f>M7+M45</f>
        <v>290655.8</v>
      </c>
      <c r="N48" s="45">
        <f>N7+N45</f>
        <v>194570.1</v>
      </c>
      <c r="O48" s="95">
        <f t="shared" si="5"/>
        <v>66.94175722624493</v>
      </c>
      <c r="P48" s="45">
        <f>P7+P45</f>
        <v>30793.8</v>
      </c>
      <c r="Q48" s="45">
        <f>Q7+Q45</f>
        <v>59263</v>
      </c>
      <c r="R48" s="95">
        <f t="shared" si="3"/>
        <v>192.45107781436525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39365.2</v>
      </c>
      <c r="Z48" s="45">
        <f>Z7+Z45</f>
        <v>110911.6</v>
      </c>
      <c r="AA48" s="95">
        <f t="shared" si="6"/>
        <v>281.7503785069046</v>
      </c>
      <c r="AB48" s="45">
        <f>AB7+AB45</f>
        <v>2166.7</v>
      </c>
      <c r="AC48" s="45">
        <f>AC7+AC45</f>
        <v>10445.599999999999</v>
      </c>
      <c r="AD48" s="95">
        <f>AC48/AB48*100</f>
        <v>482.0971985046383</v>
      </c>
      <c r="AE48" s="45">
        <f>AE7+AE45</f>
        <v>1330</v>
      </c>
      <c r="AF48" s="45">
        <f>AF7+AF45</f>
        <v>7418.5</v>
      </c>
      <c r="AG48" s="45">
        <f>AG7+AG45-AG32</f>
        <v>591.1920190995908</v>
      </c>
      <c r="AH48" s="45">
        <f>AH7+AH45</f>
        <v>2165.5</v>
      </c>
      <c r="AI48" s="45">
        <f>AI7+AI45</f>
        <v>5897.1</v>
      </c>
      <c r="AJ48" s="45">
        <f>AJ7+AJ45</f>
        <v>5662.2</v>
      </c>
      <c r="AK48" s="45">
        <f>AK7+AK45</f>
        <v>23761.199999999997</v>
      </c>
      <c r="AL48" s="45" t="e">
        <f>AL7+AL45-AL32</f>
        <v>#DIV/0!</v>
      </c>
      <c r="AM48" s="45">
        <f aca="true" t="shared" si="31" ref="AM48:AT48">AM7+AM45</f>
        <v>5583.1</v>
      </c>
      <c r="AN48" s="45">
        <f t="shared" si="31"/>
        <v>4913.6</v>
      </c>
      <c r="AO48" s="45">
        <f t="shared" si="31"/>
        <v>0</v>
      </c>
      <c r="AP48" s="45">
        <f t="shared" si="31"/>
        <v>0</v>
      </c>
      <c r="AQ48" s="45">
        <f t="shared" si="31"/>
        <v>0</v>
      </c>
      <c r="AR48" s="45">
        <f t="shared" si="31"/>
        <v>0</v>
      </c>
      <c r="AS48" s="45">
        <f t="shared" si="31"/>
        <v>341266.3</v>
      </c>
      <c r="AT48" s="45">
        <f t="shared" si="31"/>
        <v>334156.5</v>
      </c>
      <c r="AU48" s="14">
        <f>AT48/AS48*100</f>
        <v>97.91664163733718</v>
      </c>
      <c r="AV48" s="46">
        <f>AV7+AV45</f>
        <v>7109.8</v>
      </c>
      <c r="AW48" s="46">
        <f>AW7+AW45</f>
        <v>11821.1</v>
      </c>
      <c r="AX48" s="20">
        <f t="shared" si="7"/>
        <v>341266.3</v>
      </c>
      <c r="AY48" s="20">
        <f t="shared" si="8"/>
        <v>334156.5</v>
      </c>
      <c r="AZ48" s="20">
        <f t="shared" si="9"/>
        <v>11821.099999999977</v>
      </c>
    </row>
    <row r="49" spans="1:49" s="117" customFormat="1" ht="86.25" customHeight="1">
      <c r="A49" s="233" t="s">
        <v>68</v>
      </c>
      <c r="B49" s="233"/>
      <c r="C49" s="233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69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45"/>
      <c r="C54" s="245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42" t="s">
        <v>19</v>
      </c>
      <c r="C55" s="242"/>
      <c r="D55" s="24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46" t="s">
        <v>5</v>
      </c>
      <c r="C56" s="246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43" t="s">
        <v>17</v>
      </c>
      <c r="B57" s="243"/>
      <c r="C57" s="24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-341.5999999999998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-45.50000000000023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AN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49" sqref="AY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8" t="s">
        <v>93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</row>
    <row r="3" spans="1:49" s="30" customFormat="1" ht="60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</row>
    <row r="4" spans="2:49" ht="34.5" customHeight="1">
      <c r="B4" s="64"/>
      <c r="C4" s="64"/>
      <c r="AW4" s="11" t="s">
        <v>28</v>
      </c>
    </row>
    <row r="5" spans="1:49" ht="58.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9" t="s">
        <v>74</v>
      </c>
      <c r="K5" s="240"/>
      <c r="L5" s="241"/>
      <c r="M5" s="230" t="s">
        <v>76</v>
      </c>
      <c r="N5" s="231"/>
      <c r="O5" s="232"/>
      <c r="P5" s="230" t="s">
        <v>75</v>
      </c>
      <c r="Q5" s="231"/>
      <c r="R5" s="232"/>
      <c r="S5" s="239" t="s">
        <v>78</v>
      </c>
      <c r="T5" s="240"/>
      <c r="U5" s="241"/>
      <c r="V5" s="239" t="s">
        <v>79</v>
      </c>
      <c r="W5" s="240"/>
      <c r="X5" s="241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</row>
    <row r="6" spans="1:49" ht="41.2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</row>
    <row r="7" spans="1:52" s="111" customFormat="1" ht="34.5" customHeight="1">
      <c r="A7" s="108"/>
      <c r="B7" s="109" t="s">
        <v>64</v>
      </c>
      <c r="C7" s="95">
        <f aca="true" t="shared" si="0" ref="C7:AR7">SUM(C8:C44)-C33-C34-C35-C36</f>
        <v>-225.39999999999995</v>
      </c>
      <c r="D7" s="95">
        <f t="shared" si="0"/>
        <v>75165.90000000001</v>
      </c>
      <c r="E7" s="95">
        <f t="shared" si="0"/>
        <v>31401.299999999996</v>
      </c>
      <c r="F7" s="95">
        <f aca="true" t="shared" si="1" ref="F7:F28">E7/D7*100</f>
        <v>41.77599150678697</v>
      </c>
      <c r="G7" s="95">
        <f t="shared" si="0"/>
        <v>58547</v>
      </c>
      <c r="H7" s="95">
        <f t="shared" si="0"/>
        <v>67819.79999999999</v>
      </c>
      <c r="I7" s="14">
        <f aca="true" t="shared" si="2" ref="I7:I44">H7/G7*100</f>
        <v>115.83821545083435</v>
      </c>
      <c r="J7" s="95">
        <f t="shared" si="0"/>
        <v>48745.9</v>
      </c>
      <c r="K7" s="95">
        <f t="shared" si="0"/>
        <v>42878.09999999999</v>
      </c>
      <c r="L7" s="95">
        <f>K7/J7*100</f>
        <v>87.96247479275178</v>
      </c>
      <c r="M7" s="95">
        <f t="shared" si="0"/>
        <v>182458.8</v>
      </c>
      <c r="N7" s="95">
        <f t="shared" si="0"/>
        <v>142099.19999999998</v>
      </c>
      <c r="O7" s="95">
        <f>N7/M7*100</f>
        <v>77.8801570546337</v>
      </c>
      <c r="P7" s="95">
        <f t="shared" si="0"/>
        <v>8571.6</v>
      </c>
      <c r="Q7" s="95">
        <f t="shared" si="0"/>
        <v>24166.900000000005</v>
      </c>
      <c r="R7" s="95">
        <f>Q7/P7*100</f>
        <v>281.94152783610997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5088.3</v>
      </c>
      <c r="X7" s="95" t="e">
        <f t="shared" si="0"/>
        <v>#DIV/0!</v>
      </c>
      <c r="Y7" s="95">
        <f t="shared" si="0"/>
        <v>10908.100000000002</v>
      </c>
      <c r="Z7" s="95">
        <f t="shared" si="0"/>
        <v>41096.200000000004</v>
      </c>
      <c r="AA7" s="14">
        <f aca="true" t="shared" si="3" ref="AA7:AA48">Z7/Y7*100</f>
        <v>376.7493880694163</v>
      </c>
      <c r="AB7" s="95">
        <f t="shared" si="0"/>
        <v>897.1999999999999</v>
      </c>
      <c r="AC7" s="95">
        <f t="shared" si="0"/>
        <v>11220.100000000002</v>
      </c>
      <c r="AD7" s="14">
        <f>AC7/AB7*100</f>
        <v>1250.5684351315206</v>
      </c>
      <c r="AE7" s="95">
        <f t="shared" si="0"/>
        <v>897.1999999999999</v>
      </c>
      <c r="AF7" s="95">
        <f t="shared" si="0"/>
        <v>4751.6</v>
      </c>
      <c r="AG7" s="95">
        <f t="shared" si="0"/>
        <v>0</v>
      </c>
      <c r="AH7" s="95">
        <f t="shared" si="0"/>
        <v>890.3</v>
      </c>
      <c r="AI7" s="95">
        <f t="shared" si="0"/>
        <v>4818.000000000001</v>
      </c>
      <c r="AJ7" s="95">
        <f t="shared" si="0"/>
        <v>2684.7</v>
      </c>
      <c r="AK7" s="95">
        <f t="shared" si="0"/>
        <v>20789.7</v>
      </c>
      <c r="AL7" s="95" t="e">
        <f t="shared" si="0"/>
        <v>#DIV/0!</v>
      </c>
      <c r="AM7" s="95">
        <f t="shared" si="0"/>
        <v>5186.500000000001</v>
      </c>
      <c r="AN7" s="95">
        <f t="shared" si="0"/>
        <v>6983.200000000001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201238.1</v>
      </c>
      <c r="AT7" s="95">
        <f>SUM(AT8:AT44)-AT33-AT34-AT35-AT36</f>
        <v>210968.29999999996</v>
      </c>
      <c r="AU7" s="95">
        <f>AT7/AS7*100</f>
        <v>104.83516789315739</v>
      </c>
      <c r="AV7" s="95">
        <f>SUM(AV8:AV44)-AV33-AV34-AV35-AV36</f>
        <v>-9730.199999999992</v>
      </c>
      <c r="AW7" s="95">
        <f>SUM(AW8:AW44)-AW33-AW34-AW35-AW36</f>
        <v>-9955.599999999995</v>
      </c>
      <c r="AX7" s="20">
        <f>M7+Y7+AJ7+AM7</f>
        <v>201238.1</v>
      </c>
      <c r="AY7" s="20">
        <f>N7+Z7+AK7+AN7</f>
        <v>210968.30000000002</v>
      </c>
      <c r="AZ7" s="20">
        <f>C7+AX7-AY7</f>
        <v>-9955.600000000006</v>
      </c>
    </row>
    <row r="8" spans="1:52" ht="34.5" customHeight="1">
      <c r="A8" s="6">
        <v>1</v>
      </c>
      <c r="B8" s="1" t="s">
        <v>29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 t="e">
        <f>AK8/AJ8*100</f>
        <v>#DIV/0!</v>
      </c>
      <c r="AM8" s="3">
        <f>43.9+97.5</f>
        <v>141.4</v>
      </c>
      <c r="AN8" s="3">
        <v>0</v>
      </c>
      <c r="AO8" s="3"/>
      <c r="AP8" s="3"/>
      <c r="AQ8" s="3"/>
      <c r="AR8" s="3"/>
      <c r="AS8" s="3">
        <f>M8+Y8+AJ8+AM8+AO8+AQ8</f>
        <v>11941.7</v>
      </c>
      <c r="AT8" s="3">
        <f>N8+Z8+AK8+AN8+AP8+AR8</f>
        <v>10269</v>
      </c>
      <c r="AU8" s="14">
        <f>AT8/AS8*100</f>
        <v>85.99278159726002</v>
      </c>
      <c r="AV8" s="14">
        <f>AS8-AT8</f>
        <v>1672.7000000000007</v>
      </c>
      <c r="AW8" s="4">
        <f>C8+AS8-AT8</f>
        <v>104.30000000000109</v>
      </c>
      <c r="AX8" s="20">
        <f aca="true" t="shared" si="8" ref="AX8:AX48">M8+Y8+AJ8+AM8</f>
        <v>11941.7</v>
      </c>
      <c r="AY8" s="20">
        <f aca="true" t="shared" si="9" ref="AY8:AY48">N8+Z8+AK8+AN8</f>
        <v>10269</v>
      </c>
      <c r="AZ8" s="20">
        <f aca="true" t="shared" si="10" ref="AZ8:AZ48">C8+AX8-AY8</f>
        <v>104.30000000000109</v>
      </c>
    </row>
    <row r="9" spans="1:52" ht="34.5" customHeight="1">
      <c r="A9" s="6">
        <v>2</v>
      </c>
      <c r="B9" s="32" t="s">
        <v>30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>
        <v>0</v>
      </c>
      <c r="AN9" s="3">
        <v>0</v>
      </c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4452.1</v>
      </c>
      <c r="AZ9" s="20">
        <f t="shared" si="10"/>
        <v>0</v>
      </c>
    </row>
    <row r="10" spans="1:52" ht="34.5" customHeight="1">
      <c r="A10" s="6">
        <v>3</v>
      </c>
      <c r="B10" s="15" t="s">
        <v>31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32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123.2+111.9</f>
        <v>235.10000000000002</v>
      </c>
      <c r="H11" s="3">
        <f>141.8+91.4</f>
        <v>233.20000000000002</v>
      </c>
      <c r="I11" s="14">
        <f t="shared" si="2"/>
        <v>99.1918332624415</v>
      </c>
      <c r="J11" s="3">
        <f>70.6+99.3</f>
        <v>169.89999999999998</v>
      </c>
      <c r="K11" s="3">
        <f>123.2+111.9</f>
        <v>235.10000000000002</v>
      </c>
      <c r="L11" s="95">
        <f t="shared" si="4"/>
        <v>138.37551500882876</v>
      </c>
      <c r="M11" s="3">
        <f t="shared" si="11"/>
        <v>638.2</v>
      </c>
      <c r="N11" s="3">
        <f t="shared" si="12"/>
        <v>468.30000000000007</v>
      </c>
      <c r="O11" s="95">
        <f t="shared" si="13"/>
        <v>73.37825133187089</v>
      </c>
      <c r="P11" s="3">
        <f>21.4+32.4</f>
        <v>53.8</v>
      </c>
      <c r="Q11" s="3">
        <f>82+131.7</f>
        <v>213.7</v>
      </c>
      <c r="R11" s="95">
        <f t="shared" si="5"/>
        <v>397.21189591078064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53.8</v>
      </c>
      <c r="Z11" s="3">
        <f t="shared" si="7"/>
        <v>223.7</v>
      </c>
      <c r="AA11" s="14">
        <f t="shared" si="3"/>
        <v>415.79925650557624</v>
      </c>
      <c r="AB11" s="3">
        <v>0</v>
      </c>
      <c r="AC11" s="3">
        <v>0</v>
      </c>
      <c r="AD11" s="28"/>
      <c r="AE11" s="3">
        <v>0</v>
      </c>
      <c r="AF11" s="3">
        <v>0</v>
      </c>
      <c r="AG11" s="28"/>
      <c r="AH11" s="3">
        <v>0</v>
      </c>
      <c r="AI11" s="3">
        <v>0</v>
      </c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692</v>
      </c>
      <c r="AT11" s="3">
        <f t="shared" si="17"/>
        <v>692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692</v>
      </c>
      <c r="AY11" s="20">
        <f t="shared" si="9"/>
        <v>692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33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>
        <f>35.2+187.1</f>
        <v>222.3</v>
      </c>
      <c r="AN12" s="3">
        <v>0</v>
      </c>
      <c r="AO12" s="3"/>
      <c r="AP12" s="3"/>
      <c r="AQ12" s="3"/>
      <c r="AR12" s="3"/>
      <c r="AS12" s="3">
        <f t="shared" si="16"/>
        <v>5129</v>
      </c>
      <c r="AT12" s="3">
        <f t="shared" si="17"/>
        <v>5277</v>
      </c>
      <c r="AU12" s="14">
        <f t="shared" si="21"/>
        <v>102.8855527393254</v>
      </c>
      <c r="AV12" s="14">
        <f t="shared" si="18"/>
        <v>-148</v>
      </c>
      <c r="AW12" s="4">
        <f t="shared" si="19"/>
        <v>222.39999999999964</v>
      </c>
      <c r="AX12" s="20">
        <f t="shared" si="8"/>
        <v>5129</v>
      </c>
      <c r="AY12" s="20">
        <f t="shared" si="9"/>
        <v>5277</v>
      </c>
      <c r="AZ12" s="20">
        <f t="shared" si="10"/>
        <v>222.39999999999964</v>
      </c>
    </row>
    <row r="13" spans="1:52" s="40" customFormat="1" ht="34.5" customHeight="1">
      <c r="A13" s="6">
        <v>6</v>
      </c>
      <c r="B13" s="1" t="s">
        <v>34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>
        <v>0</v>
      </c>
      <c r="AF13" s="3">
        <v>356</v>
      </c>
      <c r="AG13" s="28"/>
      <c r="AH13" s="3">
        <v>0</v>
      </c>
      <c r="AI13" s="3">
        <v>284.4</v>
      </c>
      <c r="AJ13" s="3">
        <f t="shared" si="14"/>
        <v>0</v>
      </c>
      <c r="AK13" s="3">
        <f t="shared" si="15"/>
        <v>1096.6</v>
      </c>
      <c r="AL13" s="14" t="e">
        <f t="shared" si="20"/>
        <v>#DIV/0!</v>
      </c>
      <c r="AM13" s="3">
        <v>35.4</v>
      </c>
      <c r="AN13" s="3">
        <v>86.5</v>
      </c>
      <c r="AO13" s="3"/>
      <c r="AP13" s="3"/>
      <c r="AQ13" s="3"/>
      <c r="AR13" s="3"/>
      <c r="AS13" s="3">
        <f t="shared" si="16"/>
        <v>3424.600000000001</v>
      </c>
      <c r="AT13" s="3">
        <f t="shared" si="17"/>
        <v>2807.8</v>
      </c>
      <c r="AU13" s="14">
        <f t="shared" si="21"/>
        <v>81.9891374175086</v>
      </c>
      <c r="AV13" s="14">
        <f t="shared" si="18"/>
        <v>616.8000000000006</v>
      </c>
      <c r="AW13" s="4">
        <f t="shared" si="19"/>
        <v>274.6000000000008</v>
      </c>
      <c r="AX13" s="20">
        <f t="shared" si="8"/>
        <v>3424.600000000001</v>
      </c>
      <c r="AY13" s="20">
        <f t="shared" si="9"/>
        <v>2807.8</v>
      </c>
      <c r="AZ13" s="20">
        <f t="shared" si="10"/>
        <v>274.6000000000008</v>
      </c>
    </row>
    <row r="14" spans="1:52" ht="34.5" customHeight="1">
      <c r="A14" s="6">
        <v>7</v>
      </c>
      <c r="B14" s="1" t="s">
        <v>65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>
        <v>0</v>
      </c>
      <c r="AC14" s="41">
        <v>0</v>
      </c>
      <c r="AD14" s="14"/>
      <c r="AE14" s="41">
        <v>0</v>
      </c>
      <c r="AF14" s="41">
        <v>0</v>
      </c>
      <c r="AG14" s="28"/>
      <c r="AH14" s="41">
        <v>0</v>
      </c>
      <c r="AI14" s="41">
        <v>0</v>
      </c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>
        <v>18.4</v>
      </c>
      <c r="AN14" s="41">
        <v>0</v>
      </c>
      <c r="AO14" s="41"/>
      <c r="AP14" s="41"/>
      <c r="AQ14" s="41"/>
      <c r="AR14" s="41"/>
      <c r="AS14" s="3">
        <f t="shared" si="16"/>
        <v>3007.2</v>
      </c>
      <c r="AT14" s="3">
        <f t="shared" si="17"/>
        <v>2988.8</v>
      </c>
      <c r="AU14" s="14">
        <f t="shared" si="21"/>
        <v>99.3881351423251</v>
      </c>
      <c r="AV14" s="14">
        <f t="shared" si="18"/>
        <v>18.399999999999636</v>
      </c>
      <c r="AW14" s="4">
        <f t="shared" si="19"/>
        <v>18.399999999999636</v>
      </c>
      <c r="AX14" s="20">
        <f t="shared" si="8"/>
        <v>3007.2</v>
      </c>
      <c r="AY14" s="20">
        <f t="shared" si="9"/>
        <v>2988.8</v>
      </c>
      <c r="AZ14" s="20">
        <f t="shared" si="10"/>
        <v>18.399999999999636</v>
      </c>
    </row>
    <row r="15" spans="1:52" s="40" customFormat="1" ht="34.5" customHeight="1">
      <c r="A15" s="6">
        <v>8</v>
      </c>
      <c r="B15" s="1" t="s">
        <v>35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>
        <v>0</v>
      </c>
      <c r="AF15" s="3">
        <v>161.1</v>
      </c>
      <c r="AG15" s="28"/>
      <c r="AH15" s="3">
        <v>0</v>
      </c>
      <c r="AI15" s="3">
        <v>400</v>
      </c>
      <c r="AJ15" s="3">
        <f t="shared" si="14"/>
        <v>0</v>
      </c>
      <c r="AK15" s="3">
        <f t="shared" si="15"/>
        <v>912.7</v>
      </c>
      <c r="AL15" s="14" t="e">
        <f t="shared" si="20"/>
        <v>#DIV/0!</v>
      </c>
      <c r="AM15" s="3">
        <f>36+670.7</f>
        <v>706.7</v>
      </c>
      <c r="AN15" s="3">
        <f>1371.3</f>
        <v>1371.3</v>
      </c>
      <c r="AO15" s="3"/>
      <c r="AP15" s="3"/>
      <c r="AQ15" s="3"/>
      <c r="AR15" s="3"/>
      <c r="AS15" s="3">
        <f t="shared" si="16"/>
        <v>9878.2</v>
      </c>
      <c r="AT15" s="3">
        <f t="shared" si="17"/>
        <v>11848.8</v>
      </c>
      <c r="AU15" s="14">
        <f t="shared" si="21"/>
        <v>119.94897855884675</v>
      </c>
      <c r="AV15" s="14">
        <f t="shared" si="18"/>
        <v>-1970.5999999999985</v>
      </c>
      <c r="AW15" s="4">
        <f t="shared" si="19"/>
        <v>-1767.699999999999</v>
      </c>
      <c r="AX15" s="20">
        <f t="shared" si="8"/>
        <v>9878.2</v>
      </c>
      <c r="AY15" s="20">
        <f t="shared" si="9"/>
        <v>11848.8</v>
      </c>
      <c r="AZ15" s="20">
        <f t="shared" si="10"/>
        <v>-1767.699999999999</v>
      </c>
    </row>
    <row r="16" spans="1:52" s="40" customFormat="1" ht="34.5" customHeight="1">
      <c r="A16" s="6">
        <v>9</v>
      </c>
      <c r="B16" s="1" t="s">
        <v>36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>
        <v>0</v>
      </c>
      <c r="AF16" s="41">
        <v>370</v>
      </c>
      <c r="AG16" s="33"/>
      <c r="AH16" s="41">
        <v>0</v>
      </c>
      <c r="AI16" s="41">
        <v>0</v>
      </c>
      <c r="AJ16" s="3">
        <f t="shared" si="14"/>
        <v>0</v>
      </c>
      <c r="AK16" s="3">
        <f t="shared" si="15"/>
        <v>1436.8</v>
      </c>
      <c r="AL16" s="14" t="e">
        <f t="shared" si="20"/>
        <v>#DIV/0!</v>
      </c>
      <c r="AM16" s="41">
        <v>44</v>
      </c>
      <c r="AN16" s="41">
        <v>0</v>
      </c>
      <c r="AO16" s="41"/>
      <c r="AP16" s="41"/>
      <c r="AQ16" s="41"/>
      <c r="AR16" s="41"/>
      <c r="AS16" s="3">
        <f t="shared" si="16"/>
        <v>4868.900000000001</v>
      </c>
      <c r="AT16" s="3">
        <f t="shared" si="17"/>
        <v>4749.2</v>
      </c>
      <c r="AU16" s="14">
        <f t="shared" si="21"/>
        <v>97.54153915668834</v>
      </c>
      <c r="AV16" s="14">
        <f t="shared" si="18"/>
        <v>119.70000000000073</v>
      </c>
      <c r="AW16" s="4">
        <f t="shared" si="19"/>
        <v>36.900000000000546</v>
      </c>
      <c r="AX16" s="20">
        <f t="shared" si="8"/>
        <v>4868.900000000001</v>
      </c>
      <c r="AY16" s="20">
        <f t="shared" si="9"/>
        <v>4749.2</v>
      </c>
      <c r="AZ16" s="20">
        <f t="shared" si="10"/>
        <v>36.900000000000546</v>
      </c>
    </row>
    <row r="17" spans="1:52" ht="34.5" customHeight="1">
      <c r="A17" s="6">
        <v>10</v>
      </c>
      <c r="B17" s="15" t="s">
        <v>37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38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156.8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1421.3</v>
      </c>
      <c r="AT18" s="3">
        <f t="shared" si="17"/>
        <v>1421.3</v>
      </c>
      <c r="AU18" s="33">
        <f t="shared" si="21"/>
        <v>100</v>
      </c>
      <c r="AV18" s="14">
        <f t="shared" si="18"/>
        <v>0</v>
      </c>
      <c r="AW18" s="4">
        <f t="shared" si="19"/>
        <v>0</v>
      </c>
      <c r="AX18" s="20">
        <f t="shared" si="8"/>
        <v>1421.3</v>
      </c>
      <c r="AY18" s="20">
        <f t="shared" si="9"/>
        <v>1421.3</v>
      </c>
      <c r="AZ18" s="20">
        <f t="shared" si="10"/>
        <v>0</v>
      </c>
    </row>
    <row r="19" spans="1:52" ht="34.5" customHeight="1">
      <c r="A19" s="6">
        <v>12</v>
      </c>
      <c r="B19" s="1" t="s">
        <v>39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>
        <v>0</v>
      </c>
      <c r="AD19" s="33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>
        <f>1.5+16+99.2</f>
        <v>116.7</v>
      </c>
      <c r="AN19" s="3">
        <f>16+88.5</f>
        <v>104.5</v>
      </c>
      <c r="AO19" s="3"/>
      <c r="AP19" s="3"/>
      <c r="AQ19" s="3"/>
      <c r="AR19" s="3"/>
      <c r="AS19" s="3">
        <f t="shared" si="16"/>
        <v>5341.499999999999</v>
      </c>
      <c r="AT19" s="3">
        <f t="shared" si="17"/>
        <v>5682.099999999999</v>
      </c>
      <c r="AU19" s="33">
        <f t="shared" si="21"/>
        <v>106.37648600580363</v>
      </c>
      <c r="AV19" s="14">
        <f t="shared" si="18"/>
        <v>-340.60000000000036</v>
      </c>
      <c r="AW19" s="4">
        <f t="shared" si="19"/>
        <v>-53</v>
      </c>
      <c r="AX19" s="20">
        <f t="shared" si="8"/>
        <v>5341.499999999999</v>
      </c>
      <c r="AY19" s="20">
        <f t="shared" si="9"/>
        <v>5682.099999999999</v>
      </c>
      <c r="AZ19" s="20">
        <f t="shared" si="10"/>
        <v>-53</v>
      </c>
    </row>
    <row r="20" spans="1:52" ht="34.5" customHeight="1">
      <c r="A20" s="6">
        <v>13</v>
      </c>
      <c r="B20" s="15" t="s">
        <v>40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41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>
        <v>12.8</v>
      </c>
      <c r="AF21" s="41">
        <v>12.8</v>
      </c>
      <c r="AG21" s="28"/>
      <c r="AH21" s="41">
        <v>0</v>
      </c>
      <c r="AI21" s="41">
        <v>0</v>
      </c>
      <c r="AJ21" s="3">
        <f t="shared" si="14"/>
        <v>25.6</v>
      </c>
      <c r="AK21" s="3">
        <f t="shared" si="15"/>
        <v>25.6</v>
      </c>
      <c r="AL21" s="28">
        <f t="shared" si="22"/>
        <v>100</v>
      </c>
      <c r="AM21" s="41">
        <v>13.2</v>
      </c>
      <c r="AN21" s="41">
        <v>12.8</v>
      </c>
      <c r="AO21" s="41"/>
      <c r="AP21" s="41"/>
      <c r="AQ21" s="41"/>
      <c r="AR21" s="41"/>
      <c r="AS21" s="3">
        <f t="shared" si="16"/>
        <v>262.7</v>
      </c>
      <c r="AT21" s="3">
        <f t="shared" si="17"/>
        <v>240.4</v>
      </c>
      <c r="AU21" s="14">
        <f t="shared" si="21"/>
        <v>91.51122953939857</v>
      </c>
      <c r="AV21" s="14">
        <f t="shared" si="18"/>
        <v>22.299999999999983</v>
      </c>
      <c r="AW21" s="4">
        <f t="shared" si="19"/>
        <v>2.1999999999999886</v>
      </c>
      <c r="AX21" s="20">
        <f t="shared" si="8"/>
        <v>262.7</v>
      </c>
      <c r="AY21" s="20">
        <f t="shared" si="9"/>
        <v>240.4</v>
      </c>
      <c r="AZ21" s="20">
        <f t="shared" si="10"/>
        <v>2.1999999999999886</v>
      </c>
    </row>
    <row r="22" spans="1:52" ht="34.5" customHeight="1">
      <c r="A22" s="6">
        <v>15</v>
      </c>
      <c r="B22" s="15" t="s">
        <v>42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>
        <v>0</v>
      </c>
      <c r="AF22" s="3">
        <v>0</v>
      </c>
      <c r="AG22" s="28"/>
      <c r="AH22" s="3">
        <v>0</v>
      </c>
      <c r="AI22" s="3">
        <v>15</v>
      </c>
      <c r="AJ22" s="3">
        <f t="shared" si="14"/>
        <v>0</v>
      </c>
      <c r="AK22" s="3">
        <f t="shared" si="15"/>
        <v>15</v>
      </c>
      <c r="AL22" s="14" t="e">
        <f t="shared" si="22"/>
        <v>#DIV/0!</v>
      </c>
      <c r="AM22" s="3">
        <v>0</v>
      </c>
      <c r="AN22" s="3">
        <v>0</v>
      </c>
      <c r="AO22" s="3"/>
      <c r="AP22" s="3"/>
      <c r="AQ22" s="3"/>
      <c r="AR22" s="3"/>
      <c r="AS22" s="3">
        <f t="shared" si="16"/>
        <v>6371.7</v>
      </c>
      <c r="AT22" s="3">
        <f t="shared" si="17"/>
        <v>6281.5</v>
      </c>
      <c r="AU22" s="14">
        <f t="shared" si="21"/>
        <v>98.58436524004584</v>
      </c>
      <c r="AV22" s="14">
        <f t="shared" si="18"/>
        <v>90.19999999999982</v>
      </c>
      <c r="AW22" s="4">
        <f t="shared" si="19"/>
        <v>-14.100000000000364</v>
      </c>
      <c r="AX22" s="20">
        <f t="shared" si="8"/>
        <v>6371.7</v>
      </c>
      <c r="AY22" s="20">
        <f t="shared" si="9"/>
        <v>6281.5</v>
      </c>
      <c r="AZ22" s="20">
        <f t="shared" si="10"/>
        <v>-14.100000000000364</v>
      </c>
    </row>
    <row r="23" spans="1:52" ht="34.5" customHeight="1">
      <c r="A23" s="6">
        <v>16</v>
      </c>
      <c r="B23" s="15" t="s">
        <v>43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44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>
        <v>0</v>
      </c>
      <c r="AF24" s="3">
        <v>0</v>
      </c>
      <c r="AG24" s="28"/>
      <c r="AH24" s="3">
        <v>0</v>
      </c>
      <c r="AI24" s="3">
        <v>0</v>
      </c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>
        <v>0</v>
      </c>
      <c r="AN24" s="3">
        <v>700</v>
      </c>
      <c r="AO24" s="3"/>
      <c r="AP24" s="3"/>
      <c r="AQ24" s="3"/>
      <c r="AR24" s="3"/>
      <c r="AS24" s="3">
        <f t="shared" si="16"/>
        <v>10689.9</v>
      </c>
      <c r="AT24" s="3">
        <f t="shared" si="17"/>
        <v>10880.400000000001</v>
      </c>
      <c r="AU24" s="14">
        <f>AT24/AS24*100</f>
        <v>101.78205595936353</v>
      </c>
      <c r="AV24" s="14">
        <f t="shared" si="18"/>
        <v>-190.50000000000182</v>
      </c>
      <c r="AW24" s="4">
        <f t="shared" si="19"/>
        <v>-800.3000000000011</v>
      </c>
      <c r="AX24" s="20">
        <f t="shared" si="8"/>
        <v>10689.9</v>
      </c>
      <c r="AY24" s="20">
        <f t="shared" si="9"/>
        <v>10880.400000000001</v>
      </c>
      <c r="AZ24" s="20">
        <f t="shared" si="10"/>
        <v>-800.3000000000011</v>
      </c>
    </row>
    <row r="25" spans="1:52" ht="34.5" customHeight="1">
      <c r="A25" s="6">
        <v>18</v>
      </c>
      <c r="B25" s="1" t="s">
        <v>45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28"/>
      <c r="AH25" s="41">
        <v>0</v>
      </c>
      <c r="AI25" s="41">
        <v>0</v>
      </c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>
        <v>81.9</v>
      </c>
      <c r="AN25" s="41">
        <v>0</v>
      </c>
      <c r="AO25" s="41"/>
      <c r="AP25" s="41"/>
      <c r="AQ25" s="41"/>
      <c r="AR25" s="41"/>
      <c r="AS25" s="3">
        <f t="shared" si="16"/>
        <v>3099.7000000000003</v>
      </c>
      <c r="AT25" s="3">
        <f t="shared" si="17"/>
        <v>3017.7</v>
      </c>
      <c r="AU25" s="14">
        <f>AT25/AS25*100</f>
        <v>97.35458270155175</v>
      </c>
      <c r="AV25" s="14">
        <f t="shared" si="18"/>
        <v>82.00000000000045</v>
      </c>
      <c r="AW25" s="4">
        <f t="shared" si="19"/>
        <v>-654.9999999999995</v>
      </c>
      <c r="AX25" s="20">
        <f t="shared" si="8"/>
        <v>3099.7000000000003</v>
      </c>
      <c r="AY25" s="20">
        <f t="shared" si="9"/>
        <v>3017.7</v>
      </c>
      <c r="AZ25" s="20">
        <f t="shared" si="10"/>
        <v>-654.9999999999995</v>
      </c>
    </row>
    <row r="26" spans="1:52" s="40" customFormat="1" ht="34.5" customHeight="1">
      <c r="A26" s="6">
        <v>19</v>
      </c>
      <c r="B26" s="15" t="s">
        <v>46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>
        <v>0</v>
      </c>
      <c r="AF26" s="3">
        <v>0</v>
      </c>
      <c r="AG26" s="28"/>
      <c r="AH26" s="3">
        <v>0</v>
      </c>
      <c r="AI26" s="3">
        <v>0</v>
      </c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>
        <v>2.2</v>
      </c>
      <c r="AN26" s="3">
        <v>199.5</v>
      </c>
      <c r="AO26" s="3"/>
      <c r="AP26" s="3"/>
      <c r="AQ26" s="3"/>
      <c r="AR26" s="3"/>
      <c r="AS26" s="3">
        <f t="shared" si="16"/>
        <v>4449.599999999999</v>
      </c>
      <c r="AT26" s="3">
        <f t="shared" si="17"/>
        <v>4237</v>
      </c>
      <c r="AU26" s="14">
        <f>AT26/AS26*100</f>
        <v>95.2220424307803</v>
      </c>
      <c r="AV26" s="14">
        <f t="shared" si="18"/>
        <v>212.59999999999945</v>
      </c>
      <c r="AW26" s="4">
        <f t="shared" si="19"/>
        <v>-197.20000000000073</v>
      </c>
      <c r="AX26" s="20">
        <f t="shared" si="8"/>
        <v>4449.599999999999</v>
      </c>
      <c r="AY26" s="20">
        <f t="shared" si="9"/>
        <v>4237</v>
      </c>
      <c r="AZ26" s="20">
        <f t="shared" si="10"/>
        <v>-197.20000000000073</v>
      </c>
    </row>
    <row r="27" spans="1:52" ht="34.5" customHeight="1">
      <c r="A27" s="6">
        <v>20</v>
      </c>
      <c r="B27" s="15" t="s">
        <v>47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47.9</v>
      </c>
      <c r="AD27" s="14"/>
      <c r="AE27" s="3">
        <v>0</v>
      </c>
      <c r="AF27" s="3">
        <v>101.7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149.6</v>
      </c>
      <c r="AL27" s="14" t="e">
        <f t="shared" si="22"/>
        <v>#DIV/0!</v>
      </c>
      <c r="AM27" s="3">
        <v>0.4</v>
      </c>
      <c r="AN27" s="3">
        <v>0</v>
      </c>
      <c r="AO27" s="3"/>
      <c r="AP27" s="3"/>
      <c r="AQ27" s="3"/>
      <c r="AR27" s="3"/>
      <c r="AS27" s="3">
        <f t="shared" si="16"/>
        <v>2146.8</v>
      </c>
      <c r="AT27" s="3">
        <f t="shared" si="17"/>
        <v>2146.4</v>
      </c>
      <c r="AU27" s="14">
        <f>AT27/AS27*100</f>
        <v>99.9813676169182</v>
      </c>
      <c r="AV27" s="14">
        <f t="shared" si="18"/>
        <v>0.40000000000009095</v>
      </c>
      <c r="AW27" s="4">
        <f t="shared" si="19"/>
        <v>0.40000000000009095</v>
      </c>
      <c r="AX27" s="20">
        <f t="shared" si="8"/>
        <v>2146.8</v>
      </c>
      <c r="AY27" s="20">
        <f t="shared" si="9"/>
        <v>2146.4</v>
      </c>
      <c r="AZ27" s="20">
        <f t="shared" si="10"/>
        <v>0.40000000000009095</v>
      </c>
    </row>
    <row r="28" spans="1:52" ht="34.5" customHeight="1">
      <c r="A28" s="6">
        <v>21</v>
      </c>
      <c r="B28" s="102" t="s">
        <v>48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>
        <v>0</v>
      </c>
      <c r="AF28" s="41">
        <v>0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>
        <f>12.5+19.4</f>
        <v>31.9</v>
      </c>
      <c r="AN28" s="41">
        <v>0</v>
      </c>
      <c r="AO28" s="41"/>
      <c r="AP28" s="41"/>
      <c r="AQ28" s="41"/>
      <c r="AR28" s="41"/>
      <c r="AS28" s="3">
        <f t="shared" si="16"/>
        <v>11441.6</v>
      </c>
      <c r="AT28" s="3">
        <f t="shared" si="17"/>
        <v>12029.699999999999</v>
      </c>
      <c r="AU28" s="14">
        <f>AT28/AS28*100</f>
        <v>105.14001538246399</v>
      </c>
      <c r="AV28" s="14">
        <f t="shared" si="18"/>
        <v>-588.0999999999985</v>
      </c>
      <c r="AW28" s="4">
        <f t="shared" si="19"/>
        <v>73.30000000000109</v>
      </c>
      <c r="AX28" s="20">
        <f t="shared" si="8"/>
        <v>11441.6</v>
      </c>
      <c r="AY28" s="20">
        <f t="shared" si="9"/>
        <v>12029.699999999999</v>
      </c>
      <c r="AZ28" s="20">
        <f t="shared" si="10"/>
        <v>73.30000000000109</v>
      </c>
    </row>
    <row r="29" spans="1:52" ht="34.5" customHeight="1">
      <c r="A29" s="6">
        <v>22</v>
      </c>
      <c r="B29" s="1" t="s">
        <v>49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50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51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52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1000</v>
      </c>
      <c r="AJ32" s="45">
        <f t="shared" si="24"/>
        <v>0</v>
      </c>
      <c r="AK32" s="45">
        <f t="shared" si="24"/>
        <v>6659.3</v>
      </c>
      <c r="AL32" s="45" t="e">
        <f t="shared" si="24"/>
        <v>#DIV/0!</v>
      </c>
      <c r="AM32" s="45">
        <f t="shared" si="24"/>
        <v>1588.7</v>
      </c>
      <c r="AN32" s="45">
        <f t="shared" si="24"/>
        <v>419.20000000000005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34839.5</v>
      </c>
      <c r="AT32" s="45">
        <f t="shared" si="24"/>
        <v>40352.69999999999</v>
      </c>
      <c r="AU32" s="14">
        <f>AT32/AS32*100</f>
        <v>115.82456694269432</v>
      </c>
      <c r="AV32" s="45">
        <f t="shared" si="24"/>
        <v>-5513.199999999995</v>
      </c>
      <c r="AW32" s="45">
        <f t="shared" si="24"/>
        <v>-5990.799999999996</v>
      </c>
      <c r="AX32" s="20">
        <f t="shared" si="8"/>
        <v>34839.5</v>
      </c>
      <c r="AY32" s="20">
        <f t="shared" si="9"/>
        <v>40352.700000000004</v>
      </c>
      <c r="AZ32" s="20">
        <f t="shared" si="10"/>
        <v>-5990.800000000003</v>
      </c>
    </row>
    <row r="33" spans="1:52" ht="34.5" customHeight="1">
      <c r="A33" s="6"/>
      <c r="B33" s="15" t="s">
        <v>77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>
        <f>481+1089.7</f>
        <v>1570.7</v>
      </c>
      <c r="AN33" s="3">
        <f>215.3+203.9</f>
        <v>419.20000000000005</v>
      </c>
      <c r="AO33" s="3"/>
      <c r="AP33" s="3"/>
      <c r="AQ33" s="3"/>
      <c r="AR33" s="3"/>
      <c r="AS33" s="3">
        <f t="shared" si="16"/>
        <v>31521.9</v>
      </c>
      <c r="AT33" s="3">
        <f t="shared" si="17"/>
        <v>36268.299999999996</v>
      </c>
      <c r="AU33" s="14">
        <f>AT33/AS33*100</f>
        <v>115.05746798257717</v>
      </c>
      <c r="AV33" s="14">
        <f t="shared" si="18"/>
        <v>-4746.399999999994</v>
      </c>
      <c r="AW33" s="4">
        <f t="shared" si="19"/>
        <v>-5000.599999999995</v>
      </c>
      <c r="AX33" s="20">
        <f t="shared" si="8"/>
        <v>31521.9</v>
      </c>
      <c r="AY33" s="20">
        <f t="shared" si="9"/>
        <v>36268.299999999996</v>
      </c>
      <c r="AZ33" s="20">
        <f t="shared" si="10"/>
        <v>-5000.599999999995</v>
      </c>
    </row>
    <row r="34" spans="1:52" ht="34.5" customHeight="1">
      <c r="A34" s="6"/>
      <c r="B34" s="15" t="s">
        <v>23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>
        <v>0</v>
      </c>
      <c r="AF34" s="3">
        <v>0</v>
      </c>
      <c r="AG34" s="28"/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>
        <v>0</v>
      </c>
      <c r="AN34" s="3">
        <v>0</v>
      </c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3369.7000000000003</v>
      </c>
      <c r="AU34" s="14">
        <f>AT34/AS34*100</f>
        <v>129.95372155804088</v>
      </c>
      <c r="AV34" s="14">
        <f>AS34-AT34</f>
        <v>-776.7000000000003</v>
      </c>
      <c r="AW34" s="4">
        <f>C34+AS34-AT34</f>
        <v>-1000.1000000000004</v>
      </c>
      <c r="AX34" s="20">
        <f t="shared" si="8"/>
        <v>2593</v>
      </c>
      <c r="AY34" s="20">
        <f t="shared" si="9"/>
        <v>3369.7000000000003</v>
      </c>
      <c r="AZ34" s="20">
        <f t="shared" si="10"/>
        <v>-1000.1000000000004</v>
      </c>
    </row>
    <row r="35" spans="1:52" ht="34.5" customHeight="1" hidden="1">
      <c r="A35" s="6"/>
      <c r="B35" s="15" t="s">
        <v>25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67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>
        <v>0</v>
      </c>
      <c r="AF36" s="3">
        <v>0</v>
      </c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>
        <v>18</v>
      </c>
      <c r="AN36" s="3">
        <v>0</v>
      </c>
      <c r="AO36" s="3"/>
      <c r="AP36" s="3"/>
      <c r="AQ36" s="3"/>
      <c r="AR36" s="3"/>
      <c r="AS36" s="3">
        <f t="shared" si="16"/>
        <v>724.5999999999999</v>
      </c>
      <c r="AT36" s="3">
        <f t="shared" si="17"/>
        <v>714.7</v>
      </c>
      <c r="AU36" s="14">
        <f aca="true" t="shared" si="30" ref="AU36:AU44">AT36/AS36*100</f>
        <v>98.63372895390562</v>
      </c>
      <c r="AV36" s="14">
        <f aca="true" t="shared" si="31" ref="AV36:AV44">AS36-AT36</f>
        <v>9.899999999999864</v>
      </c>
      <c r="AW36" s="4">
        <f aca="true" t="shared" si="32" ref="AW36:AW44">C36+AS36-AT36</f>
        <v>9.899999999999864</v>
      </c>
      <c r="AX36" s="20">
        <f t="shared" si="8"/>
        <v>724.5999999999999</v>
      </c>
      <c r="AY36" s="20">
        <f t="shared" si="9"/>
        <v>714.7</v>
      </c>
      <c r="AZ36" s="20">
        <f t="shared" si="10"/>
        <v>9.899999999999864</v>
      </c>
    </row>
    <row r="37" spans="1:52" ht="34.5" customHeight="1">
      <c r="A37" s="6">
        <v>26</v>
      </c>
      <c r="B37" s="15" t="s">
        <v>53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>
        <v>0</v>
      </c>
      <c r="AF37" s="3">
        <v>5.2</v>
      </c>
      <c r="AG37" s="28"/>
      <c r="AH37" s="3">
        <v>0</v>
      </c>
      <c r="AI37" s="3">
        <v>0</v>
      </c>
      <c r="AJ37" s="3">
        <f t="shared" si="14"/>
        <v>0</v>
      </c>
      <c r="AK37" s="3">
        <f t="shared" si="15"/>
        <v>5.2</v>
      </c>
      <c r="AL37" s="14" t="e">
        <f t="shared" si="22"/>
        <v>#DIV/0!</v>
      </c>
      <c r="AM37" s="3">
        <v>0</v>
      </c>
      <c r="AN37" s="3">
        <v>25</v>
      </c>
      <c r="AO37" s="3"/>
      <c r="AP37" s="3"/>
      <c r="AQ37" s="3"/>
      <c r="AR37" s="3"/>
      <c r="AS37" s="3">
        <f t="shared" si="16"/>
        <v>656.9</v>
      </c>
      <c r="AT37" s="3">
        <f t="shared" si="17"/>
        <v>683.4</v>
      </c>
      <c r="AU37" s="14">
        <f t="shared" si="30"/>
        <v>104.03409955853252</v>
      </c>
      <c r="AV37" s="14">
        <f t="shared" si="31"/>
        <v>-26.5</v>
      </c>
      <c r="AW37" s="4">
        <f t="shared" si="32"/>
        <v>-24.899999999999977</v>
      </c>
      <c r="AX37" s="20">
        <f t="shared" si="8"/>
        <v>656.9</v>
      </c>
      <c r="AY37" s="20">
        <f t="shared" si="9"/>
        <v>683.4</v>
      </c>
      <c r="AZ37" s="20">
        <f t="shared" si="10"/>
        <v>-24.899999999999977</v>
      </c>
    </row>
    <row r="38" spans="1:52" ht="34.5" customHeight="1">
      <c r="A38" s="6">
        <v>27</v>
      </c>
      <c r="B38" s="105" t="s">
        <v>54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0</v>
      </c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>
        <v>280.5</v>
      </c>
      <c r="AN38" s="3">
        <v>158.7</v>
      </c>
      <c r="AO38" s="3"/>
      <c r="AP38" s="3"/>
      <c r="AQ38" s="3"/>
      <c r="AR38" s="3"/>
      <c r="AS38" s="3">
        <f t="shared" si="16"/>
        <v>8500.7</v>
      </c>
      <c r="AT38" s="3">
        <f t="shared" si="17"/>
        <v>8374.400000000001</v>
      </c>
      <c r="AU38" s="14">
        <f t="shared" si="30"/>
        <v>98.51424000376441</v>
      </c>
      <c r="AV38" s="14">
        <f t="shared" si="31"/>
        <v>126.29999999999927</v>
      </c>
      <c r="AW38" s="4">
        <f t="shared" si="32"/>
        <v>116.79999999999927</v>
      </c>
      <c r="AX38" s="20">
        <f t="shared" si="8"/>
        <v>8500.7</v>
      </c>
      <c r="AY38" s="20">
        <f t="shared" si="9"/>
        <v>8374.400000000001</v>
      </c>
      <c r="AZ38" s="20">
        <f t="shared" si="10"/>
        <v>116.79999999999927</v>
      </c>
    </row>
    <row r="39" spans="1:52" ht="34.5" customHeight="1">
      <c r="A39" s="6">
        <v>28</v>
      </c>
      <c r="B39" s="106" t="s">
        <v>55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>
        <v>682.3</v>
      </c>
      <c r="AF39" s="3">
        <v>679.7</v>
      </c>
      <c r="AG39" s="28"/>
      <c r="AH39" s="3">
        <v>688</v>
      </c>
      <c r="AI39" s="3">
        <v>673.4</v>
      </c>
      <c r="AJ39" s="3">
        <f t="shared" si="14"/>
        <v>2052.6</v>
      </c>
      <c r="AK39" s="3">
        <f t="shared" si="15"/>
        <v>2032.4</v>
      </c>
      <c r="AL39" s="14">
        <f t="shared" si="22"/>
        <v>99.01588229562506</v>
      </c>
      <c r="AM39" s="3">
        <v>808.4</v>
      </c>
      <c r="AN39" s="3">
        <v>686.6</v>
      </c>
      <c r="AO39" s="3"/>
      <c r="AP39" s="3"/>
      <c r="AQ39" s="3"/>
      <c r="AR39" s="3"/>
      <c r="AS39" s="3">
        <f t="shared" si="16"/>
        <v>13549.4</v>
      </c>
      <c r="AT39" s="3">
        <f t="shared" si="17"/>
        <v>14499.5</v>
      </c>
      <c r="AU39" s="14">
        <f t="shared" si="30"/>
        <v>107.01211861779858</v>
      </c>
      <c r="AV39" s="14">
        <f t="shared" si="31"/>
        <v>-950.1000000000004</v>
      </c>
      <c r="AW39" s="4">
        <f t="shared" si="32"/>
        <v>714.7999999999993</v>
      </c>
      <c r="AX39" s="20">
        <f t="shared" si="8"/>
        <v>13549.4</v>
      </c>
      <c r="AY39" s="20">
        <f t="shared" si="9"/>
        <v>14499.5</v>
      </c>
      <c r="AZ39" s="20">
        <f t="shared" si="10"/>
        <v>714.7999999999993</v>
      </c>
    </row>
    <row r="40" spans="1:52" ht="34.5" customHeight="1">
      <c r="A40" s="6">
        <v>29</v>
      </c>
      <c r="B40" s="106" t="s">
        <v>56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>
        <v>0</v>
      </c>
      <c r="AF40" s="3">
        <v>0</v>
      </c>
      <c r="AG40" s="28"/>
      <c r="AH40" s="3">
        <v>0</v>
      </c>
      <c r="AI40" s="3">
        <v>0</v>
      </c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>
        <v>50.9</v>
      </c>
      <c r="AN40" s="3">
        <v>2661.9</v>
      </c>
      <c r="AO40" s="3"/>
      <c r="AP40" s="3"/>
      <c r="AQ40" s="3"/>
      <c r="AR40" s="3"/>
      <c r="AS40" s="3">
        <f t="shared" si="16"/>
        <v>18076.300000000003</v>
      </c>
      <c r="AT40" s="3">
        <f t="shared" si="17"/>
        <v>20188.5</v>
      </c>
      <c r="AU40" s="14">
        <f t="shared" si="30"/>
        <v>111.68491339488722</v>
      </c>
      <c r="AV40" s="14">
        <f t="shared" si="31"/>
        <v>-2112.199999999997</v>
      </c>
      <c r="AW40" s="4">
        <f t="shared" si="32"/>
        <v>-2611.0999999999985</v>
      </c>
      <c r="AX40" s="20">
        <f t="shared" si="8"/>
        <v>18076.300000000003</v>
      </c>
      <c r="AY40" s="20">
        <f t="shared" si="9"/>
        <v>20188.5</v>
      </c>
      <c r="AZ40" s="20">
        <f t="shared" si="10"/>
        <v>-2611.0999999999985</v>
      </c>
    </row>
    <row r="41" spans="1:52" s="40" customFormat="1" ht="34.5" customHeight="1">
      <c r="A41" s="6">
        <v>30</v>
      </c>
      <c r="B41" s="106" t="s">
        <v>57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>
        <v>0</v>
      </c>
      <c r="AF41" s="3">
        <v>2045.6</v>
      </c>
      <c r="AG41" s="28"/>
      <c r="AH41" s="3">
        <v>0</v>
      </c>
      <c r="AI41" s="3">
        <v>2149.4</v>
      </c>
      <c r="AJ41" s="3">
        <f t="shared" si="14"/>
        <v>0</v>
      </c>
      <c r="AK41" s="3">
        <f t="shared" si="15"/>
        <v>6235.6</v>
      </c>
      <c r="AL41" s="28" t="e">
        <f t="shared" si="22"/>
        <v>#DIV/0!</v>
      </c>
      <c r="AM41" s="3">
        <f>603.2+12.1</f>
        <v>615.3000000000001</v>
      </c>
      <c r="AN41" s="3">
        <v>0</v>
      </c>
      <c r="AO41" s="3"/>
      <c r="AP41" s="3"/>
      <c r="AQ41" s="3"/>
      <c r="AR41" s="3"/>
      <c r="AS41" s="3">
        <f t="shared" si="16"/>
        <v>22623.2</v>
      </c>
      <c r="AT41" s="3">
        <f t="shared" si="17"/>
        <v>21971.800000000003</v>
      </c>
      <c r="AU41" s="97">
        <f t="shared" si="30"/>
        <v>97.12065490293152</v>
      </c>
      <c r="AV41" s="14">
        <f t="shared" si="31"/>
        <v>651.3999999999978</v>
      </c>
      <c r="AW41" s="4">
        <f t="shared" si="32"/>
        <v>528.2999999999993</v>
      </c>
      <c r="AX41" s="20">
        <f t="shared" si="8"/>
        <v>22623.2</v>
      </c>
      <c r="AY41" s="20">
        <f t="shared" si="9"/>
        <v>21971.800000000003</v>
      </c>
      <c r="AZ41" s="20">
        <f t="shared" si="10"/>
        <v>528.2999999999993</v>
      </c>
    </row>
    <row r="42" spans="1:52" ht="34.5" customHeight="1">
      <c r="A42" s="6">
        <v>31</v>
      </c>
      <c r="B42" s="106" t="s">
        <v>58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59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>
        <v>0</v>
      </c>
      <c r="AF43" s="3">
        <v>610.4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815.5</v>
      </c>
      <c r="AL43" s="28" t="e">
        <f t="shared" si="22"/>
        <v>#DIV/0!</v>
      </c>
      <c r="AM43" s="3">
        <f>84+7.1</f>
        <v>91.1</v>
      </c>
      <c r="AN43" s="3">
        <f>0</f>
        <v>0</v>
      </c>
      <c r="AO43" s="3"/>
      <c r="AP43" s="3"/>
      <c r="AQ43" s="3"/>
      <c r="AR43" s="3"/>
      <c r="AS43" s="3">
        <f t="shared" si="16"/>
        <v>6323.3</v>
      </c>
      <c r="AT43" s="3">
        <f t="shared" si="17"/>
        <v>6990.1</v>
      </c>
      <c r="AU43" s="14">
        <f t="shared" si="30"/>
        <v>110.54512675343571</v>
      </c>
      <c r="AV43" s="14">
        <f t="shared" si="31"/>
        <v>-666.8000000000002</v>
      </c>
      <c r="AW43" s="4">
        <f t="shared" si="32"/>
        <v>97.59999999999945</v>
      </c>
      <c r="AX43" s="20">
        <f t="shared" si="8"/>
        <v>6323.3</v>
      </c>
      <c r="AY43" s="20">
        <f t="shared" si="9"/>
        <v>6990.1</v>
      </c>
      <c r="AZ43" s="20">
        <f t="shared" si="10"/>
        <v>97.59999999999945</v>
      </c>
    </row>
    <row r="44" spans="1:52" s="40" customFormat="1" ht="34.5" customHeight="1">
      <c r="A44" s="6">
        <v>33</v>
      </c>
      <c r="B44" s="106" t="s">
        <v>60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123.7+429.4</f>
        <v>553.1</v>
      </c>
      <c r="X44" s="14"/>
      <c r="Y44" s="3">
        <f>P44+S44+V44</f>
        <v>852.5</v>
      </c>
      <c r="Z44" s="3">
        <f>Q44+T44+W44</f>
        <v>2308.2999999999997</v>
      </c>
      <c r="AA44" s="14">
        <f t="shared" si="3"/>
        <v>270.7683284457478</v>
      </c>
      <c r="AB44" s="3">
        <f>123.7+78.4</f>
        <v>202.10000000000002</v>
      </c>
      <c r="AC44" s="3">
        <f>123.7+388</f>
        <v>511.7</v>
      </c>
      <c r="AD44" s="14">
        <f>AC44/AB44*100</f>
        <v>253.19148936170208</v>
      </c>
      <c r="AE44" s="3">
        <f>123.7+78.4</f>
        <v>202.10000000000002</v>
      </c>
      <c r="AF44" s="3">
        <f>123.7+285.4</f>
        <v>409.09999999999997</v>
      </c>
      <c r="AG44" s="28"/>
      <c r="AH44" s="3">
        <f>123.7+78.6</f>
        <v>202.3</v>
      </c>
      <c r="AI44" s="3">
        <f>123.7+172.1</f>
        <v>295.8</v>
      </c>
      <c r="AJ44" s="3">
        <f t="shared" si="14"/>
        <v>606.5</v>
      </c>
      <c r="AK44" s="3">
        <f t="shared" si="15"/>
        <v>1216.6</v>
      </c>
      <c r="AL44" s="14">
        <f t="shared" si="22"/>
        <v>200.59356966199502</v>
      </c>
      <c r="AM44" s="3">
        <f>207+130.1</f>
        <v>337.1</v>
      </c>
      <c r="AN44" s="3">
        <f>475.3+81.9</f>
        <v>557.2</v>
      </c>
      <c r="AO44" s="3"/>
      <c r="AP44" s="3"/>
      <c r="AQ44" s="3"/>
      <c r="AR44" s="3"/>
      <c r="AS44" s="3">
        <f t="shared" si="16"/>
        <v>7793.600000000001</v>
      </c>
      <c r="AT44" s="3">
        <f t="shared" si="17"/>
        <v>8886.7</v>
      </c>
      <c r="AU44" s="14">
        <f t="shared" si="30"/>
        <v>114.02561075754465</v>
      </c>
      <c r="AV44" s="14">
        <f t="shared" si="31"/>
        <v>-1093.0999999999995</v>
      </c>
      <c r="AW44" s="4">
        <f t="shared" si="32"/>
        <v>-31.5</v>
      </c>
      <c r="AX44" s="20">
        <f t="shared" si="8"/>
        <v>7793.600000000001</v>
      </c>
      <c r="AY44" s="20">
        <f t="shared" si="9"/>
        <v>8886.7</v>
      </c>
      <c r="AZ44" s="20">
        <f t="shared" si="10"/>
        <v>-31.5</v>
      </c>
    </row>
    <row r="45" spans="1:52" s="8" customFormat="1" ht="34.5" customHeight="1">
      <c r="A45" s="38">
        <v>34</v>
      </c>
      <c r="B45" s="16" t="s">
        <v>61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859.749</v>
      </c>
      <c r="AC45" s="45">
        <f>AC46+AC47</f>
        <v>24298</v>
      </c>
      <c r="AD45" s="14">
        <f>AC45/AB45*100</f>
        <v>2826.1736855756735</v>
      </c>
      <c r="AE45" s="45">
        <f>AE46+AE47</f>
        <v>592.1</v>
      </c>
      <c r="AF45" s="45">
        <f>AF46+AF47</f>
        <v>2674.8</v>
      </c>
      <c r="AG45" s="28">
        <f>AF45/AE45*100</f>
        <v>451.74801553791593</v>
      </c>
      <c r="AH45" s="45">
        <f>AH46+AH47</f>
        <v>1233.6</v>
      </c>
      <c r="AI45" s="45">
        <f>AI46+AI47</f>
        <v>2043.1</v>
      </c>
      <c r="AJ45" s="45">
        <f>AJ46+AJ47</f>
        <v>2685.449</v>
      </c>
      <c r="AK45" s="45">
        <f>AK46+AK47</f>
        <v>29015.9</v>
      </c>
      <c r="AL45" s="14">
        <f t="shared" si="22"/>
        <v>1080.4859820462052</v>
      </c>
      <c r="AM45" s="45">
        <f aca="true" t="shared" si="33" ref="AM45:AT45">AM46+AM47</f>
        <v>10018.5</v>
      </c>
      <c r="AN45" s="45">
        <f t="shared" si="33"/>
        <v>26866.7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356342.649</v>
      </c>
      <c r="AT45" s="45">
        <f t="shared" si="33"/>
        <v>494131.8</v>
      </c>
      <c r="AU45" s="14">
        <f>AT45/AS45*100</f>
        <v>138.66760024001505</v>
      </c>
      <c r="AV45" s="46">
        <f>AV46+AV47</f>
        <v>-137789.151</v>
      </c>
      <c r="AW45" s="46">
        <f>AW46+AW47</f>
        <v>66921.94900000001</v>
      </c>
      <c r="AX45" s="20">
        <f t="shared" si="8"/>
        <v>356342.649</v>
      </c>
      <c r="AY45" s="20">
        <f t="shared" si="9"/>
        <v>494131.8</v>
      </c>
      <c r="AZ45" s="20">
        <f t="shared" si="10"/>
        <v>66921.94899999996</v>
      </c>
    </row>
    <row r="46" spans="1:52" s="8" customFormat="1" ht="34.5" customHeight="1">
      <c r="A46" s="38"/>
      <c r="B46" s="1" t="s">
        <v>66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>
        <f>146+246</f>
        <v>392</v>
      </c>
      <c r="AF46" s="41">
        <f>1971+529</f>
        <v>2500</v>
      </c>
      <c r="AG46" s="28"/>
      <c r="AH46" s="41">
        <f>258+760</f>
        <v>1018</v>
      </c>
      <c r="AI46" s="41">
        <f>1340+485</f>
        <v>1825</v>
      </c>
      <c r="AJ46" s="3">
        <f>AB46+AE46+AH46</f>
        <v>2086</v>
      </c>
      <c r="AK46" s="3">
        <f>AC46+AF46+AI46</f>
        <v>28310</v>
      </c>
      <c r="AL46" s="14">
        <f t="shared" si="22"/>
        <v>1357.142857142857</v>
      </c>
      <c r="AM46" s="41">
        <f>2343+7053</f>
        <v>9396</v>
      </c>
      <c r="AN46" s="41">
        <f>8363+18055</f>
        <v>26418</v>
      </c>
      <c r="AO46" s="41"/>
      <c r="AP46" s="41"/>
      <c r="AQ46" s="41"/>
      <c r="AR46" s="41"/>
      <c r="AS46" s="3">
        <f>M46+Y46+AJ46+AM46+AO46+AQ46</f>
        <v>347048</v>
      </c>
      <c r="AT46" s="3">
        <f>N46+Z46+AK46+AN46+AP46+AR46</f>
        <v>482682</v>
      </c>
      <c r="AU46" s="14">
        <f>AT46/AS46*100</f>
        <v>139.08220188561813</v>
      </c>
      <c r="AV46" s="14">
        <f>AS46-AT46</f>
        <v>-135634</v>
      </c>
      <c r="AW46" s="4">
        <f>C46+AS46-AT46</f>
        <v>66640</v>
      </c>
      <c r="AX46" s="20">
        <f t="shared" si="8"/>
        <v>347048</v>
      </c>
      <c r="AY46" s="20">
        <f t="shared" si="9"/>
        <v>482682</v>
      </c>
      <c r="AZ46" s="20">
        <f t="shared" si="10"/>
        <v>66640</v>
      </c>
    </row>
    <row r="47" spans="1:52" s="8" customFormat="1" ht="34.5" customHeight="1">
      <c r="A47" s="38"/>
      <c r="B47" s="1" t="s">
        <v>67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183.749</v>
      </c>
      <c r="AC47" s="41">
        <v>313</v>
      </c>
      <c r="AD47" s="14">
        <f>AC47/AB47*100</f>
        <v>170.3410630806154</v>
      </c>
      <c r="AE47" s="41">
        <v>200.1</v>
      </c>
      <c r="AF47" s="41">
        <v>174.8</v>
      </c>
      <c r="AG47" s="36"/>
      <c r="AH47" s="41">
        <v>215.6</v>
      </c>
      <c r="AI47" s="41">
        <v>218.1</v>
      </c>
      <c r="AJ47" s="3">
        <f>AB47+AE47+AH47</f>
        <v>599.449</v>
      </c>
      <c r="AK47" s="3">
        <f>AC47+AF47+AI47</f>
        <v>705.9</v>
      </c>
      <c r="AL47" s="14">
        <f t="shared" si="22"/>
        <v>117.75814122635954</v>
      </c>
      <c r="AM47" s="41">
        <v>622.5</v>
      </c>
      <c r="AN47" s="41">
        <v>448.7</v>
      </c>
      <c r="AO47" s="41"/>
      <c r="AP47" s="41"/>
      <c r="AQ47" s="41"/>
      <c r="AR47" s="41"/>
      <c r="AS47" s="3">
        <f>M47+Y47+AJ47+AM47+AO47+AQ47</f>
        <v>9294.649000000001</v>
      </c>
      <c r="AT47" s="3">
        <f>N47+Z47+AK47+AN47+AP47+AR47</f>
        <v>11449.8</v>
      </c>
      <c r="AU47" s="14">
        <f>AT47/AS47*100</f>
        <v>123.1870079225154</v>
      </c>
      <c r="AV47" s="14">
        <f>AS47-AT47</f>
        <v>-2155.150999999998</v>
      </c>
      <c r="AW47" s="4">
        <f>C47+AS47-AT47</f>
        <v>281.94900000000234</v>
      </c>
      <c r="AX47" s="20">
        <f t="shared" si="8"/>
        <v>9294.649000000001</v>
      </c>
      <c r="AY47" s="20">
        <f t="shared" si="9"/>
        <v>11449.8</v>
      </c>
      <c r="AZ47" s="20">
        <f t="shared" si="10"/>
        <v>281.94900000000234</v>
      </c>
    </row>
    <row r="48" spans="1:52" s="8" customFormat="1" ht="34.5" customHeight="1">
      <c r="A48" s="38"/>
      <c r="B48" s="16" t="s">
        <v>62</v>
      </c>
      <c r="C48" s="45">
        <f>C7+C45</f>
        <v>204485.7</v>
      </c>
      <c r="D48" s="45">
        <f>D7+D45</f>
        <v>225834.7</v>
      </c>
      <c r="E48" s="45">
        <f>E7+E45</f>
        <v>108868.4</v>
      </c>
      <c r="F48" s="95">
        <f t="shared" si="25"/>
        <v>48.207117860984155</v>
      </c>
      <c r="G48" s="45">
        <f>G7+G45</f>
        <v>144004.4</v>
      </c>
      <c r="H48" s="45">
        <f>H7+H45</f>
        <v>175618</v>
      </c>
      <c r="I48" s="14">
        <f>H48/G48*100</f>
        <v>121.95321809611373</v>
      </c>
      <c r="J48" s="45">
        <f>J7+J45</f>
        <v>117490.79999999999</v>
      </c>
      <c r="K48" s="45">
        <f>K7+K45</f>
        <v>178334.09999999998</v>
      </c>
      <c r="L48" s="95">
        <f t="shared" si="4"/>
        <v>151.78558661614358</v>
      </c>
      <c r="M48" s="45">
        <f>M7+M45</f>
        <v>487329.89999999997</v>
      </c>
      <c r="N48" s="45">
        <f>N7+N45</f>
        <v>462820.5</v>
      </c>
      <c r="O48" s="14">
        <f>N48/M48*100</f>
        <v>94.97067592199863</v>
      </c>
      <c r="P48" s="45">
        <f>P7+P45</f>
        <v>43362.299999999996</v>
      </c>
      <c r="Q48" s="45">
        <f>Q7+Q45</f>
        <v>93235.50000000001</v>
      </c>
      <c r="R48" s="95">
        <f t="shared" si="5"/>
        <v>215.01511681806554</v>
      </c>
      <c r="S48" s="45">
        <f>S7+S45</f>
        <v>4258.7</v>
      </c>
      <c r="T48" s="45">
        <f>T7+T45</f>
        <v>48600.1</v>
      </c>
      <c r="U48" s="45" t="e">
        <f>U7+U45-U32</f>
        <v>#DIV/0!</v>
      </c>
      <c r="V48" s="45">
        <f>V7+V45-V32</f>
        <v>2054.7</v>
      </c>
      <c r="W48" s="45">
        <f>W7+W45-W32</f>
        <v>16788.5</v>
      </c>
      <c r="X48" s="45" t="e">
        <f>X7+X45-X32</f>
        <v>#DIV/0!</v>
      </c>
      <c r="Y48" s="45">
        <f>Y7+Y45</f>
        <v>49675.7</v>
      </c>
      <c r="Z48" s="45">
        <f>Z7+Z45</f>
        <v>158624.1</v>
      </c>
      <c r="AA48" s="14">
        <f t="shared" si="3"/>
        <v>319.3193050123098</v>
      </c>
      <c r="AB48" s="45">
        <f>AB7+AB45</f>
        <v>1756.949</v>
      </c>
      <c r="AC48" s="45">
        <f>AC7+AC45</f>
        <v>35518.100000000006</v>
      </c>
      <c r="AD48" s="45">
        <f aca="true" t="shared" si="34" ref="AD48:AR48">AD7+AD45</f>
        <v>4076.742120707194</v>
      </c>
      <c r="AE48" s="45">
        <f t="shared" si="34"/>
        <v>1489.3</v>
      </c>
      <c r="AF48" s="45">
        <f t="shared" si="34"/>
        <v>7426.400000000001</v>
      </c>
      <c r="AG48" s="45">
        <f t="shared" si="34"/>
        <v>451.74801553791593</v>
      </c>
      <c r="AH48" s="45">
        <f t="shared" si="34"/>
        <v>2123.8999999999996</v>
      </c>
      <c r="AI48" s="45">
        <f t="shared" si="34"/>
        <v>6861.1</v>
      </c>
      <c r="AJ48" s="45">
        <f t="shared" si="34"/>
        <v>5370.148999999999</v>
      </c>
      <c r="AK48" s="45">
        <f t="shared" si="34"/>
        <v>49805.600000000006</v>
      </c>
      <c r="AL48" s="45" t="e">
        <f t="shared" si="34"/>
        <v>#DIV/0!</v>
      </c>
      <c r="AM48" s="45">
        <f t="shared" si="34"/>
        <v>15205</v>
      </c>
      <c r="AN48" s="45">
        <f t="shared" si="34"/>
        <v>33849.9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557580.749</v>
      </c>
      <c r="AT48" s="45">
        <f>AT7+AT45</f>
        <v>705100.1</v>
      </c>
      <c r="AU48" s="14">
        <f>AT48/AS48*100</f>
        <v>126.45703806391637</v>
      </c>
      <c r="AV48" s="45">
        <f>AV7+AV45</f>
        <v>-147519.351</v>
      </c>
      <c r="AW48" s="45">
        <f>AW7+AW45</f>
        <v>56966.34900000002</v>
      </c>
      <c r="AX48" s="20">
        <f t="shared" si="8"/>
        <v>557580.749</v>
      </c>
      <c r="AY48" s="20">
        <f t="shared" si="9"/>
        <v>705100.1</v>
      </c>
      <c r="AZ48" s="20">
        <f t="shared" si="10"/>
        <v>56966.349000000046</v>
      </c>
    </row>
    <row r="49" spans="1:49" s="117" customFormat="1" ht="81.75" customHeight="1">
      <c r="A49" s="233" t="s">
        <v>68</v>
      </c>
      <c r="B49" s="233"/>
      <c r="C49" s="233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69</v>
      </c>
    </row>
    <row r="50" spans="2:49" ht="33.75" customHeight="1">
      <c r="B50" s="247"/>
      <c r="C50" s="247"/>
      <c r="D50" s="247"/>
      <c r="E50" s="247"/>
      <c r="F50" s="24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42" t="s">
        <v>19</v>
      </c>
      <c r="C55" s="242"/>
      <c r="D55" s="24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48" t="s">
        <v>5</v>
      </c>
      <c r="C56" s="248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43" t="s">
        <v>17</v>
      </c>
      <c r="B57" s="243"/>
      <c r="C57" s="24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-2691.5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-378.09999999999854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AM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N48" sqref="AN48"/>
    </sheetView>
  </sheetViews>
  <sheetFormatPr defaultColWidth="7.875" defaultRowHeight="12.75"/>
  <cols>
    <col min="1" max="1" width="6.625" style="148" customWidth="1"/>
    <col min="2" max="2" width="55.75390625" style="147" customWidth="1"/>
    <col min="3" max="3" width="16.875" style="156" customWidth="1"/>
    <col min="4" max="5" width="13.25390625" style="147" hidden="1" customWidth="1"/>
    <col min="6" max="6" width="13.75390625" style="158" hidden="1" customWidth="1"/>
    <col min="7" max="8" width="12.375" style="147" hidden="1" customWidth="1"/>
    <col min="9" max="9" width="11.875" style="158" hidden="1" customWidth="1"/>
    <col min="10" max="11" width="12.375" style="147" hidden="1" customWidth="1"/>
    <col min="12" max="12" width="11.875" style="158" hidden="1" customWidth="1"/>
    <col min="13" max="13" width="14.75390625" style="158" customWidth="1"/>
    <col min="14" max="14" width="12.875" style="158" customWidth="1"/>
    <col min="15" max="15" width="11.875" style="158" customWidth="1"/>
    <col min="16" max="16" width="14.375" style="147" hidden="1" customWidth="1"/>
    <col min="17" max="17" width="12.375" style="147" hidden="1" customWidth="1"/>
    <col min="18" max="18" width="11.875" style="158" hidden="1" customWidth="1"/>
    <col min="19" max="19" width="14.375" style="147" hidden="1" customWidth="1"/>
    <col min="20" max="20" width="13.375" style="147" hidden="1" customWidth="1"/>
    <col min="21" max="21" width="11.875" style="158" hidden="1" customWidth="1"/>
    <col min="22" max="22" width="15.125" style="158" hidden="1" customWidth="1"/>
    <col min="23" max="23" width="13.125" style="158" hidden="1" customWidth="1"/>
    <col min="24" max="24" width="11.875" style="158" hidden="1" customWidth="1"/>
    <col min="25" max="25" width="14.75390625" style="158" customWidth="1"/>
    <col min="26" max="26" width="12.875" style="158" customWidth="1"/>
    <col min="27" max="27" width="11.875" style="158" hidden="1" customWidth="1"/>
    <col min="28" max="28" width="15.125" style="158" hidden="1" customWidth="1"/>
    <col min="29" max="29" width="13.125" style="158" hidden="1" customWidth="1"/>
    <col min="30" max="30" width="11.875" style="158" hidden="1" customWidth="1"/>
    <col min="31" max="31" width="14.625" style="158" hidden="1" customWidth="1"/>
    <col min="32" max="32" width="14.25390625" style="158" hidden="1" customWidth="1"/>
    <col min="33" max="33" width="11.875" style="158" hidden="1" customWidth="1"/>
    <col min="34" max="34" width="14.625" style="158" hidden="1" customWidth="1"/>
    <col min="35" max="35" width="13.875" style="158" hidden="1" customWidth="1"/>
    <col min="36" max="36" width="14.75390625" style="158" customWidth="1"/>
    <col min="37" max="37" width="12.875" style="158" customWidth="1"/>
    <col min="38" max="38" width="11.875" style="158" hidden="1" customWidth="1"/>
    <col min="39" max="39" width="14.625" style="158" customWidth="1"/>
    <col min="40" max="40" width="13.875" style="158" customWidth="1"/>
    <col min="41" max="41" width="14.625" style="158" hidden="1" customWidth="1"/>
    <col min="42" max="42" width="13.875" style="158" hidden="1" customWidth="1"/>
    <col min="43" max="43" width="14.625" style="158" hidden="1" customWidth="1"/>
    <col min="44" max="44" width="13.875" style="158" hidden="1" customWidth="1"/>
    <col min="45" max="45" width="14.125" style="147" customWidth="1"/>
    <col min="46" max="46" width="13.75390625" style="147" customWidth="1"/>
    <col min="47" max="47" width="13.75390625" style="158" customWidth="1"/>
    <col min="48" max="48" width="22.25390625" style="147" hidden="1" customWidth="1"/>
    <col min="49" max="49" width="26.25390625" style="147" customWidth="1"/>
    <col min="50" max="50" width="14.125" style="147" customWidth="1"/>
    <col min="51" max="51" width="15.375" style="147" customWidth="1"/>
    <col min="52" max="52" width="14.875" style="147" customWidth="1"/>
    <col min="53" max="16384" width="7.875" style="147" customWidth="1"/>
  </cols>
  <sheetData>
    <row r="1" spans="4:49" ht="18.75"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</row>
    <row r="2" spans="1:49" s="157" customFormat="1" ht="60" customHeight="1">
      <c r="A2" s="259" t="s">
        <v>94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</row>
    <row r="3" spans="1:49" s="157" customFormat="1" ht="60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</row>
    <row r="4" spans="2:49" ht="34.5" customHeight="1">
      <c r="B4" s="255"/>
      <c r="C4" s="255"/>
      <c r="AW4" s="159" t="s">
        <v>28</v>
      </c>
    </row>
    <row r="5" spans="1:49" ht="58.5" customHeight="1">
      <c r="A5" s="149" t="s">
        <v>4</v>
      </c>
      <c r="B5" s="160"/>
      <c r="C5" s="161" t="s">
        <v>1</v>
      </c>
      <c r="D5" s="256" t="s">
        <v>70</v>
      </c>
      <c r="E5" s="257"/>
      <c r="F5" s="258"/>
      <c r="G5" s="239" t="s">
        <v>73</v>
      </c>
      <c r="H5" s="240"/>
      <c r="I5" s="241"/>
      <c r="J5" s="239" t="s">
        <v>74</v>
      </c>
      <c r="K5" s="240"/>
      <c r="L5" s="241"/>
      <c r="M5" s="239" t="s">
        <v>76</v>
      </c>
      <c r="N5" s="240"/>
      <c r="O5" s="241"/>
      <c r="P5" s="239" t="s">
        <v>75</v>
      </c>
      <c r="Q5" s="240"/>
      <c r="R5" s="241"/>
      <c r="S5" s="239" t="s">
        <v>78</v>
      </c>
      <c r="T5" s="240"/>
      <c r="U5" s="241"/>
      <c r="V5" s="239" t="s">
        <v>79</v>
      </c>
      <c r="W5" s="240"/>
      <c r="X5" s="241"/>
      <c r="Y5" s="239" t="s">
        <v>80</v>
      </c>
      <c r="Z5" s="240"/>
      <c r="AA5" s="241"/>
      <c r="AB5" s="239" t="s">
        <v>81</v>
      </c>
      <c r="AC5" s="240"/>
      <c r="AD5" s="241"/>
      <c r="AE5" s="230" t="s">
        <v>82</v>
      </c>
      <c r="AF5" s="231"/>
      <c r="AG5" s="232"/>
      <c r="AH5" s="239" t="s">
        <v>83</v>
      </c>
      <c r="AI5" s="241"/>
      <c r="AJ5" s="230" t="s">
        <v>84</v>
      </c>
      <c r="AK5" s="231"/>
      <c r="AL5" s="232"/>
      <c r="AM5" s="230" t="s">
        <v>85</v>
      </c>
      <c r="AN5" s="232"/>
      <c r="AO5" s="239" t="s">
        <v>21</v>
      </c>
      <c r="AP5" s="241"/>
      <c r="AQ5" s="239" t="s">
        <v>22</v>
      </c>
      <c r="AR5" s="241"/>
      <c r="AS5" s="256" t="s">
        <v>71</v>
      </c>
      <c r="AT5" s="257"/>
      <c r="AU5" s="258"/>
      <c r="AV5" s="249" t="s">
        <v>24</v>
      </c>
      <c r="AW5" s="228" t="s">
        <v>87</v>
      </c>
    </row>
    <row r="6" spans="1:49" ht="57.75" customHeight="1">
      <c r="A6" s="150" t="s">
        <v>2</v>
      </c>
      <c r="B6" s="162" t="s">
        <v>63</v>
      </c>
      <c r="C6" s="163" t="s">
        <v>72</v>
      </c>
      <c r="D6" s="162" t="s">
        <v>20</v>
      </c>
      <c r="E6" s="162" t="s">
        <v>13</v>
      </c>
      <c r="F6" s="151" t="s">
        <v>0</v>
      </c>
      <c r="G6" s="162" t="s">
        <v>20</v>
      </c>
      <c r="H6" s="162" t="s">
        <v>13</v>
      </c>
      <c r="I6" s="151" t="s">
        <v>0</v>
      </c>
      <c r="J6" s="162" t="s">
        <v>20</v>
      </c>
      <c r="K6" s="162" t="s">
        <v>13</v>
      </c>
      <c r="L6" s="151" t="s">
        <v>0</v>
      </c>
      <c r="M6" s="162" t="s">
        <v>20</v>
      </c>
      <c r="N6" s="162" t="s">
        <v>13</v>
      </c>
      <c r="O6" s="151" t="s">
        <v>0</v>
      </c>
      <c r="P6" s="162" t="s">
        <v>20</v>
      </c>
      <c r="Q6" s="162" t="s">
        <v>13</v>
      </c>
      <c r="R6" s="151" t="s">
        <v>0</v>
      </c>
      <c r="S6" s="162" t="s">
        <v>20</v>
      </c>
      <c r="T6" s="162" t="s">
        <v>13</v>
      </c>
      <c r="U6" s="151" t="s">
        <v>0</v>
      </c>
      <c r="V6" s="162" t="s">
        <v>20</v>
      </c>
      <c r="W6" s="162" t="s">
        <v>13</v>
      </c>
      <c r="X6" s="151" t="s">
        <v>0</v>
      </c>
      <c r="Y6" s="162" t="s">
        <v>20</v>
      </c>
      <c r="Z6" s="162" t="s">
        <v>13</v>
      </c>
      <c r="AA6" s="151" t="s">
        <v>0</v>
      </c>
      <c r="AB6" s="162" t="s">
        <v>20</v>
      </c>
      <c r="AC6" s="162" t="s">
        <v>13</v>
      </c>
      <c r="AD6" s="151" t="s">
        <v>0</v>
      </c>
      <c r="AE6" s="162" t="s">
        <v>20</v>
      </c>
      <c r="AF6" s="162" t="s">
        <v>13</v>
      </c>
      <c r="AG6" s="151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51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27</v>
      </c>
      <c r="AT6" s="162" t="s">
        <v>13</v>
      </c>
      <c r="AU6" s="151" t="s">
        <v>0</v>
      </c>
      <c r="AV6" s="250"/>
      <c r="AW6" s="229"/>
    </row>
    <row r="7" spans="1:52" s="158" customFormat="1" ht="34.5" customHeight="1">
      <c r="A7" s="151"/>
      <c r="B7" s="164" t="s">
        <v>64</v>
      </c>
      <c r="C7" s="165">
        <f aca="true" t="shared" si="0" ref="C7:AR7">SUM(C8:C44)-C33-C34-C35-C36</f>
        <v>-2051.4999999999995</v>
      </c>
      <c r="D7" s="165">
        <f t="shared" si="0"/>
        <v>11225</v>
      </c>
      <c r="E7" s="165">
        <f t="shared" si="0"/>
        <v>3119.2</v>
      </c>
      <c r="F7" s="165">
        <f aca="true" t="shared" si="1" ref="F7:F46">E7/D7*100</f>
        <v>27.78797327394209</v>
      </c>
      <c r="G7" s="165">
        <f>SUM(G8:G44)-G33-G34-G35-G36</f>
        <v>9043.4</v>
      </c>
      <c r="H7" s="165">
        <f>SUM(H8:H44)-H33-H34-H35-H36</f>
        <v>10055.500000000002</v>
      </c>
      <c r="I7" s="166">
        <f aca="true" t="shared" si="2" ref="I7:I48">H7/G7*100</f>
        <v>111.19158723488955</v>
      </c>
      <c r="J7" s="165">
        <f t="shared" si="0"/>
        <v>7866.299999999998</v>
      </c>
      <c r="K7" s="165">
        <f t="shared" si="0"/>
        <v>10638.699999999997</v>
      </c>
      <c r="L7" s="165">
        <f aca="true" t="shared" si="3" ref="L7:L48">K7/J7*100</f>
        <v>135.24401561089712</v>
      </c>
      <c r="M7" s="165">
        <f t="shared" si="0"/>
        <v>28134.700000000004</v>
      </c>
      <c r="N7" s="165">
        <f t="shared" si="0"/>
        <v>23813.4</v>
      </c>
      <c r="O7" s="144">
        <f>N7/M7*100</f>
        <v>84.6406750382979</v>
      </c>
      <c r="P7" s="165">
        <f t="shared" si="0"/>
        <v>1949.12</v>
      </c>
      <c r="Q7" s="165">
        <f t="shared" si="0"/>
        <v>4826.1900000000005</v>
      </c>
      <c r="R7" s="144">
        <f aca="true" t="shared" si="4" ref="R7:R48">Q7/P7*100</f>
        <v>247.60866442291908</v>
      </c>
      <c r="S7" s="165">
        <f t="shared" si="0"/>
        <v>524</v>
      </c>
      <c r="T7" s="165">
        <f t="shared" si="0"/>
        <v>866.5000000000002</v>
      </c>
      <c r="U7" s="165" t="e">
        <f t="shared" si="0"/>
        <v>#DIV/0!</v>
      </c>
      <c r="V7" s="165">
        <f t="shared" si="0"/>
        <v>500.4</v>
      </c>
      <c r="W7" s="165">
        <f t="shared" si="0"/>
        <v>462.30000000000007</v>
      </c>
      <c r="X7" s="165" t="e">
        <f t="shared" si="0"/>
        <v>#DIV/0!</v>
      </c>
      <c r="Y7" s="165">
        <f t="shared" si="0"/>
        <v>2973.52</v>
      </c>
      <c r="Z7" s="165">
        <f t="shared" si="0"/>
        <v>6154.990000000001</v>
      </c>
      <c r="AA7" s="165">
        <f>Z7/Y7*100</f>
        <v>206.9933950334957</v>
      </c>
      <c r="AB7" s="165">
        <f t="shared" si="0"/>
        <v>695.4999999999999</v>
      </c>
      <c r="AC7" s="165">
        <f t="shared" si="0"/>
        <v>775.2</v>
      </c>
      <c r="AD7" s="165">
        <f>AC7/AB7*100</f>
        <v>111.4593817397556</v>
      </c>
      <c r="AE7" s="165">
        <f t="shared" si="0"/>
        <v>693.8000000000001</v>
      </c>
      <c r="AF7" s="165">
        <f t="shared" si="0"/>
        <v>507.4</v>
      </c>
      <c r="AG7" s="165" t="e">
        <f t="shared" si="0"/>
        <v>#DIV/0!</v>
      </c>
      <c r="AH7" s="165">
        <f t="shared" si="0"/>
        <v>699.5999999999999</v>
      </c>
      <c r="AI7" s="165">
        <f t="shared" si="0"/>
        <v>672.3000000000001</v>
      </c>
      <c r="AJ7" s="165">
        <f t="shared" si="0"/>
        <v>2088.8999999999996</v>
      </c>
      <c r="AK7" s="165">
        <f t="shared" si="0"/>
        <v>1954.9</v>
      </c>
      <c r="AL7" s="165" t="e">
        <f t="shared" si="0"/>
        <v>#DIV/0!</v>
      </c>
      <c r="AM7" s="165">
        <f t="shared" si="0"/>
        <v>2069</v>
      </c>
      <c r="AN7" s="165">
        <f t="shared" si="0"/>
        <v>2309.4</v>
      </c>
      <c r="AO7" s="165">
        <f t="shared" si="0"/>
        <v>0</v>
      </c>
      <c r="AP7" s="165">
        <f t="shared" si="0"/>
        <v>0</v>
      </c>
      <c r="AQ7" s="165">
        <f t="shared" si="0"/>
        <v>0</v>
      </c>
      <c r="AR7" s="165">
        <f t="shared" si="0"/>
        <v>0</v>
      </c>
      <c r="AS7" s="165">
        <f>SUM(AS8:AS44)-AS33-AS34-AS35-AS36</f>
        <v>35266.12</v>
      </c>
      <c r="AT7" s="165">
        <f>SUM(AT8:AT44)-AT33-AT34-AT35-AT36</f>
        <v>34232.69</v>
      </c>
      <c r="AU7" s="165">
        <f>AT7/AS7*100</f>
        <v>97.06962376354416</v>
      </c>
      <c r="AV7" s="165">
        <f>SUM(AV8:AV44)-AV33-AV34-AV35-AV36</f>
        <v>1033.4300000000003</v>
      </c>
      <c r="AW7" s="165">
        <f>SUM(AW8:AW44)-AW33-AW34-AW35-AW36</f>
        <v>-1018.0700000000002</v>
      </c>
      <c r="AX7" s="146">
        <f>M7+Y7+AB7+AE7+AH7</f>
        <v>33197.12</v>
      </c>
      <c r="AY7" s="146">
        <f>N7+Z7+AC7+AF7+AI7</f>
        <v>31923.290000000005</v>
      </c>
      <c r="AZ7" s="146">
        <f>C7+AX7-AY7</f>
        <v>-777.6700000000019</v>
      </c>
    </row>
    <row r="8" spans="1:52" ht="34.5" customHeight="1">
      <c r="A8" s="152">
        <v>1</v>
      </c>
      <c r="B8" s="143" t="s">
        <v>29</v>
      </c>
      <c r="C8" s="167">
        <v>0</v>
      </c>
      <c r="D8" s="168">
        <v>324.3</v>
      </c>
      <c r="E8" s="168">
        <v>250</v>
      </c>
      <c r="F8" s="166">
        <f t="shared" si="1"/>
        <v>77.0891150169596</v>
      </c>
      <c r="G8" s="168">
        <v>380.8</v>
      </c>
      <c r="H8" s="168">
        <v>333.3</v>
      </c>
      <c r="I8" s="166">
        <f t="shared" si="2"/>
        <v>87.52626050420169</v>
      </c>
      <c r="J8" s="168">
        <v>304</v>
      </c>
      <c r="K8" s="168">
        <v>326.2</v>
      </c>
      <c r="L8" s="144">
        <f t="shared" si="3"/>
        <v>107.30263157894737</v>
      </c>
      <c r="M8" s="168">
        <f>D8+G8+J8</f>
        <v>1009.1</v>
      </c>
      <c r="N8" s="168">
        <f>E8+H8+K8</f>
        <v>909.5</v>
      </c>
      <c r="O8" s="144">
        <f>N8/M8*100</f>
        <v>90.12981865028242</v>
      </c>
      <c r="P8" s="168">
        <v>54.3</v>
      </c>
      <c r="Q8" s="168">
        <v>153.9</v>
      </c>
      <c r="R8" s="144">
        <f t="shared" si="4"/>
        <v>283.4254143646409</v>
      </c>
      <c r="S8" s="168">
        <v>0</v>
      </c>
      <c r="T8" s="168">
        <v>0</v>
      </c>
      <c r="U8" s="144" t="e">
        <f aca="true" t="shared" si="5" ref="U8:U48">T8/S8*100</f>
        <v>#DIV/0!</v>
      </c>
      <c r="V8" s="168">
        <v>0</v>
      </c>
      <c r="W8" s="168">
        <v>0</v>
      </c>
      <c r="X8" s="144" t="e">
        <f aca="true" t="shared" si="6" ref="X8:X48">W8/V8*100</f>
        <v>#DIV/0!</v>
      </c>
      <c r="Y8" s="168">
        <f>P8+S8+V8</f>
        <v>54.3</v>
      </c>
      <c r="Z8" s="168">
        <f>Q8+T8+W8</f>
        <v>153.9</v>
      </c>
      <c r="AA8" s="144"/>
      <c r="AB8" s="168">
        <v>0</v>
      </c>
      <c r="AC8" s="168">
        <v>0</v>
      </c>
      <c r="AD8" s="168"/>
      <c r="AE8" s="168">
        <v>0</v>
      </c>
      <c r="AF8" s="168">
        <v>0</v>
      </c>
      <c r="AG8" s="169"/>
      <c r="AH8" s="168">
        <v>0</v>
      </c>
      <c r="AI8" s="168">
        <v>0</v>
      </c>
      <c r="AJ8" s="168">
        <f>AB8+AE8+AH8</f>
        <v>0</v>
      </c>
      <c r="AK8" s="168">
        <f>AC8+AF8+AI8</f>
        <v>0</v>
      </c>
      <c r="AL8" s="169" t="e">
        <f>AK8/AJ8*100</f>
        <v>#DIV/0!</v>
      </c>
      <c r="AM8" s="168">
        <v>18.2</v>
      </c>
      <c r="AN8" s="168">
        <v>0</v>
      </c>
      <c r="AO8" s="168"/>
      <c r="AP8" s="168"/>
      <c r="AQ8" s="168"/>
      <c r="AR8" s="168"/>
      <c r="AS8" s="168">
        <f>M8+Y8+AJ8+AM8+AO8+AQ8</f>
        <v>1081.6000000000001</v>
      </c>
      <c r="AT8" s="168">
        <f>N8+Z8+AK8+AN8+AP8+AR8</f>
        <v>1063.4</v>
      </c>
      <c r="AU8" s="144">
        <f>AT8/AS8*100</f>
        <v>98.3173076923077</v>
      </c>
      <c r="AV8" s="144">
        <f>AS8-AT8</f>
        <v>18.200000000000045</v>
      </c>
      <c r="AW8" s="170">
        <f>C8+AS8-AT8</f>
        <v>18.200000000000045</v>
      </c>
      <c r="AX8" s="146">
        <f aca="true" t="shared" si="7" ref="AX8:AX48">M8+Y8+AB8+AE8+AH8</f>
        <v>1063.4</v>
      </c>
      <c r="AY8" s="146">
        <f aca="true" t="shared" si="8" ref="AY8:AY48">N8+Z8+AC8+AF8+AI8</f>
        <v>1063.4</v>
      </c>
      <c r="AZ8" s="146">
        <f aca="true" t="shared" si="9" ref="AZ8:AZ48">C8+AX8-AY8</f>
        <v>0</v>
      </c>
    </row>
    <row r="9" spans="1:52" ht="34.5" customHeight="1">
      <c r="A9" s="152">
        <v>2</v>
      </c>
      <c r="B9" s="171" t="s">
        <v>30</v>
      </c>
      <c r="C9" s="167">
        <v>-243.5</v>
      </c>
      <c r="D9" s="168">
        <v>381.3</v>
      </c>
      <c r="E9" s="168">
        <v>0</v>
      </c>
      <c r="F9" s="166">
        <f t="shared" si="1"/>
        <v>0</v>
      </c>
      <c r="G9" s="168">
        <v>262.8</v>
      </c>
      <c r="H9" s="168">
        <v>550</v>
      </c>
      <c r="I9" s="166">
        <f t="shared" si="2"/>
        <v>209.28462709284625</v>
      </c>
      <c r="J9" s="168">
        <v>206.2</v>
      </c>
      <c r="K9" s="168">
        <v>150</v>
      </c>
      <c r="L9" s="144">
        <f t="shared" si="3"/>
        <v>72.74490785645004</v>
      </c>
      <c r="M9" s="168">
        <f aca="true" t="shared" si="10" ref="M9:M31">D9+G9+J9</f>
        <v>850.3</v>
      </c>
      <c r="N9" s="168">
        <f aca="true" t="shared" si="11" ref="N9:N31">E9+H9+K9</f>
        <v>700</v>
      </c>
      <c r="O9" s="144">
        <f aca="true" t="shared" si="12" ref="O9:O48">N9/M9*100</f>
        <v>82.32388568740446</v>
      </c>
      <c r="P9" s="168">
        <v>18.7</v>
      </c>
      <c r="Q9" s="168">
        <v>0</v>
      </c>
      <c r="R9" s="144">
        <f t="shared" si="4"/>
        <v>0</v>
      </c>
      <c r="S9" s="168">
        <v>0</v>
      </c>
      <c r="T9" s="168">
        <v>0</v>
      </c>
      <c r="U9" s="144" t="e">
        <f t="shared" si="5"/>
        <v>#DIV/0!</v>
      </c>
      <c r="V9" s="168">
        <v>0</v>
      </c>
      <c r="W9" s="168">
        <v>0</v>
      </c>
      <c r="X9" s="144" t="e">
        <f t="shared" si="6"/>
        <v>#DIV/0!</v>
      </c>
      <c r="Y9" s="168">
        <f>P9+S9+V9</f>
        <v>18.7</v>
      </c>
      <c r="Z9" s="168">
        <f>Q9+T9+W9</f>
        <v>0</v>
      </c>
      <c r="AA9" s="169"/>
      <c r="AB9" s="168">
        <v>0</v>
      </c>
      <c r="AC9" s="168">
        <v>0</v>
      </c>
      <c r="AD9" s="172"/>
      <c r="AE9" s="168">
        <v>0</v>
      </c>
      <c r="AF9" s="168">
        <v>0</v>
      </c>
      <c r="AG9" s="169"/>
      <c r="AH9" s="168">
        <v>0</v>
      </c>
      <c r="AI9" s="168">
        <v>0</v>
      </c>
      <c r="AJ9" s="168">
        <f aca="true" t="shared" si="13" ref="AJ9:AJ44">AB9+AE9+AH9</f>
        <v>0</v>
      </c>
      <c r="AK9" s="168">
        <f aca="true" t="shared" si="14" ref="AK9:AK44">AC9+AF9+AI9</f>
        <v>0</v>
      </c>
      <c r="AL9" s="169" t="e">
        <f>AK9/AJ9*100</f>
        <v>#DIV/0!</v>
      </c>
      <c r="AM9" s="168">
        <v>0</v>
      </c>
      <c r="AN9" s="168">
        <v>0</v>
      </c>
      <c r="AO9" s="168"/>
      <c r="AP9" s="168"/>
      <c r="AQ9" s="168"/>
      <c r="AR9" s="168"/>
      <c r="AS9" s="168">
        <f aca="true" t="shared" si="15" ref="AS9:AS27">M9+Y9+AJ9+AM9+AO9+AQ9</f>
        <v>869</v>
      </c>
      <c r="AT9" s="168">
        <f aca="true" t="shared" si="16" ref="AT9:AT27">N9+Z9+AK9+AN9+AP9+AR9</f>
        <v>700</v>
      </c>
      <c r="AU9" s="144">
        <f aca="true" t="shared" si="17" ref="AU9:AU27">AT9/AS9*100</f>
        <v>80.55235903337169</v>
      </c>
      <c r="AV9" s="144">
        <f>AS9-AT9</f>
        <v>169</v>
      </c>
      <c r="AW9" s="170">
        <f aca="true" t="shared" si="18" ref="AW9:AW27">C9+AS9-AT9</f>
        <v>-74.5</v>
      </c>
      <c r="AX9" s="146">
        <f t="shared" si="7"/>
        <v>869</v>
      </c>
      <c r="AY9" s="146">
        <f t="shared" si="8"/>
        <v>700</v>
      </c>
      <c r="AZ9" s="146">
        <f t="shared" si="9"/>
        <v>-74.5</v>
      </c>
    </row>
    <row r="10" spans="1:52" ht="34.5" customHeight="1">
      <c r="A10" s="152">
        <v>3</v>
      </c>
      <c r="B10" s="173" t="s">
        <v>31</v>
      </c>
      <c r="C10" s="174"/>
      <c r="D10" s="175"/>
      <c r="E10" s="175"/>
      <c r="F10" s="166"/>
      <c r="G10" s="176"/>
      <c r="H10" s="176"/>
      <c r="I10" s="169" t="e">
        <f t="shared" si="2"/>
        <v>#DIV/0!</v>
      </c>
      <c r="J10" s="176"/>
      <c r="K10" s="176"/>
      <c r="L10" s="169" t="e">
        <f t="shared" si="3"/>
        <v>#DIV/0!</v>
      </c>
      <c r="M10" s="176">
        <f t="shared" si="10"/>
        <v>0</v>
      </c>
      <c r="N10" s="176">
        <f t="shared" si="11"/>
        <v>0</v>
      </c>
      <c r="O10" s="169" t="e">
        <f t="shared" si="12"/>
        <v>#DIV/0!</v>
      </c>
      <c r="P10" s="176"/>
      <c r="Q10" s="176"/>
      <c r="R10" s="169" t="e">
        <f t="shared" si="4"/>
        <v>#DIV/0!</v>
      </c>
      <c r="S10" s="176"/>
      <c r="T10" s="176"/>
      <c r="U10" s="169" t="e">
        <f t="shared" si="5"/>
        <v>#DIV/0!</v>
      </c>
      <c r="V10" s="176"/>
      <c r="W10" s="176"/>
      <c r="X10" s="169" t="e">
        <f t="shared" si="6"/>
        <v>#DIV/0!</v>
      </c>
      <c r="Y10" s="168"/>
      <c r="Z10" s="168"/>
      <c r="AA10" s="169"/>
      <c r="AB10" s="176"/>
      <c r="AC10" s="176"/>
      <c r="AD10" s="176"/>
      <c r="AE10" s="176"/>
      <c r="AF10" s="176"/>
      <c r="AG10" s="169"/>
      <c r="AH10" s="176"/>
      <c r="AI10" s="176"/>
      <c r="AJ10" s="176">
        <f t="shared" si="13"/>
        <v>0</v>
      </c>
      <c r="AK10" s="176">
        <f t="shared" si="14"/>
        <v>0</v>
      </c>
      <c r="AL10" s="169"/>
      <c r="AM10" s="176"/>
      <c r="AN10" s="176"/>
      <c r="AO10" s="176"/>
      <c r="AP10" s="176"/>
      <c r="AQ10" s="176"/>
      <c r="AR10" s="176"/>
      <c r="AS10" s="176">
        <f t="shared" si="15"/>
        <v>0</v>
      </c>
      <c r="AT10" s="176">
        <f t="shared" si="16"/>
        <v>0</v>
      </c>
      <c r="AU10" s="169" t="e">
        <f t="shared" si="17"/>
        <v>#DIV/0!</v>
      </c>
      <c r="AV10" s="169"/>
      <c r="AW10" s="145">
        <f t="shared" si="18"/>
        <v>0</v>
      </c>
      <c r="AX10" s="146">
        <f t="shared" si="7"/>
        <v>0</v>
      </c>
      <c r="AY10" s="146">
        <f t="shared" si="8"/>
        <v>0</v>
      </c>
      <c r="AZ10" s="146">
        <f t="shared" si="9"/>
        <v>0</v>
      </c>
    </row>
    <row r="11" spans="1:52" ht="34.5" customHeight="1">
      <c r="A11" s="152">
        <v>4</v>
      </c>
      <c r="B11" s="143" t="s">
        <v>32</v>
      </c>
      <c r="C11" s="167"/>
      <c r="D11" s="168"/>
      <c r="E11" s="168"/>
      <c r="F11" s="169" t="e">
        <f t="shared" si="1"/>
        <v>#DIV/0!</v>
      </c>
      <c r="G11" s="176"/>
      <c r="H11" s="176"/>
      <c r="I11" s="169" t="e">
        <f t="shared" si="2"/>
        <v>#DIV/0!</v>
      </c>
      <c r="J11" s="176"/>
      <c r="K11" s="176"/>
      <c r="L11" s="169" t="e">
        <f t="shared" si="3"/>
        <v>#DIV/0!</v>
      </c>
      <c r="M11" s="176">
        <f t="shared" si="10"/>
        <v>0</v>
      </c>
      <c r="N11" s="176">
        <f t="shared" si="11"/>
        <v>0</v>
      </c>
      <c r="O11" s="169" t="e">
        <f t="shared" si="12"/>
        <v>#DIV/0!</v>
      </c>
      <c r="P11" s="176"/>
      <c r="Q11" s="176"/>
      <c r="R11" s="169" t="e">
        <f t="shared" si="4"/>
        <v>#DIV/0!</v>
      </c>
      <c r="S11" s="176"/>
      <c r="T11" s="176"/>
      <c r="U11" s="169" t="e">
        <f t="shared" si="5"/>
        <v>#DIV/0!</v>
      </c>
      <c r="V11" s="176"/>
      <c r="W11" s="176"/>
      <c r="X11" s="169" t="e">
        <f t="shared" si="6"/>
        <v>#DIV/0!</v>
      </c>
      <c r="Y11" s="168"/>
      <c r="Z11" s="168"/>
      <c r="AA11" s="169"/>
      <c r="AB11" s="176"/>
      <c r="AC11" s="176"/>
      <c r="AD11" s="176"/>
      <c r="AE11" s="176"/>
      <c r="AF11" s="176"/>
      <c r="AG11" s="169"/>
      <c r="AH11" s="176"/>
      <c r="AI11" s="176"/>
      <c r="AJ11" s="176">
        <f t="shared" si="13"/>
        <v>0</v>
      </c>
      <c r="AK11" s="176">
        <f t="shared" si="14"/>
        <v>0</v>
      </c>
      <c r="AL11" s="169"/>
      <c r="AM11" s="176"/>
      <c r="AN11" s="176"/>
      <c r="AO11" s="176"/>
      <c r="AP11" s="176"/>
      <c r="AQ11" s="176"/>
      <c r="AR11" s="176"/>
      <c r="AS11" s="176">
        <f t="shared" si="15"/>
        <v>0</v>
      </c>
      <c r="AT11" s="176">
        <f t="shared" si="16"/>
        <v>0</v>
      </c>
      <c r="AU11" s="169" t="e">
        <f t="shared" si="17"/>
        <v>#DIV/0!</v>
      </c>
      <c r="AV11" s="169"/>
      <c r="AW11" s="145">
        <f t="shared" si="18"/>
        <v>0</v>
      </c>
      <c r="AX11" s="146">
        <f t="shared" si="7"/>
        <v>0</v>
      </c>
      <c r="AY11" s="146">
        <f t="shared" si="8"/>
        <v>0</v>
      </c>
      <c r="AZ11" s="146">
        <f t="shared" si="9"/>
        <v>0</v>
      </c>
    </row>
    <row r="12" spans="1:52" s="177" customFormat="1" ht="34.5" customHeight="1">
      <c r="A12" s="152">
        <v>5</v>
      </c>
      <c r="B12" s="143" t="s">
        <v>33</v>
      </c>
      <c r="C12" s="174"/>
      <c r="D12" s="175"/>
      <c r="E12" s="175"/>
      <c r="F12" s="169" t="e">
        <f t="shared" si="1"/>
        <v>#DIV/0!</v>
      </c>
      <c r="G12" s="176"/>
      <c r="H12" s="176"/>
      <c r="I12" s="169" t="e">
        <f t="shared" si="2"/>
        <v>#DIV/0!</v>
      </c>
      <c r="J12" s="176"/>
      <c r="K12" s="176"/>
      <c r="L12" s="169" t="e">
        <f t="shared" si="3"/>
        <v>#DIV/0!</v>
      </c>
      <c r="M12" s="176">
        <f t="shared" si="10"/>
        <v>0</v>
      </c>
      <c r="N12" s="176">
        <f t="shared" si="11"/>
        <v>0</v>
      </c>
      <c r="O12" s="169" t="e">
        <f t="shared" si="12"/>
        <v>#DIV/0!</v>
      </c>
      <c r="P12" s="176"/>
      <c r="Q12" s="176"/>
      <c r="R12" s="169" t="e">
        <f t="shared" si="4"/>
        <v>#DIV/0!</v>
      </c>
      <c r="S12" s="176"/>
      <c r="T12" s="176"/>
      <c r="U12" s="169" t="e">
        <f t="shared" si="5"/>
        <v>#DIV/0!</v>
      </c>
      <c r="V12" s="176"/>
      <c r="W12" s="176"/>
      <c r="X12" s="169" t="e">
        <f t="shared" si="6"/>
        <v>#DIV/0!</v>
      </c>
      <c r="Y12" s="168"/>
      <c r="Z12" s="168"/>
      <c r="AA12" s="169"/>
      <c r="AB12" s="176"/>
      <c r="AC12" s="176"/>
      <c r="AD12" s="176"/>
      <c r="AE12" s="176"/>
      <c r="AF12" s="176"/>
      <c r="AG12" s="169"/>
      <c r="AH12" s="176"/>
      <c r="AI12" s="176"/>
      <c r="AJ12" s="176">
        <f t="shared" si="13"/>
        <v>0</v>
      </c>
      <c r="AK12" s="176">
        <f t="shared" si="14"/>
        <v>0</v>
      </c>
      <c r="AL12" s="169"/>
      <c r="AM12" s="176"/>
      <c r="AN12" s="176"/>
      <c r="AO12" s="176"/>
      <c r="AP12" s="176"/>
      <c r="AQ12" s="176"/>
      <c r="AR12" s="176"/>
      <c r="AS12" s="176">
        <f t="shared" si="15"/>
        <v>0</v>
      </c>
      <c r="AT12" s="176">
        <f t="shared" si="16"/>
        <v>0</v>
      </c>
      <c r="AU12" s="169" t="e">
        <f t="shared" si="17"/>
        <v>#DIV/0!</v>
      </c>
      <c r="AV12" s="169"/>
      <c r="AW12" s="145">
        <f t="shared" si="18"/>
        <v>0</v>
      </c>
      <c r="AX12" s="146">
        <f t="shared" si="7"/>
        <v>0</v>
      </c>
      <c r="AY12" s="146">
        <f t="shared" si="8"/>
        <v>0</v>
      </c>
      <c r="AZ12" s="146">
        <f t="shared" si="9"/>
        <v>0</v>
      </c>
    </row>
    <row r="13" spans="1:52" s="177" customFormat="1" ht="34.5" customHeight="1">
      <c r="A13" s="152">
        <v>6</v>
      </c>
      <c r="B13" s="143" t="s">
        <v>34</v>
      </c>
      <c r="C13" s="167">
        <v>-23.7</v>
      </c>
      <c r="D13" s="168">
        <v>74.9</v>
      </c>
      <c r="E13" s="168">
        <v>0</v>
      </c>
      <c r="F13" s="166">
        <f t="shared" si="1"/>
        <v>0</v>
      </c>
      <c r="G13" s="168">
        <v>69.3</v>
      </c>
      <c r="H13" s="168">
        <v>0</v>
      </c>
      <c r="I13" s="166">
        <f t="shared" si="2"/>
        <v>0</v>
      </c>
      <c r="J13" s="168">
        <v>50.6</v>
      </c>
      <c r="K13" s="168">
        <v>81.2</v>
      </c>
      <c r="L13" s="144">
        <f t="shared" si="3"/>
        <v>160.47430830039525</v>
      </c>
      <c r="M13" s="168">
        <f t="shared" si="10"/>
        <v>194.79999999999998</v>
      </c>
      <c r="N13" s="168">
        <f t="shared" si="11"/>
        <v>81.2</v>
      </c>
      <c r="O13" s="144">
        <f t="shared" si="12"/>
        <v>41.68377823408625</v>
      </c>
      <c r="P13" s="168">
        <v>0</v>
      </c>
      <c r="Q13" s="168">
        <v>32.4</v>
      </c>
      <c r="R13" s="169" t="e">
        <f t="shared" si="4"/>
        <v>#DIV/0!</v>
      </c>
      <c r="S13" s="168">
        <v>0</v>
      </c>
      <c r="T13" s="168">
        <v>6.4</v>
      </c>
      <c r="U13" s="144" t="e">
        <f t="shared" si="5"/>
        <v>#DIV/0!</v>
      </c>
      <c r="V13" s="168">
        <v>0</v>
      </c>
      <c r="W13" s="168">
        <v>9.8</v>
      </c>
      <c r="X13" s="144" t="e">
        <f t="shared" si="6"/>
        <v>#DIV/0!</v>
      </c>
      <c r="Y13" s="168">
        <f>P13+S13+V13</f>
        <v>0</v>
      </c>
      <c r="Z13" s="168">
        <f>Q13+T13+W13</f>
        <v>48.599999999999994</v>
      </c>
      <c r="AA13" s="169"/>
      <c r="AB13" s="168">
        <v>0</v>
      </c>
      <c r="AC13" s="168">
        <v>4.8</v>
      </c>
      <c r="AD13" s="172"/>
      <c r="AE13" s="168">
        <v>0</v>
      </c>
      <c r="AF13" s="168">
        <v>0</v>
      </c>
      <c r="AG13" s="169"/>
      <c r="AH13" s="168">
        <v>0</v>
      </c>
      <c r="AI13" s="168">
        <v>4.7</v>
      </c>
      <c r="AJ13" s="168">
        <f t="shared" si="13"/>
        <v>0</v>
      </c>
      <c r="AK13" s="168">
        <f t="shared" si="14"/>
        <v>9.5</v>
      </c>
      <c r="AL13" s="169" t="e">
        <f>AK13/AJ13*100</f>
        <v>#DIV/0!</v>
      </c>
      <c r="AM13" s="168">
        <v>0</v>
      </c>
      <c r="AN13" s="168">
        <v>11.3</v>
      </c>
      <c r="AO13" s="168"/>
      <c r="AP13" s="168"/>
      <c r="AQ13" s="168"/>
      <c r="AR13" s="168"/>
      <c r="AS13" s="168">
        <f t="shared" si="15"/>
        <v>194.79999999999998</v>
      </c>
      <c r="AT13" s="168">
        <f t="shared" si="16"/>
        <v>150.60000000000002</v>
      </c>
      <c r="AU13" s="144">
        <f t="shared" si="17"/>
        <v>77.31006160164273</v>
      </c>
      <c r="AV13" s="144">
        <f>AS13-AT13</f>
        <v>44.19999999999996</v>
      </c>
      <c r="AW13" s="170">
        <f t="shared" si="18"/>
        <v>20.49999999999997</v>
      </c>
      <c r="AX13" s="146">
        <f t="shared" si="7"/>
        <v>194.79999999999998</v>
      </c>
      <c r="AY13" s="146">
        <f t="shared" si="8"/>
        <v>139.3</v>
      </c>
      <c r="AZ13" s="146">
        <f t="shared" si="9"/>
        <v>31.799999999999983</v>
      </c>
    </row>
    <row r="14" spans="1:52" ht="34.5" customHeight="1">
      <c r="A14" s="152">
        <v>7</v>
      </c>
      <c r="B14" s="143" t="s">
        <v>65</v>
      </c>
      <c r="C14" s="174"/>
      <c r="D14" s="175"/>
      <c r="E14" s="175"/>
      <c r="F14" s="169" t="e">
        <f t="shared" si="1"/>
        <v>#DIV/0!</v>
      </c>
      <c r="G14" s="176"/>
      <c r="H14" s="176"/>
      <c r="I14" s="169" t="e">
        <f t="shared" si="2"/>
        <v>#DIV/0!</v>
      </c>
      <c r="J14" s="176"/>
      <c r="K14" s="176"/>
      <c r="L14" s="169" t="e">
        <f t="shared" si="3"/>
        <v>#DIV/0!</v>
      </c>
      <c r="M14" s="176">
        <f t="shared" si="10"/>
        <v>0</v>
      </c>
      <c r="N14" s="176">
        <f t="shared" si="11"/>
        <v>0</v>
      </c>
      <c r="O14" s="169" t="e">
        <f t="shared" si="12"/>
        <v>#DIV/0!</v>
      </c>
      <c r="P14" s="176"/>
      <c r="Q14" s="176"/>
      <c r="R14" s="169" t="e">
        <f t="shared" si="4"/>
        <v>#DIV/0!</v>
      </c>
      <c r="S14" s="176"/>
      <c r="T14" s="176"/>
      <c r="U14" s="169" t="e">
        <f t="shared" si="5"/>
        <v>#DIV/0!</v>
      </c>
      <c r="V14" s="176"/>
      <c r="W14" s="176"/>
      <c r="X14" s="169" t="e">
        <f t="shared" si="6"/>
        <v>#DIV/0!</v>
      </c>
      <c r="Y14" s="168"/>
      <c r="Z14" s="168"/>
      <c r="AA14" s="169"/>
      <c r="AB14" s="176"/>
      <c r="AC14" s="176"/>
      <c r="AD14" s="176"/>
      <c r="AE14" s="176"/>
      <c r="AF14" s="176"/>
      <c r="AG14" s="169"/>
      <c r="AH14" s="176"/>
      <c r="AI14" s="176"/>
      <c r="AJ14" s="176">
        <f t="shared" si="13"/>
        <v>0</v>
      </c>
      <c r="AK14" s="176">
        <f t="shared" si="14"/>
        <v>0</v>
      </c>
      <c r="AL14" s="169"/>
      <c r="AM14" s="176"/>
      <c r="AN14" s="176"/>
      <c r="AO14" s="176"/>
      <c r="AP14" s="176"/>
      <c r="AQ14" s="176"/>
      <c r="AR14" s="176"/>
      <c r="AS14" s="176">
        <f t="shared" si="15"/>
        <v>0</v>
      </c>
      <c r="AT14" s="176">
        <f t="shared" si="16"/>
        <v>0</v>
      </c>
      <c r="AU14" s="169" t="e">
        <f t="shared" si="17"/>
        <v>#DIV/0!</v>
      </c>
      <c r="AV14" s="169"/>
      <c r="AW14" s="145">
        <f t="shared" si="18"/>
        <v>0</v>
      </c>
      <c r="AX14" s="146">
        <f t="shared" si="7"/>
        <v>0</v>
      </c>
      <c r="AY14" s="146">
        <f t="shared" si="8"/>
        <v>0</v>
      </c>
      <c r="AZ14" s="146">
        <f t="shared" si="9"/>
        <v>0</v>
      </c>
    </row>
    <row r="15" spans="1:52" s="177" customFormat="1" ht="34.5" customHeight="1">
      <c r="A15" s="152">
        <v>8</v>
      </c>
      <c r="B15" s="143" t="s">
        <v>35</v>
      </c>
      <c r="C15" s="167">
        <v>-10.5</v>
      </c>
      <c r="D15" s="168">
        <v>647.8</v>
      </c>
      <c r="E15" s="168">
        <v>135</v>
      </c>
      <c r="F15" s="166">
        <f t="shared" si="1"/>
        <v>20.839765359678914</v>
      </c>
      <c r="G15" s="168">
        <v>541.9</v>
      </c>
      <c r="H15" s="168">
        <v>325.5</v>
      </c>
      <c r="I15" s="166">
        <f t="shared" si="2"/>
        <v>60.06643292120317</v>
      </c>
      <c r="J15" s="168">
        <v>473.5</v>
      </c>
      <c r="K15" s="168">
        <v>1069.1</v>
      </c>
      <c r="L15" s="144">
        <f t="shared" si="3"/>
        <v>225.78669482576555</v>
      </c>
      <c r="M15" s="168">
        <f t="shared" si="10"/>
        <v>1663.1999999999998</v>
      </c>
      <c r="N15" s="168">
        <f t="shared" si="11"/>
        <v>1529.6</v>
      </c>
      <c r="O15" s="144">
        <f t="shared" si="12"/>
        <v>91.96729196729197</v>
      </c>
      <c r="P15" s="168">
        <v>77.8</v>
      </c>
      <c r="Q15" s="168">
        <v>243.4</v>
      </c>
      <c r="R15" s="144">
        <f t="shared" si="4"/>
        <v>312.853470437018</v>
      </c>
      <c r="S15" s="168">
        <v>0</v>
      </c>
      <c r="T15" s="168">
        <v>0</v>
      </c>
      <c r="U15" s="144" t="e">
        <f t="shared" si="5"/>
        <v>#DIV/0!</v>
      </c>
      <c r="V15" s="168">
        <v>0</v>
      </c>
      <c r="W15" s="168">
        <v>0</v>
      </c>
      <c r="X15" s="144" t="e">
        <f t="shared" si="6"/>
        <v>#DIV/0!</v>
      </c>
      <c r="Y15" s="168">
        <f>P15+S15+V15</f>
        <v>77.8</v>
      </c>
      <c r="Z15" s="168">
        <f>Q15+T15+W15</f>
        <v>243.4</v>
      </c>
      <c r="AA15" s="144"/>
      <c r="AB15" s="168">
        <v>0</v>
      </c>
      <c r="AC15" s="168">
        <v>0</v>
      </c>
      <c r="AD15" s="168"/>
      <c r="AE15" s="168">
        <v>0</v>
      </c>
      <c r="AF15" s="168">
        <v>0</v>
      </c>
      <c r="AG15" s="169"/>
      <c r="AH15" s="168">
        <v>0</v>
      </c>
      <c r="AI15" s="168">
        <v>0</v>
      </c>
      <c r="AJ15" s="168">
        <f t="shared" si="13"/>
        <v>0</v>
      </c>
      <c r="AK15" s="168">
        <f t="shared" si="14"/>
        <v>0</v>
      </c>
      <c r="AL15" s="169" t="e">
        <f>AK15/AJ15*100</f>
        <v>#DIV/0!</v>
      </c>
      <c r="AM15" s="168">
        <v>104.9</v>
      </c>
      <c r="AN15" s="168">
        <v>50</v>
      </c>
      <c r="AO15" s="168"/>
      <c r="AP15" s="168"/>
      <c r="AQ15" s="168"/>
      <c r="AR15" s="168"/>
      <c r="AS15" s="168">
        <f t="shared" si="15"/>
        <v>1845.8999999999999</v>
      </c>
      <c r="AT15" s="168">
        <f t="shared" si="16"/>
        <v>1823</v>
      </c>
      <c r="AU15" s="144">
        <f t="shared" si="17"/>
        <v>98.75941275258681</v>
      </c>
      <c r="AV15" s="144">
        <f>AS15-AT15</f>
        <v>22.899999999999864</v>
      </c>
      <c r="AW15" s="170">
        <f t="shared" si="18"/>
        <v>12.399999999999864</v>
      </c>
      <c r="AX15" s="146">
        <f t="shared" si="7"/>
        <v>1740.9999999999998</v>
      </c>
      <c r="AY15" s="146">
        <f t="shared" si="8"/>
        <v>1773</v>
      </c>
      <c r="AZ15" s="146">
        <f t="shared" si="9"/>
        <v>-42.50000000000023</v>
      </c>
    </row>
    <row r="16" spans="1:52" s="177" customFormat="1" ht="34.5" customHeight="1">
      <c r="A16" s="152">
        <v>9</v>
      </c>
      <c r="B16" s="143" t="s">
        <v>36</v>
      </c>
      <c r="C16" s="174"/>
      <c r="D16" s="175"/>
      <c r="E16" s="175"/>
      <c r="F16" s="169" t="e">
        <f t="shared" si="1"/>
        <v>#DIV/0!</v>
      </c>
      <c r="G16" s="176"/>
      <c r="H16" s="176"/>
      <c r="I16" s="169" t="e">
        <f t="shared" si="2"/>
        <v>#DIV/0!</v>
      </c>
      <c r="J16" s="176"/>
      <c r="K16" s="176"/>
      <c r="L16" s="169" t="e">
        <f t="shared" si="3"/>
        <v>#DIV/0!</v>
      </c>
      <c r="M16" s="176">
        <f t="shared" si="10"/>
        <v>0</v>
      </c>
      <c r="N16" s="176">
        <f t="shared" si="11"/>
        <v>0</v>
      </c>
      <c r="O16" s="169" t="e">
        <f t="shared" si="12"/>
        <v>#DIV/0!</v>
      </c>
      <c r="P16" s="176"/>
      <c r="Q16" s="176"/>
      <c r="R16" s="169" t="e">
        <f t="shared" si="4"/>
        <v>#DIV/0!</v>
      </c>
      <c r="S16" s="176"/>
      <c r="T16" s="176"/>
      <c r="U16" s="169" t="e">
        <f t="shared" si="5"/>
        <v>#DIV/0!</v>
      </c>
      <c r="V16" s="176"/>
      <c r="W16" s="176"/>
      <c r="X16" s="169" t="e">
        <f t="shared" si="6"/>
        <v>#DIV/0!</v>
      </c>
      <c r="Y16" s="168"/>
      <c r="Z16" s="168"/>
      <c r="AA16" s="169"/>
      <c r="AB16" s="176"/>
      <c r="AC16" s="176"/>
      <c r="AD16" s="176"/>
      <c r="AE16" s="176"/>
      <c r="AF16" s="176"/>
      <c r="AG16" s="169"/>
      <c r="AH16" s="176"/>
      <c r="AI16" s="176"/>
      <c r="AJ16" s="176">
        <f t="shared" si="13"/>
        <v>0</v>
      </c>
      <c r="AK16" s="176">
        <f t="shared" si="14"/>
        <v>0</v>
      </c>
      <c r="AL16" s="169"/>
      <c r="AM16" s="176"/>
      <c r="AN16" s="176"/>
      <c r="AO16" s="176"/>
      <c r="AP16" s="176"/>
      <c r="AQ16" s="176"/>
      <c r="AR16" s="176"/>
      <c r="AS16" s="176">
        <f t="shared" si="15"/>
        <v>0</v>
      </c>
      <c r="AT16" s="176">
        <f t="shared" si="16"/>
        <v>0</v>
      </c>
      <c r="AU16" s="169" t="e">
        <f t="shared" si="17"/>
        <v>#DIV/0!</v>
      </c>
      <c r="AV16" s="169"/>
      <c r="AW16" s="145">
        <f t="shared" si="18"/>
        <v>0</v>
      </c>
      <c r="AX16" s="146">
        <f t="shared" si="7"/>
        <v>0</v>
      </c>
      <c r="AY16" s="146">
        <f t="shared" si="8"/>
        <v>0</v>
      </c>
      <c r="AZ16" s="146">
        <f t="shared" si="9"/>
        <v>0</v>
      </c>
    </row>
    <row r="17" spans="1:52" ht="34.5" customHeight="1">
      <c r="A17" s="152">
        <v>10</v>
      </c>
      <c r="B17" s="173" t="s">
        <v>37</v>
      </c>
      <c r="C17" s="174"/>
      <c r="D17" s="175"/>
      <c r="E17" s="175"/>
      <c r="F17" s="169" t="e">
        <f t="shared" si="1"/>
        <v>#DIV/0!</v>
      </c>
      <c r="G17" s="176"/>
      <c r="H17" s="176"/>
      <c r="I17" s="169" t="e">
        <f t="shared" si="2"/>
        <v>#DIV/0!</v>
      </c>
      <c r="J17" s="176"/>
      <c r="K17" s="176"/>
      <c r="L17" s="169" t="e">
        <f t="shared" si="3"/>
        <v>#DIV/0!</v>
      </c>
      <c r="M17" s="176">
        <f t="shared" si="10"/>
        <v>0</v>
      </c>
      <c r="N17" s="176">
        <f t="shared" si="11"/>
        <v>0</v>
      </c>
      <c r="O17" s="169" t="e">
        <f t="shared" si="12"/>
        <v>#DIV/0!</v>
      </c>
      <c r="P17" s="176"/>
      <c r="Q17" s="176"/>
      <c r="R17" s="169" t="e">
        <f t="shared" si="4"/>
        <v>#DIV/0!</v>
      </c>
      <c r="S17" s="176"/>
      <c r="T17" s="176"/>
      <c r="U17" s="169" t="e">
        <f t="shared" si="5"/>
        <v>#DIV/0!</v>
      </c>
      <c r="V17" s="176"/>
      <c r="W17" s="176"/>
      <c r="X17" s="169" t="e">
        <f t="shared" si="6"/>
        <v>#DIV/0!</v>
      </c>
      <c r="Y17" s="168"/>
      <c r="Z17" s="168"/>
      <c r="AA17" s="169"/>
      <c r="AB17" s="176"/>
      <c r="AC17" s="176"/>
      <c r="AD17" s="176"/>
      <c r="AE17" s="176"/>
      <c r="AF17" s="176"/>
      <c r="AG17" s="169"/>
      <c r="AH17" s="176"/>
      <c r="AI17" s="176"/>
      <c r="AJ17" s="176">
        <f t="shared" si="13"/>
        <v>0</v>
      </c>
      <c r="AK17" s="176">
        <f t="shared" si="14"/>
        <v>0</v>
      </c>
      <c r="AL17" s="169"/>
      <c r="AM17" s="176"/>
      <c r="AN17" s="176"/>
      <c r="AO17" s="176"/>
      <c r="AP17" s="176"/>
      <c r="AQ17" s="176"/>
      <c r="AR17" s="176"/>
      <c r="AS17" s="176">
        <f t="shared" si="15"/>
        <v>0</v>
      </c>
      <c r="AT17" s="176">
        <f t="shared" si="16"/>
        <v>0</v>
      </c>
      <c r="AU17" s="169" t="e">
        <f t="shared" si="17"/>
        <v>#DIV/0!</v>
      </c>
      <c r="AV17" s="169"/>
      <c r="AW17" s="145">
        <f t="shared" si="18"/>
        <v>0</v>
      </c>
      <c r="AX17" s="146">
        <f t="shared" si="7"/>
        <v>0</v>
      </c>
      <c r="AY17" s="146">
        <f t="shared" si="8"/>
        <v>0</v>
      </c>
      <c r="AZ17" s="146">
        <f t="shared" si="9"/>
        <v>0</v>
      </c>
    </row>
    <row r="18" spans="1:52" ht="34.5" customHeight="1">
      <c r="A18" s="152">
        <v>11</v>
      </c>
      <c r="B18" s="173" t="s">
        <v>38</v>
      </c>
      <c r="C18" s="174"/>
      <c r="D18" s="175"/>
      <c r="E18" s="175"/>
      <c r="F18" s="169" t="e">
        <f t="shared" si="1"/>
        <v>#DIV/0!</v>
      </c>
      <c r="G18" s="176"/>
      <c r="H18" s="176"/>
      <c r="I18" s="169" t="e">
        <f t="shared" si="2"/>
        <v>#DIV/0!</v>
      </c>
      <c r="J18" s="176"/>
      <c r="K18" s="176"/>
      <c r="L18" s="169" t="e">
        <f t="shared" si="3"/>
        <v>#DIV/0!</v>
      </c>
      <c r="M18" s="176">
        <f t="shared" si="10"/>
        <v>0</v>
      </c>
      <c r="N18" s="176">
        <f t="shared" si="11"/>
        <v>0</v>
      </c>
      <c r="O18" s="169" t="e">
        <f t="shared" si="12"/>
        <v>#DIV/0!</v>
      </c>
      <c r="P18" s="176"/>
      <c r="Q18" s="176"/>
      <c r="R18" s="169" t="e">
        <f t="shared" si="4"/>
        <v>#DIV/0!</v>
      </c>
      <c r="S18" s="176"/>
      <c r="T18" s="176"/>
      <c r="U18" s="169" t="e">
        <f t="shared" si="5"/>
        <v>#DIV/0!</v>
      </c>
      <c r="V18" s="176"/>
      <c r="W18" s="176"/>
      <c r="X18" s="169" t="e">
        <f t="shared" si="6"/>
        <v>#DIV/0!</v>
      </c>
      <c r="Y18" s="168"/>
      <c r="Z18" s="168"/>
      <c r="AA18" s="169"/>
      <c r="AB18" s="176"/>
      <c r="AC18" s="176"/>
      <c r="AD18" s="176"/>
      <c r="AE18" s="176"/>
      <c r="AF18" s="176"/>
      <c r="AG18" s="169"/>
      <c r="AH18" s="176"/>
      <c r="AI18" s="176"/>
      <c r="AJ18" s="168">
        <f t="shared" si="13"/>
        <v>0</v>
      </c>
      <c r="AK18" s="168">
        <f t="shared" si="14"/>
        <v>0</v>
      </c>
      <c r="AL18" s="169"/>
      <c r="AM18" s="176"/>
      <c r="AN18" s="176"/>
      <c r="AO18" s="176"/>
      <c r="AP18" s="176"/>
      <c r="AQ18" s="176"/>
      <c r="AR18" s="176"/>
      <c r="AS18" s="176">
        <f t="shared" si="15"/>
        <v>0</v>
      </c>
      <c r="AT18" s="176">
        <f t="shared" si="16"/>
        <v>0</v>
      </c>
      <c r="AU18" s="169" t="e">
        <f t="shared" si="17"/>
        <v>#DIV/0!</v>
      </c>
      <c r="AV18" s="169"/>
      <c r="AW18" s="145">
        <f t="shared" si="18"/>
        <v>0</v>
      </c>
      <c r="AX18" s="146">
        <f t="shared" si="7"/>
        <v>0</v>
      </c>
      <c r="AY18" s="146">
        <f t="shared" si="8"/>
        <v>0</v>
      </c>
      <c r="AZ18" s="146">
        <f t="shared" si="9"/>
        <v>0</v>
      </c>
    </row>
    <row r="19" spans="1:52" ht="34.5" customHeight="1">
      <c r="A19" s="152">
        <v>12</v>
      </c>
      <c r="B19" s="143" t="s">
        <v>39</v>
      </c>
      <c r="C19" s="167">
        <v>0</v>
      </c>
      <c r="D19" s="168">
        <v>690</v>
      </c>
      <c r="E19" s="168">
        <v>450</v>
      </c>
      <c r="F19" s="166">
        <f t="shared" si="1"/>
        <v>65.21739130434783</v>
      </c>
      <c r="G19" s="168">
        <f>9.4+752.2</f>
        <v>761.6</v>
      </c>
      <c r="H19" s="168">
        <f>12.4+780</f>
        <v>792.4</v>
      </c>
      <c r="I19" s="166">
        <f t="shared" si="2"/>
        <v>104.04411764705881</v>
      </c>
      <c r="J19" s="168">
        <v>790.4</v>
      </c>
      <c r="K19" s="168">
        <v>1002.6</v>
      </c>
      <c r="L19" s="144">
        <f t="shared" si="3"/>
        <v>126.84716599190284</v>
      </c>
      <c r="M19" s="168">
        <f t="shared" si="10"/>
        <v>2242</v>
      </c>
      <c r="N19" s="168">
        <f t="shared" si="11"/>
        <v>2245</v>
      </c>
      <c r="O19" s="144">
        <f t="shared" si="12"/>
        <v>100.13380909901872</v>
      </c>
      <c r="P19" s="168">
        <v>183.1</v>
      </c>
      <c r="Q19" s="168">
        <v>353.1</v>
      </c>
      <c r="R19" s="144">
        <f t="shared" si="4"/>
        <v>192.84543965046424</v>
      </c>
      <c r="S19" s="168">
        <v>118.5</v>
      </c>
      <c r="T19" s="168">
        <v>0</v>
      </c>
      <c r="U19" s="144">
        <f t="shared" si="5"/>
        <v>0</v>
      </c>
      <c r="V19" s="168">
        <v>118.5</v>
      </c>
      <c r="W19" s="168">
        <v>0</v>
      </c>
      <c r="X19" s="144">
        <f t="shared" si="6"/>
        <v>0</v>
      </c>
      <c r="Y19" s="168">
        <f>P19+S19+V19</f>
        <v>420.1</v>
      </c>
      <c r="Z19" s="168">
        <f>Q19+T19+W19</f>
        <v>353.1</v>
      </c>
      <c r="AA19" s="144"/>
      <c r="AB19" s="168">
        <f>28.5+79.2</f>
        <v>107.7</v>
      </c>
      <c r="AC19" s="168">
        <f>28.5+67</f>
        <v>95.5</v>
      </c>
      <c r="AD19" s="172"/>
      <c r="AE19" s="168">
        <v>115.6</v>
      </c>
      <c r="AF19" s="168">
        <v>79.2</v>
      </c>
      <c r="AG19" s="169"/>
      <c r="AH19" s="168">
        <v>98.8</v>
      </c>
      <c r="AI19" s="168">
        <v>115.7</v>
      </c>
      <c r="AJ19" s="168">
        <f t="shared" si="13"/>
        <v>322.1</v>
      </c>
      <c r="AK19" s="168">
        <f t="shared" si="14"/>
        <v>290.4</v>
      </c>
      <c r="AL19" s="144">
        <f>AK19/AJ19*100</f>
        <v>90.15833592052157</v>
      </c>
      <c r="AM19" s="168">
        <v>223.2</v>
      </c>
      <c r="AN19" s="168">
        <v>348.8</v>
      </c>
      <c r="AO19" s="168"/>
      <c r="AP19" s="168"/>
      <c r="AQ19" s="168"/>
      <c r="AR19" s="168"/>
      <c r="AS19" s="168">
        <f t="shared" si="15"/>
        <v>3207.3999999999996</v>
      </c>
      <c r="AT19" s="168">
        <f t="shared" si="16"/>
        <v>3237.3</v>
      </c>
      <c r="AU19" s="144">
        <f t="shared" si="17"/>
        <v>100.93221924300057</v>
      </c>
      <c r="AV19" s="144">
        <f>AS19-AT19</f>
        <v>-29.900000000000546</v>
      </c>
      <c r="AW19" s="170">
        <f t="shared" si="18"/>
        <v>-29.900000000000546</v>
      </c>
      <c r="AX19" s="146">
        <f>M19+Y19+AJ19+AM19</f>
        <v>3207.3999999999996</v>
      </c>
      <c r="AY19" s="146">
        <f>N19+Z19+AK19+AN19</f>
        <v>3237.3</v>
      </c>
      <c r="AZ19" s="146">
        <f t="shared" si="9"/>
        <v>-29.900000000000546</v>
      </c>
    </row>
    <row r="20" spans="1:52" ht="34.5" customHeight="1">
      <c r="A20" s="152">
        <v>13</v>
      </c>
      <c r="B20" s="173" t="s">
        <v>40</v>
      </c>
      <c r="C20" s="167"/>
      <c r="D20" s="168"/>
      <c r="E20" s="168"/>
      <c r="F20" s="169" t="e">
        <f t="shared" si="1"/>
        <v>#DIV/0!</v>
      </c>
      <c r="G20" s="176"/>
      <c r="H20" s="176"/>
      <c r="I20" s="169" t="e">
        <f t="shared" si="2"/>
        <v>#DIV/0!</v>
      </c>
      <c r="J20" s="176"/>
      <c r="K20" s="176"/>
      <c r="L20" s="169" t="e">
        <f t="shared" si="3"/>
        <v>#DIV/0!</v>
      </c>
      <c r="M20" s="176">
        <f t="shared" si="10"/>
        <v>0</v>
      </c>
      <c r="N20" s="176">
        <f t="shared" si="11"/>
        <v>0</v>
      </c>
      <c r="O20" s="169" t="e">
        <f t="shared" si="12"/>
        <v>#DIV/0!</v>
      </c>
      <c r="P20" s="176"/>
      <c r="Q20" s="176"/>
      <c r="R20" s="169" t="e">
        <f t="shared" si="4"/>
        <v>#DIV/0!</v>
      </c>
      <c r="S20" s="176"/>
      <c r="T20" s="176"/>
      <c r="U20" s="169" t="e">
        <f t="shared" si="5"/>
        <v>#DIV/0!</v>
      </c>
      <c r="V20" s="176"/>
      <c r="W20" s="176"/>
      <c r="X20" s="169" t="e">
        <f t="shared" si="6"/>
        <v>#DIV/0!</v>
      </c>
      <c r="Y20" s="168"/>
      <c r="Z20" s="168"/>
      <c r="AA20" s="169"/>
      <c r="AB20" s="176"/>
      <c r="AC20" s="176"/>
      <c r="AD20" s="176"/>
      <c r="AE20" s="176"/>
      <c r="AF20" s="176"/>
      <c r="AG20" s="169"/>
      <c r="AH20" s="176"/>
      <c r="AI20" s="176"/>
      <c r="AJ20" s="176">
        <f t="shared" si="13"/>
        <v>0</v>
      </c>
      <c r="AK20" s="176">
        <f t="shared" si="14"/>
        <v>0</v>
      </c>
      <c r="AL20" s="169"/>
      <c r="AM20" s="176"/>
      <c r="AN20" s="176"/>
      <c r="AO20" s="176"/>
      <c r="AP20" s="176"/>
      <c r="AQ20" s="176"/>
      <c r="AR20" s="176"/>
      <c r="AS20" s="176">
        <f t="shared" si="15"/>
        <v>0</v>
      </c>
      <c r="AT20" s="176">
        <f t="shared" si="16"/>
        <v>0</v>
      </c>
      <c r="AU20" s="169" t="e">
        <f t="shared" si="17"/>
        <v>#DIV/0!</v>
      </c>
      <c r="AV20" s="169"/>
      <c r="AW20" s="145">
        <f t="shared" si="18"/>
        <v>0</v>
      </c>
      <c r="AX20" s="146">
        <f aca="true" t="shared" si="19" ref="AX20:AX48">M20+Y20+AJ20+AM20</f>
        <v>0</v>
      </c>
      <c r="AY20" s="146">
        <f aca="true" t="shared" si="20" ref="AY20:AY48">N20+Z20+AK20+AN20</f>
        <v>0</v>
      </c>
      <c r="AZ20" s="146">
        <f t="shared" si="9"/>
        <v>0</v>
      </c>
    </row>
    <row r="21" spans="1:52" ht="34.5" customHeight="1">
      <c r="A21" s="152">
        <v>14</v>
      </c>
      <c r="B21" s="173" t="s">
        <v>41</v>
      </c>
      <c r="C21" s="167">
        <v>0</v>
      </c>
      <c r="D21" s="168">
        <v>707.5</v>
      </c>
      <c r="E21" s="168">
        <v>340</v>
      </c>
      <c r="F21" s="166">
        <f t="shared" si="1"/>
        <v>48.0565371024735</v>
      </c>
      <c r="G21" s="172">
        <v>456.5</v>
      </c>
      <c r="H21" s="172">
        <v>379</v>
      </c>
      <c r="I21" s="166">
        <f t="shared" si="2"/>
        <v>83.02300109529025</v>
      </c>
      <c r="J21" s="172">
        <v>428.2</v>
      </c>
      <c r="K21" s="172">
        <v>330</v>
      </c>
      <c r="L21" s="144">
        <f t="shared" si="3"/>
        <v>77.06679121905651</v>
      </c>
      <c r="M21" s="168">
        <f t="shared" si="10"/>
        <v>1592.2</v>
      </c>
      <c r="N21" s="168">
        <f t="shared" si="11"/>
        <v>1049</v>
      </c>
      <c r="O21" s="144">
        <f t="shared" si="12"/>
        <v>65.88368295440272</v>
      </c>
      <c r="P21" s="172">
        <v>198.6</v>
      </c>
      <c r="Q21" s="172">
        <v>450</v>
      </c>
      <c r="R21" s="144">
        <f t="shared" si="4"/>
        <v>226.58610271903322</v>
      </c>
      <c r="S21" s="172">
        <v>124.9</v>
      </c>
      <c r="T21" s="172">
        <v>270.5</v>
      </c>
      <c r="U21" s="144">
        <f t="shared" si="5"/>
        <v>216.5732586068855</v>
      </c>
      <c r="V21" s="172">
        <v>154.7</v>
      </c>
      <c r="W21" s="172">
        <v>300</v>
      </c>
      <c r="X21" s="144">
        <f t="shared" si="6"/>
        <v>193.92372333548806</v>
      </c>
      <c r="Y21" s="168">
        <f>P21+S21+V21</f>
        <v>478.2</v>
      </c>
      <c r="Z21" s="168">
        <f>Q21+T21+W21</f>
        <v>1020.5</v>
      </c>
      <c r="AA21" s="144"/>
      <c r="AB21" s="172">
        <v>175</v>
      </c>
      <c r="AC21" s="172">
        <v>230</v>
      </c>
      <c r="AD21" s="168"/>
      <c r="AE21" s="172">
        <v>175</v>
      </c>
      <c r="AF21" s="172">
        <v>130</v>
      </c>
      <c r="AG21" s="169"/>
      <c r="AH21" s="172">
        <v>172</v>
      </c>
      <c r="AI21" s="172">
        <v>170</v>
      </c>
      <c r="AJ21" s="168">
        <f t="shared" si="13"/>
        <v>522</v>
      </c>
      <c r="AK21" s="168">
        <f t="shared" si="14"/>
        <v>530</v>
      </c>
      <c r="AL21" s="144">
        <f>AK21/AJ21*100</f>
        <v>101.53256704980842</v>
      </c>
      <c r="AM21" s="172">
        <v>248.8</v>
      </c>
      <c r="AN21" s="172">
        <v>330</v>
      </c>
      <c r="AO21" s="172"/>
      <c r="AP21" s="172"/>
      <c r="AQ21" s="172"/>
      <c r="AR21" s="172"/>
      <c r="AS21" s="168">
        <f t="shared" si="15"/>
        <v>2841.2000000000003</v>
      </c>
      <c r="AT21" s="168">
        <f t="shared" si="16"/>
        <v>2929.5</v>
      </c>
      <c r="AU21" s="144">
        <f t="shared" si="17"/>
        <v>103.10784175700407</v>
      </c>
      <c r="AV21" s="144">
        <f>AS21-AT21</f>
        <v>-88.29999999999973</v>
      </c>
      <c r="AW21" s="170">
        <f t="shared" si="18"/>
        <v>-88.29999999999973</v>
      </c>
      <c r="AX21" s="146">
        <f t="shared" si="19"/>
        <v>2841.2000000000003</v>
      </c>
      <c r="AY21" s="146">
        <f t="shared" si="20"/>
        <v>2929.5</v>
      </c>
      <c r="AZ21" s="146">
        <f t="shared" si="9"/>
        <v>-88.29999999999973</v>
      </c>
    </row>
    <row r="22" spans="1:52" ht="34.5" customHeight="1">
      <c r="A22" s="152">
        <v>15</v>
      </c>
      <c r="B22" s="173" t="s">
        <v>42</v>
      </c>
      <c r="C22" s="174"/>
      <c r="D22" s="175"/>
      <c r="E22" s="175"/>
      <c r="F22" s="169" t="e">
        <f t="shared" si="1"/>
        <v>#DIV/0!</v>
      </c>
      <c r="G22" s="176"/>
      <c r="H22" s="176"/>
      <c r="I22" s="169" t="e">
        <f t="shared" si="2"/>
        <v>#DIV/0!</v>
      </c>
      <c r="J22" s="176"/>
      <c r="K22" s="176"/>
      <c r="L22" s="169" t="e">
        <f t="shared" si="3"/>
        <v>#DIV/0!</v>
      </c>
      <c r="M22" s="176">
        <f t="shared" si="10"/>
        <v>0</v>
      </c>
      <c r="N22" s="176">
        <f t="shared" si="11"/>
        <v>0</v>
      </c>
      <c r="O22" s="169" t="e">
        <f t="shared" si="12"/>
        <v>#DIV/0!</v>
      </c>
      <c r="P22" s="176"/>
      <c r="Q22" s="176"/>
      <c r="R22" s="169" t="e">
        <f t="shared" si="4"/>
        <v>#DIV/0!</v>
      </c>
      <c r="S22" s="176"/>
      <c r="T22" s="176"/>
      <c r="U22" s="169" t="e">
        <f t="shared" si="5"/>
        <v>#DIV/0!</v>
      </c>
      <c r="V22" s="176"/>
      <c r="W22" s="176"/>
      <c r="X22" s="169" t="e">
        <f t="shared" si="6"/>
        <v>#DIV/0!</v>
      </c>
      <c r="Y22" s="168"/>
      <c r="Z22" s="168"/>
      <c r="AA22" s="169"/>
      <c r="AB22" s="176"/>
      <c r="AC22" s="176"/>
      <c r="AD22" s="176"/>
      <c r="AE22" s="176"/>
      <c r="AF22" s="176"/>
      <c r="AG22" s="169"/>
      <c r="AH22" s="176"/>
      <c r="AI22" s="176"/>
      <c r="AJ22" s="176">
        <f t="shared" si="13"/>
        <v>0</v>
      </c>
      <c r="AK22" s="176">
        <f t="shared" si="14"/>
        <v>0</v>
      </c>
      <c r="AL22" s="169"/>
      <c r="AM22" s="176"/>
      <c r="AN22" s="176"/>
      <c r="AO22" s="176"/>
      <c r="AP22" s="176"/>
      <c r="AQ22" s="176"/>
      <c r="AR22" s="176"/>
      <c r="AS22" s="176">
        <f t="shared" si="15"/>
        <v>0</v>
      </c>
      <c r="AT22" s="176">
        <f t="shared" si="16"/>
        <v>0</v>
      </c>
      <c r="AU22" s="169" t="e">
        <f t="shared" si="17"/>
        <v>#DIV/0!</v>
      </c>
      <c r="AV22" s="169"/>
      <c r="AW22" s="145">
        <f t="shared" si="18"/>
        <v>0</v>
      </c>
      <c r="AX22" s="146">
        <f t="shared" si="19"/>
        <v>0</v>
      </c>
      <c r="AY22" s="146">
        <f t="shared" si="20"/>
        <v>0</v>
      </c>
      <c r="AZ22" s="146">
        <f t="shared" si="9"/>
        <v>0</v>
      </c>
    </row>
    <row r="23" spans="1:52" ht="34.5" customHeight="1">
      <c r="A23" s="152">
        <v>16</v>
      </c>
      <c r="B23" s="173" t="s">
        <v>43</v>
      </c>
      <c r="C23" s="167"/>
      <c r="D23" s="178"/>
      <c r="E23" s="179"/>
      <c r="F23" s="169" t="e">
        <f t="shared" si="1"/>
        <v>#DIV/0!</v>
      </c>
      <c r="G23" s="180"/>
      <c r="H23" s="180"/>
      <c r="I23" s="169" t="e">
        <f t="shared" si="2"/>
        <v>#DIV/0!</v>
      </c>
      <c r="J23" s="180"/>
      <c r="K23" s="180"/>
      <c r="L23" s="169" t="e">
        <f t="shared" si="3"/>
        <v>#DIV/0!</v>
      </c>
      <c r="M23" s="176">
        <f t="shared" si="10"/>
        <v>0</v>
      </c>
      <c r="N23" s="176">
        <f t="shared" si="11"/>
        <v>0</v>
      </c>
      <c r="O23" s="169" t="e">
        <f t="shared" si="12"/>
        <v>#DIV/0!</v>
      </c>
      <c r="P23" s="180"/>
      <c r="Q23" s="180"/>
      <c r="R23" s="169" t="e">
        <f t="shared" si="4"/>
        <v>#DIV/0!</v>
      </c>
      <c r="S23" s="180"/>
      <c r="T23" s="180"/>
      <c r="U23" s="169" t="e">
        <f t="shared" si="5"/>
        <v>#DIV/0!</v>
      </c>
      <c r="V23" s="180"/>
      <c r="W23" s="180"/>
      <c r="X23" s="169" t="e">
        <f t="shared" si="6"/>
        <v>#DIV/0!</v>
      </c>
      <c r="Y23" s="168"/>
      <c r="Z23" s="168"/>
      <c r="AA23" s="169"/>
      <c r="AB23" s="180"/>
      <c r="AC23" s="180"/>
      <c r="AD23" s="181"/>
      <c r="AE23" s="182"/>
      <c r="AF23" s="182"/>
      <c r="AG23" s="182"/>
      <c r="AH23" s="182"/>
      <c r="AI23" s="182"/>
      <c r="AJ23" s="176">
        <f t="shared" si="13"/>
        <v>0</v>
      </c>
      <c r="AK23" s="176">
        <f t="shared" si="14"/>
        <v>0</v>
      </c>
      <c r="AL23" s="169"/>
      <c r="AM23" s="182"/>
      <c r="AN23" s="182"/>
      <c r="AO23" s="182"/>
      <c r="AP23" s="182"/>
      <c r="AQ23" s="182"/>
      <c r="AR23" s="182"/>
      <c r="AS23" s="176">
        <f t="shared" si="15"/>
        <v>0</v>
      </c>
      <c r="AT23" s="176">
        <f t="shared" si="16"/>
        <v>0</v>
      </c>
      <c r="AU23" s="169" t="e">
        <f t="shared" si="17"/>
        <v>#DIV/0!</v>
      </c>
      <c r="AV23" s="169"/>
      <c r="AW23" s="145">
        <f t="shared" si="18"/>
        <v>0</v>
      </c>
      <c r="AX23" s="146">
        <f t="shared" si="19"/>
        <v>0</v>
      </c>
      <c r="AY23" s="146">
        <f t="shared" si="20"/>
        <v>0</v>
      </c>
      <c r="AZ23" s="146">
        <f t="shared" si="9"/>
        <v>0</v>
      </c>
    </row>
    <row r="24" spans="1:52" ht="34.5" customHeight="1">
      <c r="A24" s="152">
        <v>17</v>
      </c>
      <c r="B24" s="173" t="s">
        <v>44</v>
      </c>
      <c r="C24" s="167">
        <v>-490.4</v>
      </c>
      <c r="D24" s="168">
        <v>1166</v>
      </c>
      <c r="E24" s="168">
        <v>0</v>
      </c>
      <c r="F24" s="166">
        <f t="shared" si="1"/>
        <v>0</v>
      </c>
      <c r="G24" s="168">
        <v>796.2</v>
      </c>
      <c r="H24" s="168">
        <v>699.1</v>
      </c>
      <c r="I24" s="166">
        <f t="shared" si="2"/>
        <v>87.80457171564933</v>
      </c>
      <c r="J24" s="168">
        <v>628.6</v>
      </c>
      <c r="K24" s="168">
        <v>1322.8</v>
      </c>
      <c r="L24" s="144">
        <f t="shared" si="3"/>
        <v>210.43588927776005</v>
      </c>
      <c r="M24" s="168">
        <f t="shared" si="10"/>
        <v>2590.8</v>
      </c>
      <c r="N24" s="168">
        <f t="shared" si="11"/>
        <v>2021.9</v>
      </c>
      <c r="O24" s="144">
        <f t="shared" si="12"/>
        <v>78.04153157325922</v>
      </c>
      <c r="P24" s="168">
        <v>62.9</v>
      </c>
      <c r="Q24" s="168">
        <v>525.5</v>
      </c>
      <c r="R24" s="144">
        <f t="shared" si="4"/>
        <v>835.4531001589825</v>
      </c>
      <c r="S24" s="168">
        <v>0</v>
      </c>
      <c r="T24" s="168">
        <v>0.4</v>
      </c>
      <c r="U24" s="144" t="e">
        <f t="shared" si="5"/>
        <v>#DIV/0!</v>
      </c>
      <c r="V24" s="168">
        <v>0</v>
      </c>
      <c r="W24" s="168">
        <v>0</v>
      </c>
      <c r="X24" s="144" t="e">
        <f t="shared" si="6"/>
        <v>#DIV/0!</v>
      </c>
      <c r="Y24" s="168">
        <f>P24+S24+V24</f>
        <v>62.9</v>
      </c>
      <c r="Z24" s="168">
        <f>Q24+T24+W24</f>
        <v>525.9</v>
      </c>
      <c r="AA24" s="169"/>
      <c r="AB24" s="168">
        <v>0</v>
      </c>
      <c r="AC24" s="168">
        <v>0</v>
      </c>
      <c r="AD24" s="172"/>
      <c r="AE24" s="168">
        <v>0</v>
      </c>
      <c r="AF24" s="168">
        <v>0</v>
      </c>
      <c r="AG24" s="169"/>
      <c r="AH24" s="168">
        <v>0</v>
      </c>
      <c r="AI24" s="168">
        <v>0</v>
      </c>
      <c r="AJ24" s="168">
        <f t="shared" si="13"/>
        <v>0</v>
      </c>
      <c r="AK24" s="168">
        <f t="shared" si="14"/>
        <v>0</v>
      </c>
      <c r="AL24" s="169" t="e">
        <f>AK24/AJ24*100</f>
        <v>#DIV/0!</v>
      </c>
      <c r="AM24" s="168">
        <v>0</v>
      </c>
      <c r="AN24" s="168">
        <v>339.5</v>
      </c>
      <c r="AO24" s="168"/>
      <c r="AP24" s="168"/>
      <c r="AQ24" s="168"/>
      <c r="AR24" s="168"/>
      <c r="AS24" s="168">
        <f t="shared" si="15"/>
        <v>2653.7000000000003</v>
      </c>
      <c r="AT24" s="168">
        <f t="shared" si="16"/>
        <v>2887.3</v>
      </c>
      <c r="AU24" s="144">
        <f t="shared" si="17"/>
        <v>108.80280363266381</v>
      </c>
      <c r="AV24" s="144">
        <f>AS24-AT24</f>
        <v>-233.5999999999999</v>
      </c>
      <c r="AW24" s="170">
        <f t="shared" si="18"/>
        <v>-724</v>
      </c>
      <c r="AX24" s="146">
        <f t="shared" si="19"/>
        <v>2653.7000000000003</v>
      </c>
      <c r="AY24" s="146">
        <f t="shared" si="20"/>
        <v>2887.3</v>
      </c>
      <c r="AZ24" s="146">
        <f t="shared" si="9"/>
        <v>-724</v>
      </c>
    </row>
    <row r="25" spans="1:52" ht="34.5" customHeight="1">
      <c r="A25" s="152">
        <v>18</v>
      </c>
      <c r="B25" s="143" t="s">
        <v>45</v>
      </c>
      <c r="C25" s="167">
        <v>0</v>
      </c>
      <c r="D25" s="168">
        <v>210.3</v>
      </c>
      <c r="E25" s="168">
        <v>210.3</v>
      </c>
      <c r="F25" s="166">
        <f t="shared" si="1"/>
        <v>100</v>
      </c>
      <c r="G25" s="172">
        <v>201.6</v>
      </c>
      <c r="H25" s="172">
        <v>201.6</v>
      </c>
      <c r="I25" s="166">
        <f t="shared" si="2"/>
        <v>100</v>
      </c>
      <c r="J25" s="172">
        <v>277.7</v>
      </c>
      <c r="K25" s="172">
        <v>277.8</v>
      </c>
      <c r="L25" s="144">
        <f t="shared" si="3"/>
        <v>100.0360100828232</v>
      </c>
      <c r="M25" s="168">
        <f t="shared" si="10"/>
        <v>689.5999999999999</v>
      </c>
      <c r="N25" s="168">
        <f t="shared" si="11"/>
        <v>689.7</v>
      </c>
      <c r="O25" s="144">
        <f t="shared" si="12"/>
        <v>100.01450116009283</v>
      </c>
      <c r="P25" s="172">
        <v>269.8</v>
      </c>
      <c r="Q25" s="172">
        <v>269.8</v>
      </c>
      <c r="R25" s="144">
        <f t="shared" si="4"/>
        <v>100</v>
      </c>
      <c r="S25" s="172">
        <v>7.9</v>
      </c>
      <c r="T25" s="172">
        <v>7.9</v>
      </c>
      <c r="U25" s="144">
        <f t="shared" si="5"/>
        <v>100</v>
      </c>
      <c r="V25" s="172">
        <v>0</v>
      </c>
      <c r="W25" s="172">
        <v>0</v>
      </c>
      <c r="X25" s="144" t="e">
        <f t="shared" si="6"/>
        <v>#DIV/0!</v>
      </c>
      <c r="Y25" s="168">
        <f>P25+S25+V25</f>
        <v>277.7</v>
      </c>
      <c r="Z25" s="168">
        <f>Q25+T25+W25</f>
        <v>277.7</v>
      </c>
      <c r="AA25" s="144"/>
      <c r="AB25" s="172">
        <v>0</v>
      </c>
      <c r="AC25" s="172">
        <v>0</v>
      </c>
      <c r="AD25" s="172"/>
      <c r="AE25" s="172">
        <v>0</v>
      </c>
      <c r="AF25" s="172">
        <v>0</v>
      </c>
      <c r="AG25" s="172"/>
      <c r="AH25" s="172">
        <v>0</v>
      </c>
      <c r="AI25" s="172">
        <v>0</v>
      </c>
      <c r="AJ25" s="168">
        <f t="shared" si="13"/>
        <v>0</v>
      </c>
      <c r="AK25" s="168">
        <f t="shared" si="14"/>
        <v>0</v>
      </c>
      <c r="AL25" s="169" t="e">
        <f>AK25/AJ25*100</f>
        <v>#DIV/0!</v>
      </c>
      <c r="AM25" s="172">
        <v>35.7</v>
      </c>
      <c r="AN25" s="172">
        <v>0</v>
      </c>
      <c r="AO25" s="172"/>
      <c r="AP25" s="172"/>
      <c r="AQ25" s="172"/>
      <c r="AR25" s="172"/>
      <c r="AS25" s="168">
        <f t="shared" si="15"/>
        <v>1003</v>
      </c>
      <c r="AT25" s="168">
        <f t="shared" si="16"/>
        <v>967.4000000000001</v>
      </c>
      <c r="AU25" s="144">
        <f t="shared" si="17"/>
        <v>96.45064805583252</v>
      </c>
      <c r="AV25" s="144">
        <f>AS25-AT25</f>
        <v>35.59999999999991</v>
      </c>
      <c r="AW25" s="170">
        <f t="shared" si="18"/>
        <v>35.59999999999991</v>
      </c>
      <c r="AX25" s="146">
        <f t="shared" si="19"/>
        <v>1003</v>
      </c>
      <c r="AY25" s="146">
        <f t="shared" si="20"/>
        <v>967.4000000000001</v>
      </c>
      <c r="AZ25" s="146">
        <f t="shared" si="9"/>
        <v>35.59999999999991</v>
      </c>
    </row>
    <row r="26" spans="1:52" s="177" customFormat="1" ht="34.5" customHeight="1">
      <c r="A26" s="152">
        <v>19</v>
      </c>
      <c r="B26" s="173" t="s">
        <v>46</v>
      </c>
      <c r="C26" s="174"/>
      <c r="D26" s="175"/>
      <c r="E26" s="175"/>
      <c r="F26" s="169" t="e">
        <f t="shared" si="1"/>
        <v>#DIV/0!</v>
      </c>
      <c r="G26" s="176"/>
      <c r="H26" s="176"/>
      <c r="I26" s="169" t="e">
        <f t="shared" si="2"/>
        <v>#DIV/0!</v>
      </c>
      <c r="J26" s="176"/>
      <c r="K26" s="176"/>
      <c r="L26" s="169" t="e">
        <f t="shared" si="3"/>
        <v>#DIV/0!</v>
      </c>
      <c r="M26" s="176">
        <f t="shared" si="10"/>
        <v>0</v>
      </c>
      <c r="N26" s="176">
        <f t="shared" si="11"/>
        <v>0</v>
      </c>
      <c r="O26" s="169" t="e">
        <f t="shared" si="12"/>
        <v>#DIV/0!</v>
      </c>
      <c r="P26" s="176"/>
      <c r="Q26" s="176"/>
      <c r="R26" s="169" t="e">
        <f t="shared" si="4"/>
        <v>#DIV/0!</v>
      </c>
      <c r="S26" s="176"/>
      <c r="T26" s="176"/>
      <c r="U26" s="169" t="e">
        <f t="shared" si="5"/>
        <v>#DIV/0!</v>
      </c>
      <c r="V26" s="176"/>
      <c r="W26" s="176"/>
      <c r="X26" s="169" t="e">
        <f t="shared" si="6"/>
        <v>#DIV/0!</v>
      </c>
      <c r="Y26" s="168"/>
      <c r="Z26" s="168"/>
      <c r="AA26" s="169"/>
      <c r="AB26" s="176"/>
      <c r="AC26" s="176"/>
      <c r="AD26" s="176"/>
      <c r="AE26" s="176"/>
      <c r="AF26" s="176"/>
      <c r="AG26" s="169"/>
      <c r="AH26" s="176"/>
      <c r="AI26" s="176"/>
      <c r="AJ26" s="176">
        <f t="shared" si="13"/>
        <v>0</v>
      </c>
      <c r="AK26" s="176">
        <f t="shared" si="14"/>
        <v>0</v>
      </c>
      <c r="AL26" s="169"/>
      <c r="AM26" s="176"/>
      <c r="AN26" s="176"/>
      <c r="AO26" s="176"/>
      <c r="AP26" s="176"/>
      <c r="AQ26" s="176"/>
      <c r="AR26" s="176"/>
      <c r="AS26" s="176">
        <f t="shared" si="15"/>
        <v>0</v>
      </c>
      <c r="AT26" s="176">
        <f t="shared" si="16"/>
        <v>0</v>
      </c>
      <c r="AU26" s="169" t="e">
        <f t="shared" si="17"/>
        <v>#DIV/0!</v>
      </c>
      <c r="AV26" s="169"/>
      <c r="AW26" s="145">
        <f t="shared" si="18"/>
        <v>0</v>
      </c>
      <c r="AX26" s="146">
        <f t="shared" si="19"/>
        <v>0</v>
      </c>
      <c r="AY26" s="146">
        <f t="shared" si="20"/>
        <v>0</v>
      </c>
      <c r="AZ26" s="146">
        <f t="shared" si="9"/>
        <v>0</v>
      </c>
    </row>
    <row r="27" spans="1:52" ht="34.5" customHeight="1">
      <c r="A27" s="152">
        <v>20</v>
      </c>
      <c r="B27" s="173" t="s">
        <v>47</v>
      </c>
      <c r="C27" s="183"/>
      <c r="D27" s="172"/>
      <c r="E27" s="172"/>
      <c r="F27" s="169" t="e">
        <f t="shared" si="1"/>
        <v>#DIV/0!</v>
      </c>
      <c r="G27" s="176"/>
      <c r="H27" s="176"/>
      <c r="I27" s="169" t="e">
        <f t="shared" si="2"/>
        <v>#DIV/0!</v>
      </c>
      <c r="J27" s="176"/>
      <c r="K27" s="176"/>
      <c r="L27" s="169" t="e">
        <f t="shared" si="3"/>
        <v>#DIV/0!</v>
      </c>
      <c r="M27" s="176">
        <f t="shared" si="10"/>
        <v>0</v>
      </c>
      <c r="N27" s="176">
        <f t="shared" si="11"/>
        <v>0</v>
      </c>
      <c r="O27" s="169" t="e">
        <f t="shared" si="12"/>
        <v>#DIV/0!</v>
      </c>
      <c r="P27" s="176"/>
      <c r="Q27" s="176"/>
      <c r="R27" s="169" t="e">
        <f t="shared" si="4"/>
        <v>#DIV/0!</v>
      </c>
      <c r="S27" s="176"/>
      <c r="T27" s="176"/>
      <c r="U27" s="169" t="e">
        <f t="shared" si="5"/>
        <v>#DIV/0!</v>
      </c>
      <c r="V27" s="176"/>
      <c r="W27" s="176"/>
      <c r="X27" s="169" t="e">
        <f t="shared" si="6"/>
        <v>#DIV/0!</v>
      </c>
      <c r="Y27" s="168"/>
      <c r="Z27" s="168"/>
      <c r="AA27" s="169"/>
      <c r="AB27" s="176"/>
      <c r="AC27" s="176"/>
      <c r="AD27" s="176"/>
      <c r="AE27" s="176"/>
      <c r="AF27" s="176"/>
      <c r="AG27" s="169"/>
      <c r="AH27" s="176"/>
      <c r="AI27" s="176"/>
      <c r="AJ27" s="176">
        <f t="shared" si="13"/>
        <v>0</v>
      </c>
      <c r="AK27" s="176">
        <f t="shared" si="14"/>
        <v>0</v>
      </c>
      <c r="AL27" s="169"/>
      <c r="AM27" s="176"/>
      <c r="AN27" s="176"/>
      <c r="AO27" s="176"/>
      <c r="AP27" s="176"/>
      <c r="AQ27" s="176"/>
      <c r="AR27" s="176"/>
      <c r="AS27" s="176">
        <f t="shared" si="15"/>
        <v>0</v>
      </c>
      <c r="AT27" s="176">
        <f t="shared" si="16"/>
        <v>0</v>
      </c>
      <c r="AU27" s="169" t="e">
        <f t="shared" si="17"/>
        <v>#DIV/0!</v>
      </c>
      <c r="AV27" s="169"/>
      <c r="AW27" s="145">
        <f t="shared" si="18"/>
        <v>0</v>
      </c>
      <c r="AX27" s="146">
        <f t="shared" si="19"/>
        <v>0</v>
      </c>
      <c r="AY27" s="146">
        <f t="shared" si="20"/>
        <v>0</v>
      </c>
      <c r="AZ27" s="146">
        <f t="shared" si="9"/>
        <v>0</v>
      </c>
    </row>
    <row r="28" spans="1:52" ht="34.5" customHeight="1">
      <c r="A28" s="152">
        <v>21</v>
      </c>
      <c r="B28" s="184" t="s">
        <v>48</v>
      </c>
      <c r="C28" s="174"/>
      <c r="D28" s="175"/>
      <c r="E28" s="175"/>
      <c r="F28" s="169" t="e">
        <f t="shared" si="1"/>
        <v>#DIV/0!</v>
      </c>
      <c r="G28" s="175"/>
      <c r="H28" s="175"/>
      <c r="I28" s="169" t="e">
        <f t="shared" si="2"/>
        <v>#DIV/0!</v>
      </c>
      <c r="J28" s="175"/>
      <c r="K28" s="175"/>
      <c r="L28" s="169" t="e">
        <f t="shared" si="3"/>
        <v>#DIV/0!</v>
      </c>
      <c r="M28" s="176">
        <f t="shared" si="10"/>
        <v>0</v>
      </c>
      <c r="N28" s="176">
        <f t="shared" si="11"/>
        <v>0</v>
      </c>
      <c r="O28" s="169" t="e">
        <f t="shared" si="12"/>
        <v>#DIV/0!</v>
      </c>
      <c r="P28" s="176"/>
      <c r="Q28" s="176"/>
      <c r="R28" s="169" t="e">
        <f t="shared" si="4"/>
        <v>#DIV/0!</v>
      </c>
      <c r="S28" s="175"/>
      <c r="T28" s="175"/>
      <c r="U28" s="144" t="e">
        <f t="shared" si="5"/>
        <v>#DIV/0!</v>
      </c>
      <c r="V28" s="175"/>
      <c r="W28" s="175"/>
      <c r="X28" s="144" t="e">
        <f t="shared" si="6"/>
        <v>#DIV/0!</v>
      </c>
      <c r="Y28" s="168"/>
      <c r="Z28" s="168"/>
      <c r="AA28" s="144"/>
      <c r="AB28" s="175"/>
      <c r="AC28" s="175"/>
      <c r="AD28" s="175"/>
      <c r="AE28" s="175"/>
      <c r="AF28" s="175"/>
      <c r="AG28" s="169"/>
      <c r="AH28" s="175"/>
      <c r="AI28" s="175"/>
      <c r="AJ28" s="176">
        <f t="shared" si="13"/>
        <v>0</v>
      </c>
      <c r="AK28" s="176">
        <f t="shared" si="14"/>
        <v>0</v>
      </c>
      <c r="AL28" s="144"/>
      <c r="AM28" s="175"/>
      <c r="AN28" s="175"/>
      <c r="AO28" s="175"/>
      <c r="AP28" s="175"/>
      <c r="AQ28" s="175"/>
      <c r="AR28" s="175"/>
      <c r="AS28" s="168"/>
      <c r="AT28" s="168"/>
      <c r="AU28" s="144"/>
      <c r="AV28" s="144"/>
      <c r="AW28" s="170"/>
      <c r="AX28" s="146">
        <f t="shared" si="19"/>
        <v>0</v>
      </c>
      <c r="AY28" s="146">
        <f t="shared" si="20"/>
        <v>0</v>
      </c>
      <c r="AZ28" s="146">
        <f t="shared" si="9"/>
        <v>0</v>
      </c>
    </row>
    <row r="29" spans="1:52" ht="34.5" customHeight="1">
      <c r="A29" s="152">
        <v>22</v>
      </c>
      <c r="B29" s="143" t="s">
        <v>49</v>
      </c>
      <c r="C29" s="185"/>
      <c r="D29" s="186"/>
      <c r="E29" s="186"/>
      <c r="F29" s="187"/>
      <c r="G29" s="186"/>
      <c r="H29" s="186"/>
      <c r="I29" s="169" t="e">
        <f t="shared" si="2"/>
        <v>#DIV/0!</v>
      </c>
      <c r="J29" s="186"/>
      <c r="K29" s="186"/>
      <c r="L29" s="169" t="e">
        <f t="shared" si="3"/>
        <v>#DIV/0!</v>
      </c>
      <c r="M29" s="176">
        <f t="shared" si="10"/>
        <v>0</v>
      </c>
      <c r="N29" s="176">
        <f t="shared" si="11"/>
        <v>0</v>
      </c>
      <c r="O29" s="169" t="e">
        <f t="shared" si="12"/>
        <v>#DIV/0!</v>
      </c>
      <c r="P29" s="188"/>
      <c r="Q29" s="188"/>
      <c r="R29" s="169" t="e">
        <f t="shared" si="4"/>
        <v>#DIV/0!</v>
      </c>
      <c r="S29" s="188"/>
      <c r="T29" s="188"/>
      <c r="U29" s="169" t="e">
        <f t="shared" si="5"/>
        <v>#DIV/0!</v>
      </c>
      <c r="V29" s="188"/>
      <c r="W29" s="188"/>
      <c r="X29" s="169" t="e">
        <f t="shared" si="6"/>
        <v>#DIV/0!</v>
      </c>
      <c r="Y29" s="168"/>
      <c r="Z29" s="168"/>
      <c r="AA29" s="169"/>
      <c r="AB29" s="188"/>
      <c r="AC29" s="188"/>
      <c r="AD29" s="189"/>
      <c r="AE29" s="190"/>
      <c r="AF29" s="190"/>
      <c r="AG29" s="190"/>
      <c r="AH29" s="190"/>
      <c r="AI29" s="190"/>
      <c r="AJ29" s="176">
        <f t="shared" si="13"/>
        <v>0</v>
      </c>
      <c r="AK29" s="176">
        <f t="shared" si="14"/>
        <v>0</v>
      </c>
      <c r="AL29" s="169"/>
      <c r="AM29" s="190"/>
      <c r="AN29" s="190"/>
      <c r="AO29" s="190"/>
      <c r="AP29" s="190"/>
      <c r="AQ29" s="190"/>
      <c r="AR29" s="190"/>
      <c r="AS29" s="176"/>
      <c r="AT29" s="168"/>
      <c r="AU29" s="186"/>
      <c r="AV29" s="144"/>
      <c r="AW29" s="170"/>
      <c r="AX29" s="146">
        <f t="shared" si="19"/>
        <v>0</v>
      </c>
      <c r="AY29" s="146">
        <f t="shared" si="20"/>
        <v>0</v>
      </c>
      <c r="AZ29" s="146">
        <f t="shared" si="9"/>
        <v>0</v>
      </c>
    </row>
    <row r="30" spans="1:52" ht="34.5" customHeight="1">
      <c r="A30" s="152">
        <v>23</v>
      </c>
      <c r="B30" s="173" t="s">
        <v>50</v>
      </c>
      <c r="C30" s="191"/>
      <c r="D30" s="186"/>
      <c r="E30" s="186"/>
      <c r="F30" s="187"/>
      <c r="G30" s="186"/>
      <c r="H30" s="186"/>
      <c r="I30" s="169" t="e">
        <f t="shared" si="2"/>
        <v>#DIV/0!</v>
      </c>
      <c r="J30" s="186"/>
      <c r="K30" s="186"/>
      <c r="L30" s="169" t="e">
        <f t="shared" si="3"/>
        <v>#DIV/0!</v>
      </c>
      <c r="M30" s="176">
        <f t="shared" si="10"/>
        <v>0</v>
      </c>
      <c r="N30" s="176">
        <f t="shared" si="11"/>
        <v>0</v>
      </c>
      <c r="O30" s="169" t="e">
        <f t="shared" si="12"/>
        <v>#DIV/0!</v>
      </c>
      <c r="P30" s="188"/>
      <c r="Q30" s="188"/>
      <c r="R30" s="169" t="e">
        <f t="shared" si="4"/>
        <v>#DIV/0!</v>
      </c>
      <c r="S30" s="188"/>
      <c r="T30" s="188"/>
      <c r="U30" s="169" t="e">
        <f t="shared" si="5"/>
        <v>#DIV/0!</v>
      </c>
      <c r="V30" s="188"/>
      <c r="W30" s="188"/>
      <c r="X30" s="169" t="e">
        <f t="shared" si="6"/>
        <v>#DIV/0!</v>
      </c>
      <c r="Y30" s="168"/>
      <c r="Z30" s="168"/>
      <c r="AA30" s="169"/>
      <c r="AB30" s="188"/>
      <c r="AC30" s="188"/>
      <c r="AD30" s="189"/>
      <c r="AE30" s="190"/>
      <c r="AF30" s="190"/>
      <c r="AG30" s="190"/>
      <c r="AH30" s="190"/>
      <c r="AI30" s="190"/>
      <c r="AJ30" s="176">
        <f t="shared" si="13"/>
        <v>0</v>
      </c>
      <c r="AK30" s="176">
        <f t="shared" si="14"/>
        <v>0</v>
      </c>
      <c r="AL30" s="169"/>
      <c r="AM30" s="190"/>
      <c r="AN30" s="190"/>
      <c r="AO30" s="190"/>
      <c r="AP30" s="190"/>
      <c r="AQ30" s="190"/>
      <c r="AR30" s="190"/>
      <c r="AS30" s="176"/>
      <c r="AT30" s="168"/>
      <c r="AU30" s="186"/>
      <c r="AV30" s="144"/>
      <c r="AW30" s="170"/>
      <c r="AX30" s="146">
        <f t="shared" si="19"/>
        <v>0</v>
      </c>
      <c r="AY30" s="146">
        <f t="shared" si="20"/>
        <v>0</v>
      </c>
      <c r="AZ30" s="146">
        <f t="shared" si="9"/>
        <v>0</v>
      </c>
    </row>
    <row r="31" spans="1:52" ht="34.5" customHeight="1">
      <c r="A31" s="152">
        <v>24</v>
      </c>
      <c r="B31" s="173" t="s">
        <v>51</v>
      </c>
      <c r="C31" s="191"/>
      <c r="D31" s="186"/>
      <c r="E31" s="186"/>
      <c r="F31" s="187"/>
      <c r="G31" s="186"/>
      <c r="H31" s="186"/>
      <c r="I31" s="169" t="e">
        <f t="shared" si="2"/>
        <v>#DIV/0!</v>
      </c>
      <c r="J31" s="186"/>
      <c r="K31" s="186"/>
      <c r="L31" s="169" t="e">
        <f t="shared" si="3"/>
        <v>#DIV/0!</v>
      </c>
      <c r="M31" s="176">
        <f t="shared" si="10"/>
        <v>0</v>
      </c>
      <c r="N31" s="176">
        <f t="shared" si="11"/>
        <v>0</v>
      </c>
      <c r="O31" s="169" t="e">
        <f t="shared" si="12"/>
        <v>#DIV/0!</v>
      </c>
      <c r="P31" s="188"/>
      <c r="Q31" s="188"/>
      <c r="R31" s="169" t="e">
        <f t="shared" si="4"/>
        <v>#DIV/0!</v>
      </c>
      <c r="S31" s="188"/>
      <c r="T31" s="188"/>
      <c r="U31" s="169" t="e">
        <f t="shared" si="5"/>
        <v>#DIV/0!</v>
      </c>
      <c r="V31" s="188"/>
      <c r="W31" s="188"/>
      <c r="X31" s="169" t="e">
        <f t="shared" si="6"/>
        <v>#DIV/0!</v>
      </c>
      <c r="Y31" s="168"/>
      <c r="Z31" s="168"/>
      <c r="AA31" s="169"/>
      <c r="AB31" s="188"/>
      <c r="AC31" s="188"/>
      <c r="AD31" s="189"/>
      <c r="AE31" s="190"/>
      <c r="AF31" s="190"/>
      <c r="AG31" s="190"/>
      <c r="AH31" s="190"/>
      <c r="AI31" s="190"/>
      <c r="AJ31" s="176">
        <f t="shared" si="13"/>
        <v>0</v>
      </c>
      <c r="AK31" s="176">
        <f t="shared" si="14"/>
        <v>0</v>
      </c>
      <c r="AL31" s="169"/>
      <c r="AM31" s="190"/>
      <c r="AN31" s="190"/>
      <c r="AO31" s="190"/>
      <c r="AP31" s="190"/>
      <c r="AQ31" s="190"/>
      <c r="AR31" s="190"/>
      <c r="AS31" s="176"/>
      <c r="AT31" s="168"/>
      <c r="AU31" s="186"/>
      <c r="AV31" s="144"/>
      <c r="AW31" s="170"/>
      <c r="AX31" s="146">
        <f t="shared" si="19"/>
        <v>0</v>
      </c>
      <c r="AY31" s="146">
        <f t="shared" si="20"/>
        <v>0</v>
      </c>
      <c r="AZ31" s="146">
        <f t="shared" si="9"/>
        <v>0</v>
      </c>
    </row>
    <row r="32" spans="1:52" ht="34.5" customHeight="1">
      <c r="A32" s="152">
        <v>25</v>
      </c>
      <c r="B32" s="173" t="s">
        <v>52</v>
      </c>
      <c r="C32" s="192">
        <f>C33+C34+C35+C36</f>
        <v>-128.4</v>
      </c>
      <c r="D32" s="192">
        <f>D33+D34+D35+D36</f>
        <v>2789</v>
      </c>
      <c r="E32" s="192">
        <f>E33+E34+E35+E36</f>
        <v>849.8</v>
      </c>
      <c r="F32" s="193">
        <f>E32/D32*100</f>
        <v>30.46970240229473</v>
      </c>
      <c r="G32" s="192">
        <f>G33+G34+G35+G36</f>
        <v>1903.8000000000002</v>
      </c>
      <c r="H32" s="192">
        <f>H33+H34+H35+H36</f>
        <v>2428.6</v>
      </c>
      <c r="I32" s="166">
        <f t="shared" si="2"/>
        <v>127.56592078999893</v>
      </c>
      <c r="J32" s="192">
        <f>J33+J34+J35+J36</f>
        <v>1526.6</v>
      </c>
      <c r="K32" s="192">
        <f>K33+K34+K35+K36</f>
        <v>1711.1</v>
      </c>
      <c r="L32" s="144">
        <f t="shared" si="3"/>
        <v>112.085680597406</v>
      </c>
      <c r="M32" s="192">
        <f>M33+M34+M35+M36</f>
        <v>6219.4</v>
      </c>
      <c r="N32" s="192">
        <f>N33+N34+N35+N36</f>
        <v>4989.5</v>
      </c>
      <c r="O32" s="144">
        <f t="shared" si="12"/>
        <v>80.22478052545262</v>
      </c>
      <c r="P32" s="192">
        <f>P33+P34+P35+P36</f>
        <v>425.92</v>
      </c>
      <c r="Q32" s="192">
        <f>Q33+Q34+Q35+Q36</f>
        <v>1357.0900000000001</v>
      </c>
      <c r="R32" s="144">
        <f t="shared" si="4"/>
        <v>318.6255634861007</v>
      </c>
      <c r="S32" s="192">
        <f>S33+S34+S35+S36</f>
        <v>126.19999999999999</v>
      </c>
      <c r="T32" s="192">
        <f>T33+T34+T35+T36</f>
        <v>329.3</v>
      </c>
      <c r="U32" s="144">
        <f t="shared" si="5"/>
        <v>260.93502377179084</v>
      </c>
      <c r="V32" s="192">
        <f>V33+V34+V35+V36</f>
        <v>80.2</v>
      </c>
      <c r="W32" s="192">
        <f>W33+W34+W35+W36</f>
        <v>55.9</v>
      </c>
      <c r="X32" s="144">
        <f t="shared" si="6"/>
        <v>69.7007481296758</v>
      </c>
      <c r="Y32" s="168">
        <f>P32+S32+V32</f>
        <v>632.32</v>
      </c>
      <c r="Z32" s="168">
        <f>Q32+T32+W32</f>
        <v>1742.2900000000002</v>
      </c>
      <c r="AA32" s="192">
        <f>AA33+AA34+AA35+AA36</f>
        <v>0</v>
      </c>
      <c r="AB32" s="192">
        <f>AB33+AB34+AB35+AB36</f>
        <v>89.7</v>
      </c>
      <c r="AC32" s="192">
        <f>AC33+AC34+AC35+AC36</f>
        <v>72</v>
      </c>
      <c r="AD32" s="165">
        <f>AC32/AB32*100</f>
        <v>80.2675585284281</v>
      </c>
      <c r="AE32" s="192">
        <f>AE33+AE34+AE35+AE36</f>
        <v>79.2</v>
      </c>
      <c r="AF32" s="192">
        <f>AF33+AF34+AF35+AF36</f>
        <v>73.5</v>
      </c>
      <c r="AG32" s="192">
        <f>AG33+AG34+AG35+AG36</f>
        <v>0</v>
      </c>
      <c r="AH32" s="192">
        <f>AH33+AH34+AH35+AH36</f>
        <v>109.1</v>
      </c>
      <c r="AI32" s="192">
        <f>AI33+AI34+AI35+AI36</f>
        <v>87.1</v>
      </c>
      <c r="AJ32" s="168">
        <f t="shared" si="13"/>
        <v>278</v>
      </c>
      <c r="AK32" s="168">
        <f t="shared" si="14"/>
        <v>232.6</v>
      </c>
      <c r="AL32" s="192">
        <f aca="true" t="shared" si="21" ref="AL32:AT32">AL33+AL34+AL35+AL36</f>
        <v>174.00155620004244</v>
      </c>
      <c r="AM32" s="192">
        <f t="shared" si="21"/>
        <v>614.6</v>
      </c>
      <c r="AN32" s="192">
        <f t="shared" si="21"/>
        <v>284.4</v>
      </c>
      <c r="AO32" s="192">
        <f t="shared" si="21"/>
        <v>0</v>
      </c>
      <c r="AP32" s="192">
        <f t="shared" si="21"/>
        <v>0</v>
      </c>
      <c r="AQ32" s="192">
        <f t="shared" si="21"/>
        <v>0</v>
      </c>
      <c r="AR32" s="192">
        <f t="shared" si="21"/>
        <v>0</v>
      </c>
      <c r="AS32" s="192">
        <f t="shared" si="21"/>
        <v>7744.32</v>
      </c>
      <c r="AT32" s="192">
        <f t="shared" si="21"/>
        <v>7248.79</v>
      </c>
      <c r="AU32" s="144">
        <f>AT32/AS32*100</f>
        <v>93.60137494318417</v>
      </c>
      <c r="AV32" s="192">
        <f>AV33+AV34+AV35+AV36</f>
        <v>495.5300000000002</v>
      </c>
      <c r="AW32" s="192">
        <f>AW33+AW34+AW35+AW36</f>
        <v>367.1300000000001</v>
      </c>
      <c r="AX32" s="146">
        <f t="shared" si="19"/>
        <v>7744.32</v>
      </c>
      <c r="AY32" s="146">
        <f t="shared" si="20"/>
        <v>7248.79</v>
      </c>
      <c r="AZ32" s="146">
        <f t="shared" si="9"/>
        <v>367.1300000000001</v>
      </c>
    </row>
    <row r="33" spans="1:52" ht="34.5" customHeight="1">
      <c r="A33" s="152"/>
      <c r="B33" s="173" t="s">
        <v>77</v>
      </c>
      <c r="C33" s="167">
        <v>-128.4</v>
      </c>
      <c r="D33" s="168">
        <v>1005.2</v>
      </c>
      <c r="E33" s="168">
        <v>849.8</v>
      </c>
      <c r="F33" s="193">
        <f>E33/D33*100</f>
        <v>84.54038997214484</v>
      </c>
      <c r="G33" s="168">
        <v>725.1</v>
      </c>
      <c r="H33" s="168">
        <v>644.8</v>
      </c>
      <c r="I33" s="166">
        <f t="shared" si="2"/>
        <v>88.92566542545855</v>
      </c>
      <c r="J33" s="168">
        <v>543.9</v>
      </c>
      <c r="K33" s="168">
        <v>532.4</v>
      </c>
      <c r="L33" s="144">
        <f t="shared" si="3"/>
        <v>97.8856407427836</v>
      </c>
      <c r="M33" s="168">
        <f>D33+G33+J33</f>
        <v>2274.2000000000003</v>
      </c>
      <c r="N33" s="168">
        <f>E33+H33+K33</f>
        <v>2027</v>
      </c>
      <c r="O33" s="144">
        <f t="shared" si="12"/>
        <v>89.1302436021458</v>
      </c>
      <c r="P33" s="168">
        <v>187.4</v>
      </c>
      <c r="Q33" s="168">
        <v>374.4</v>
      </c>
      <c r="R33" s="144">
        <f t="shared" si="4"/>
        <v>199.78655282817502</v>
      </c>
      <c r="S33" s="168">
        <v>85.3</v>
      </c>
      <c r="T33" s="168">
        <v>90.8</v>
      </c>
      <c r="U33" s="144">
        <f t="shared" si="5"/>
        <v>106.44783118405627</v>
      </c>
      <c r="V33" s="168">
        <v>58.2</v>
      </c>
      <c r="W33" s="168">
        <v>15</v>
      </c>
      <c r="X33" s="144">
        <f t="shared" si="6"/>
        <v>25.773195876288657</v>
      </c>
      <c r="Y33" s="168">
        <f>P33+S33+V33</f>
        <v>330.9</v>
      </c>
      <c r="Z33" s="168">
        <f>Q33+T33+W33</f>
        <v>480.2</v>
      </c>
      <c r="AA33" s="144"/>
      <c r="AB33" s="168">
        <v>66.2</v>
      </c>
      <c r="AC33" s="168">
        <v>50</v>
      </c>
      <c r="AD33" s="165">
        <f>AC33/AB33*100</f>
        <v>75.5287009063444</v>
      </c>
      <c r="AE33" s="168">
        <v>62.1</v>
      </c>
      <c r="AF33" s="168">
        <v>50</v>
      </c>
      <c r="AG33" s="169"/>
      <c r="AH33" s="168">
        <v>82.7</v>
      </c>
      <c r="AI33" s="168">
        <v>70</v>
      </c>
      <c r="AJ33" s="168">
        <f t="shared" si="13"/>
        <v>211</v>
      </c>
      <c r="AK33" s="168">
        <f t="shared" si="14"/>
        <v>170</v>
      </c>
      <c r="AL33" s="144">
        <f aca="true" t="shared" si="22" ref="AL33:AL41">AK33/AJ33*100</f>
        <v>80.56872037914692</v>
      </c>
      <c r="AM33" s="168">
        <v>231.9</v>
      </c>
      <c r="AN33" s="168">
        <v>258</v>
      </c>
      <c r="AO33" s="168"/>
      <c r="AP33" s="168"/>
      <c r="AQ33" s="168"/>
      <c r="AR33" s="168"/>
      <c r="AS33" s="168">
        <f aca="true" t="shared" si="23" ref="AS33:AT41">M33+Y33+AJ33+AM33+AO33+AQ33</f>
        <v>3048.0000000000005</v>
      </c>
      <c r="AT33" s="168">
        <f t="shared" si="23"/>
        <v>2935.2</v>
      </c>
      <c r="AU33" s="144">
        <f>AT33/AS33*100</f>
        <v>96.29921259842517</v>
      </c>
      <c r="AV33" s="144">
        <f aca="true" t="shared" si="24" ref="AV33:AV41">AS33-AT33</f>
        <v>112.80000000000064</v>
      </c>
      <c r="AW33" s="170">
        <f aca="true" t="shared" si="25" ref="AW33:AW41">C33+AS33-AT33</f>
        <v>-15.599999999999454</v>
      </c>
      <c r="AX33" s="146">
        <f t="shared" si="19"/>
        <v>3048.0000000000005</v>
      </c>
      <c r="AY33" s="146">
        <f t="shared" si="20"/>
        <v>2935.2</v>
      </c>
      <c r="AZ33" s="146">
        <f t="shared" si="9"/>
        <v>-15.599999999999454</v>
      </c>
    </row>
    <row r="34" spans="1:52" ht="34.5" customHeight="1">
      <c r="A34" s="152"/>
      <c r="B34" s="173" t="s">
        <v>23</v>
      </c>
      <c r="C34" s="167"/>
      <c r="D34" s="168"/>
      <c r="E34" s="168"/>
      <c r="F34" s="166"/>
      <c r="G34" s="168"/>
      <c r="H34" s="168"/>
      <c r="I34" s="169" t="e">
        <f t="shared" si="2"/>
        <v>#DIV/0!</v>
      </c>
      <c r="J34" s="168"/>
      <c r="K34" s="168"/>
      <c r="L34" s="169" t="e">
        <f t="shared" si="3"/>
        <v>#DIV/0!</v>
      </c>
      <c r="M34" s="176">
        <f aca="true" t="shared" si="26" ref="M34:M44">D34+G34+J34</f>
        <v>0</v>
      </c>
      <c r="N34" s="176">
        <f aca="true" t="shared" si="27" ref="N34:N44">E34+H34+K34</f>
        <v>0</v>
      </c>
      <c r="O34" s="169" t="e">
        <f t="shared" si="12"/>
        <v>#DIV/0!</v>
      </c>
      <c r="P34" s="168"/>
      <c r="Q34" s="168"/>
      <c r="R34" s="169" t="e">
        <f t="shared" si="4"/>
        <v>#DIV/0!</v>
      </c>
      <c r="S34" s="168"/>
      <c r="T34" s="168"/>
      <c r="U34" s="144" t="e">
        <f t="shared" si="5"/>
        <v>#DIV/0!</v>
      </c>
      <c r="V34" s="168"/>
      <c r="W34" s="168"/>
      <c r="X34" s="144" t="e">
        <f t="shared" si="6"/>
        <v>#DIV/0!</v>
      </c>
      <c r="Y34" s="168"/>
      <c r="Z34" s="168"/>
      <c r="AA34" s="144"/>
      <c r="AB34" s="168"/>
      <c r="AC34" s="168"/>
      <c r="AD34" s="168"/>
      <c r="AE34" s="168"/>
      <c r="AF34" s="168"/>
      <c r="AG34" s="169"/>
      <c r="AH34" s="168"/>
      <c r="AI34" s="168"/>
      <c r="AJ34" s="176">
        <f t="shared" si="13"/>
        <v>0</v>
      </c>
      <c r="AK34" s="176">
        <f t="shared" si="14"/>
        <v>0</v>
      </c>
      <c r="AL34" s="169"/>
      <c r="AM34" s="176">
        <v>0</v>
      </c>
      <c r="AN34" s="176">
        <v>0</v>
      </c>
      <c r="AO34" s="168"/>
      <c r="AP34" s="168"/>
      <c r="AQ34" s="168"/>
      <c r="AR34" s="168"/>
      <c r="AS34" s="168"/>
      <c r="AT34" s="168"/>
      <c r="AU34" s="144"/>
      <c r="AV34" s="144">
        <f>AS34-AT34</f>
        <v>0</v>
      </c>
      <c r="AW34" s="170"/>
      <c r="AX34" s="146">
        <f t="shared" si="19"/>
        <v>0</v>
      </c>
      <c r="AY34" s="146">
        <f t="shared" si="20"/>
        <v>0</v>
      </c>
      <c r="AZ34" s="146">
        <f t="shared" si="9"/>
        <v>0</v>
      </c>
    </row>
    <row r="35" spans="1:52" ht="34.5" customHeight="1" hidden="1">
      <c r="A35" s="152"/>
      <c r="B35" s="173" t="s">
        <v>25</v>
      </c>
      <c r="C35" s="167"/>
      <c r="D35" s="168"/>
      <c r="E35" s="168"/>
      <c r="F35" s="166"/>
      <c r="G35" s="168"/>
      <c r="H35" s="168"/>
      <c r="I35" s="166" t="e">
        <f t="shared" si="2"/>
        <v>#DIV/0!</v>
      </c>
      <c r="J35" s="168"/>
      <c r="K35" s="168"/>
      <c r="L35" s="144" t="e">
        <f t="shared" si="3"/>
        <v>#DIV/0!</v>
      </c>
      <c r="M35" s="168">
        <f t="shared" si="26"/>
        <v>0</v>
      </c>
      <c r="N35" s="168">
        <f t="shared" si="27"/>
        <v>0</v>
      </c>
      <c r="O35" s="144" t="e">
        <f t="shared" si="12"/>
        <v>#DIV/0!</v>
      </c>
      <c r="P35" s="168"/>
      <c r="Q35" s="168"/>
      <c r="R35" s="144" t="e">
        <f t="shared" si="4"/>
        <v>#DIV/0!</v>
      </c>
      <c r="S35" s="168"/>
      <c r="T35" s="168"/>
      <c r="U35" s="144" t="e">
        <f t="shared" si="5"/>
        <v>#DIV/0!</v>
      </c>
      <c r="V35" s="168"/>
      <c r="W35" s="168"/>
      <c r="X35" s="144" t="e">
        <f t="shared" si="6"/>
        <v>#DIV/0!</v>
      </c>
      <c r="Y35" s="168">
        <f aca="true" t="shared" si="28" ref="Y35:Z41">P35+S35+V35</f>
        <v>0</v>
      </c>
      <c r="Z35" s="168">
        <f t="shared" si="28"/>
        <v>0</v>
      </c>
      <c r="AA35" s="144"/>
      <c r="AB35" s="168"/>
      <c r="AC35" s="168"/>
      <c r="AD35" s="168"/>
      <c r="AE35" s="168"/>
      <c r="AF35" s="168"/>
      <c r="AG35" s="169"/>
      <c r="AH35" s="168"/>
      <c r="AI35" s="168"/>
      <c r="AJ35" s="168">
        <f t="shared" si="13"/>
        <v>0</v>
      </c>
      <c r="AK35" s="168">
        <f t="shared" si="14"/>
        <v>0</v>
      </c>
      <c r="AL35" s="144"/>
      <c r="AM35" s="168"/>
      <c r="AN35" s="168"/>
      <c r="AO35" s="168"/>
      <c r="AP35" s="168"/>
      <c r="AQ35" s="168"/>
      <c r="AR35" s="168"/>
      <c r="AS35" s="168"/>
      <c r="AT35" s="168"/>
      <c r="AU35" s="144"/>
      <c r="AV35" s="144">
        <f>AS35-AT35</f>
        <v>0</v>
      </c>
      <c r="AW35" s="170"/>
      <c r="AX35" s="146">
        <f t="shared" si="19"/>
        <v>0</v>
      </c>
      <c r="AY35" s="146">
        <f t="shared" si="20"/>
        <v>0</v>
      </c>
      <c r="AZ35" s="146">
        <f t="shared" si="9"/>
        <v>0</v>
      </c>
    </row>
    <row r="36" spans="1:52" ht="34.5" customHeight="1">
      <c r="A36" s="142"/>
      <c r="B36" s="143" t="s">
        <v>67</v>
      </c>
      <c r="C36" s="167">
        <v>0</v>
      </c>
      <c r="D36" s="194">
        <v>1783.8</v>
      </c>
      <c r="E36" s="195">
        <v>0</v>
      </c>
      <c r="F36" s="196">
        <v>9.4589862381813</v>
      </c>
      <c r="G36" s="194">
        <v>1178.7</v>
      </c>
      <c r="H36" s="194">
        <v>1783.8</v>
      </c>
      <c r="I36" s="196">
        <v>81.91068639545016</v>
      </c>
      <c r="J36" s="195">
        <v>982.7</v>
      </c>
      <c r="K36" s="195">
        <v>1178.7</v>
      </c>
      <c r="L36" s="197">
        <v>141.06228050880242</v>
      </c>
      <c r="M36" s="168">
        <f>D36+G36+J36</f>
        <v>3945.2</v>
      </c>
      <c r="N36" s="168">
        <f>E36+H36+K36</f>
        <v>2962.5</v>
      </c>
      <c r="O36" s="144">
        <f t="shared" si="12"/>
        <v>75.09125012673628</v>
      </c>
      <c r="P36" s="195">
        <v>238.52</v>
      </c>
      <c r="Q36" s="195">
        <v>982.69</v>
      </c>
      <c r="R36" s="197">
        <v>234.15404089581307</v>
      </c>
      <c r="S36" s="195">
        <v>40.9</v>
      </c>
      <c r="T36" s="195">
        <v>238.5</v>
      </c>
      <c r="U36" s="144">
        <f t="shared" si="5"/>
        <v>583.1295843520783</v>
      </c>
      <c r="V36" s="168">
        <v>22</v>
      </c>
      <c r="W36" s="168">
        <v>40.9</v>
      </c>
      <c r="X36" s="144">
        <f t="shared" si="6"/>
        <v>185.9090909090909</v>
      </c>
      <c r="Y36" s="168">
        <f t="shared" si="28"/>
        <v>301.42</v>
      </c>
      <c r="Z36" s="168">
        <f t="shared" si="28"/>
        <v>1262.0900000000001</v>
      </c>
      <c r="AA36" s="144"/>
      <c r="AB36" s="168">
        <v>23.5</v>
      </c>
      <c r="AC36" s="168">
        <v>22</v>
      </c>
      <c r="AD36" s="144">
        <f>AC36/AB36*100</f>
        <v>93.61702127659575</v>
      </c>
      <c r="AE36" s="168">
        <v>17.1</v>
      </c>
      <c r="AF36" s="168">
        <v>23.5</v>
      </c>
      <c r="AG36" s="169"/>
      <c r="AH36" s="168">
        <v>26.4</v>
      </c>
      <c r="AI36" s="168">
        <v>17.1</v>
      </c>
      <c r="AJ36" s="168">
        <f t="shared" si="13"/>
        <v>67</v>
      </c>
      <c r="AK36" s="168">
        <f t="shared" si="14"/>
        <v>62.6</v>
      </c>
      <c r="AL36" s="144">
        <f t="shared" si="22"/>
        <v>93.43283582089552</v>
      </c>
      <c r="AM36" s="168">
        <v>382.7</v>
      </c>
      <c r="AN36" s="168">
        <v>26.4</v>
      </c>
      <c r="AO36" s="168"/>
      <c r="AP36" s="168"/>
      <c r="AQ36" s="168"/>
      <c r="AR36" s="168"/>
      <c r="AS36" s="168">
        <f t="shared" si="23"/>
        <v>4696.32</v>
      </c>
      <c r="AT36" s="168">
        <f t="shared" si="23"/>
        <v>4313.59</v>
      </c>
      <c r="AU36" s="144">
        <f>AT36/AS36*100</f>
        <v>91.85042756881985</v>
      </c>
      <c r="AV36" s="144">
        <f t="shared" si="24"/>
        <v>382.72999999999956</v>
      </c>
      <c r="AW36" s="170">
        <f t="shared" si="25"/>
        <v>382.72999999999956</v>
      </c>
      <c r="AX36" s="146">
        <f t="shared" si="19"/>
        <v>4696.32</v>
      </c>
      <c r="AY36" s="146">
        <f t="shared" si="20"/>
        <v>4313.59</v>
      </c>
      <c r="AZ36" s="146">
        <f t="shared" si="9"/>
        <v>382.72999999999956</v>
      </c>
    </row>
    <row r="37" spans="1:52" ht="34.5" customHeight="1">
      <c r="A37" s="152">
        <v>26</v>
      </c>
      <c r="B37" s="173" t="s">
        <v>53</v>
      </c>
      <c r="C37" s="167">
        <v>-1.6</v>
      </c>
      <c r="D37" s="168">
        <v>712.6</v>
      </c>
      <c r="E37" s="168">
        <v>226.1</v>
      </c>
      <c r="F37" s="166">
        <f t="shared" si="1"/>
        <v>31.72888015717092</v>
      </c>
      <c r="G37" s="168">
        <v>717.1</v>
      </c>
      <c r="H37" s="168">
        <v>995.2</v>
      </c>
      <c r="I37" s="166">
        <f t="shared" si="2"/>
        <v>138.78120206386836</v>
      </c>
      <c r="J37" s="168">
        <v>543.2</v>
      </c>
      <c r="K37" s="168">
        <v>679.7</v>
      </c>
      <c r="L37" s="144">
        <f t="shared" si="3"/>
        <v>125.12886597938144</v>
      </c>
      <c r="M37" s="168">
        <f t="shared" si="26"/>
        <v>1972.9</v>
      </c>
      <c r="N37" s="168">
        <f t="shared" si="27"/>
        <v>1901</v>
      </c>
      <c r="O37" s="144">
        <f t="shared" si="12"/>
        <v>96.35561863246997</v>
      </c>
      <c r="P37" s="168">
        <v>102</v>
      </c>
      <c r="Q37" s="168">
        <v>178.9</v>
      </c>
      <c r="R37" s="144">
        <f t="shared" si="4"/>
        <v>175.39215686274508</v>
      </c>
      <c r="S37" s="168">
        <v>0</v>
      </c>
      <c r="T37" s="168">
        <v>0</v>
      </c>
      <c r="U37" s="144" t="e">
        <f t="shared" si="5"/>
        <v>#DIV/0!</v>
      </c>
      <c r="V37" s="168">
        <v>0</v>
      </c>
      <c r="W37" s="168">
        <v>0</v>
      </c>
      <c r="X37" s="144" t="e">
        <f t="shared" si="6"/>
        <v>#DIV/0!</v>
      </c>
      <c r="Y37" s="168">
        <f t="shared" si="28"/>
        <v>102</v>
      </c>
      <c r="Z37" s="168">
        <f t="shared" si="28"/>
        <v>178.9</v>
      </c>
      <c r="AA37" s="169"/>
      <c r="AB37" s="168">
        <v>0</v>
      </c>
      <c r="AC37" s="168">
        <v>0</v>
      </c>
      <c r="AD37" s="172"/>
      <c r="AE37" s="168">
        <v>0</v>
      </c>
      <c r="AF37" s="168">
        <v>0</v>
      </c>
      <c r="AG37" s="169"/>
      <c r="AH37" s="168">
        <v>0</v>
      </c>
      <c r="AI37" s="168">
        <v>0</v>
      </c>
      <c r="AJ37" s="168">
        <f t="shared" si="13"/>
        <v>0</v>
      </c>
      <c r="AK37" s="168">
        <f t="shared" si="14"/>
        <v>0</v>
      </c>
      <c r="AL37" s="169" t="e">
        <f t="shared" si="22"/>
        <v>#DIV/0!</v>
      </c>
      <c r="AM37" s="168">
        <v>15</v>
      </c>
      <c r="AN37" s="168">
        <v>72.1</v>
      </c>
      <c r="AO37" s="168"/>
      <c r="AP37" s="168"/>
      <c r="AQ37" s="168"/>
      <c r="AR37" s="168"/>
      <c r="AS37" s="168">
        <f t="shared" si="23"/>
        <v>2089.9</v>
      </c>
      <c r="AT37" s="168">
        <f t="shared" si="23"/>
        <v>2152</v>
      </c>
      <c r="AU37" s="144">
        <f aca="true" t="shared" si="29" ref="AU37:AU46">AT37/AS37*100</f>
        <v>102.9714340399062</v>
      </c>
      <c r="AV37" s="144">
        <f t="shared" si="24"/>
        <v>-62.09999999999991</v>
      </c>
      <c r="AW37" s="170">
        <f t="shared" si="25"/>
        <v>-63.69999999999982</v>
      </c>
      <c r="AX37" s="146">
        <f t="shared" si="19"/>
        <v>2089.9</v>
      </c>
      <c r="AY37" s="146">
        <f t="shared" si="20"/>
        <v>2152</v>
      </c>
      <c r="AZ37" s="146">
        <f t="shared" si="9"/>
        <v>-63.69999999999982</v>
      </c>
    </row>
    <row r="38" spans="1:52" ht="34.5" customHeight="1">
      <c r="A38" s="152">
        <v>27</v>
      </c>
      <c r="B38" s="198" t="s">
        <v>54</v>
      </c>
      <c r="C38" s="167">
        <v>-382.3</v>
      </c>
      <c r="D38" s="168">
        <v>859.8</v>
      </c>
      <c r="E38" s="168">
        <v>318.4</v>
      </c>
      <c r="F38" s="166">
        <f t="shared" si="1"/>
        <v>37.03186787625029</v>
      </c>
      <c r="G38" s="168">
        <v>794</v>
      </c>
      <c r="H38" s="168">
        <v>1094.7</v>
      </c>
      <c r="I38" s="166">
        <f t="shared" si="2"/>
        <v>137.87153652392948</v>
      </c>
      <c r="J38" s="168">
        <v>812</v>
      </c>
      <c r="K38" s="168">
        <v>855.2</v>
      </c>
      <c r="L38" s="144">
        <f t="shared" si="3"/>
        <v>105.32019704433498</v>
      </c>
      <c r="M38" s="168">
        <f t="shared" si="26"/>
        <v>2465.8</v>
      </c>
      <c r="N38" s="168">
        <f t="shared" si="27"/>
        <v>2268.3</v>
      </c>
      <c r="O38" s="144">
        <f t="shared" si="12"/>
        <v>91.99042906967313</v>
      </c>
      <c r="P38" s="168">
        <v>122.4</v>
      </c>
      <c r="Q38" s="168">
        <v>71.2</v>
      </c>
      <c r="R38" s="144">
        <f t="shared" si="4"/>
        <v>58.16993464052288</v>
      </c>
      <c r="S38" s="168">
        <v>0</v>
      </c>
      <c r="T38" s="168">
        <v>0</v>
      </c>
      <c r="U38" s="144" t="e">
        <f t="shared" si="5"/>
        <v>#DIV/0!</v>
      </c>
      <c r="V38" s="168">
        <v>0</v>
      </c>
      <c r="W38" s="168">
        <v>0</v>
      </c>
      <c r="X38" s="144" t="e">
        <f t="shared" si="6"/>
        <v>#DIV/0!</v>
      </c>
      <c r="Y38" s="168">
        <f t="shared" si="28"/>
        <v>122.4</v>
      </c>
      <c r="Z38" s="168">
        <f t="shared" si="28"/>
        <v>71.2</v>
      </c>
      <c r="AA38" s="144"/>
      <c r="AB38" s="168">
        <v>0</v>
      </c>
      <c r="AC38" s="168">
        <v>0</v>
      </c>
      <c r="AD38" s="168"/>
      <c r="AE38" s="168">
        <v>0</v>
      </c>
      <c r="AF38" s="168">
        <v>0</v>
      </c>
      <c r="AG38" s="169"/>
      <c r="AH38" s="168">
        <v>0</v>
      </c>
      <c r="AI38" s="168">
        <v>0</v>
      </c>
      <c r="AJ38" s="168">
        <f t="shared" si="13"/>
        <v>0</v>
      </c>
      <c r="AK38" s="168">
        <f t="shared" si="14"/>
        <v>0</v>
      </c>
      <c r="AL38" s="144" t="e">
        <f t="shared" si="22"/>
        <v>#DIV/0!</v>
      </c>
      <c r="AM38" s="168">
        <v>160</v>
      </c>
      <c r="AN38" s="168">
        <v>145.2</v>
      </c>
      <c r="AO38" s="168"/>
      <c r="AP38" s="168"/>
      <c r="AQ38" s="168"/>
      <c r="AR38" s="168"/>
      <c r="AS38" s="168">
        <f>M38+Y38+AJ38+AM38+AO38+AQ38</f>
        <v>2748.2000000000003</v>
      </c>
      <c r="AT38" s="168">
        <f t="shared" si="23"/>
        <v>2484.7</v>
      </c>
      <c r="AU38" s="144">
        <f t="shared" si="29"/>
        <v>90.41190597481986</v>
      </c>
      <c r="AV38" s="144">
        <f t="shared" si="24"/>
        <v>263.50000000000045</v>
      </c>
      <c r="AW38" s="170">
        <f>C38+AS38-AT38</f>
        <v>-118.79999999999973</v>
      </c>
      <c r="AX38" s="146">
        <f t="shared" si="19"/>
        <v>2748.2000000000003</v>
      </c>
      <c r="AY38" s="146">
        <f t="shared" si="20"/>
        <v>2484.7</v>
      </c>
      <c r="AZ38" s="146">
        <f t="shared" si="9"/>
        <v>-118.79999999999973</v>
      </c>
    </row>
    <row r="39" spans="1:52" ht="34.5" customHeight="1">
      <c r="A39" s="152">
        <v>28</v>
      </c>
      <c r="B39" s="199" t="s">
        <v>55</v>
      </c>
      <c r="C39" s="167">
        <f>-472.8</f>
        <v>-472.8</v>
      </c>
      <c r="D39" s="168">
        <f>1170.7-707.5</f>
        <v>463.20000000000005</v>
      </c>
      <c r="E39" s="168">
        <f>340-340</f>
        <v>0</v>
      </c>
      <c r="F39" s="166">
        <f t="shared" si="1"/>
        <v>0</v>
      </c>
      <c r="G39" s="168">
        <f>843-456.5</f>
        <v>386.5</v>
      </c>
      <c r="H39" s="168">
        <f>622.9-379</f>
        <v>243.89999999999998</v>
      </c>
      <c r="I39" s="166">
        <f t="shared" si="2"/>
        <v>63.10478654592496</v>
      </c>
      <c r="J39" s="168">
        <v>370.7</v>
      </c>
      <c r="K39" s="168">
        <v>565.4</v>
      </c>
      <c r="L39" s="144">
        <f t="shared" si="3"/>
        <v>152.52225519287833</v>
      </c>
      <c r="M39" s="168">
        <f t="shared" si="26"/>
        <v>1220.4</v>
      </c>
      <c r="N39" s="168">
        <f t="shared" si="27"/>
        <v>809.3</v>
      </c>
      <c r="O39" s="144">
        <f t="shared" si="12"/>
        <v>66.31432317273024</v>
      </c>
      <c r="P39" s="168">
        <f>340-198.6</f>
        <v>141.4</v>
      </c>
      <c r="Q39" s="168">
        <f>649.5-450</f>
        <v>199.5</v>
      </c>
      <c r="R39" s="144">
        <f t="shared" si="4"/>
        <v>141.08910891089107</v>
      </c>
      <c r="S39" s="168">
        <v>92.6</v>
      </c>
      <c r="T39" s="168">
        <v>90.9</v>
      </c>
      <c r="U39" s="144">
        <f t="shared" si="5"/>
        <v>98.16414686825055</v>
      </c>
      <c r="V39" s="168">
        <f>247.8-154.7</f>
        <v>93.10000000000002</v>
      </c>
      <c r="W39" s="168">
        <f>392.6-300</f>
        <v>92.60000000000002</v>
      </c>
      <c r="X39" s="144">
        <f t="shared" si="6"/>
        <v>99.46294307196563</v>
      </c>
      <c r="Y39" s="168">
        <f t="shared" si="28"/>
        <v>327.1</v>
      </c>
      <c r="Z39" s="168">
        <f t="shared" si="28"/>
        <v>383</v>
      </c>
      <c r="AA39" s="144"/>
      <c r="AB39" s="168">
        <v>269.2</v>
      </c>
      <c r="AC39" s="168">
        <v>349.3</v>
      </c>
      <c r="AD39" s="168"/>
      <c r="AE39" s="168">
        <v>270.1</v>
      </c>
      <c r="AF39" s="168">
        <v>198.1</v>
      </c>
      <c r="AG39" s="169"/>
      <c r="AH39" s="168">
        <v>265.8</v>
      </c>
      <c r="AI39" s="168">
        <v>290.8</v>
      </c>
      <c r="AJ39" s="168">
        <f t="shared" si="13"/>
        <v>805.0999999999999</v>
      </c>
      <c r="AK39" s="168">
        <f t="shared" si="14"/>
        <v>838.2</v>
      </c>
      <c r="AL39" s="144">
        <f t="shared" si="22"/>
        <v>104.11129052291643</v>
      </c>
      <c r="AM39" s="168">
        <v>382.3</v>
      </c>
      <c r="AN39" s="168">
        <v>380.6</v>
      </c>
      <c r="AO39" s="168"/>
      <c r="AP39" s="168"/>
      <c r="AQ39" s="168"/>
      <c r="AR39" s="168"/>
      <c r="AS39" s="168">
        <f t="shared" si="23"/>
        <v>2734.9</v>
      </c>
      <c r="AT39" s="168">
        <f t="shared" si="23"/>
        <v>2411.1</v>
      </c>
      <c r="AU39" s="144">
        <f t="shared" si="29"/>
        <v>88.16044462320377</v>
      </c>
      <c r="AV39" s="144">
        <f t="shared" si="24"/>
        <v>323.8000000000002</v>
      </c>
      <c r="AW39" s="170">
        <f t="shared" si="25"/>
        <v>-149</v>
      </c>
      <c r="AX39" s="146">
        <f t="shared" si="19"/>
        <v>2734.9</v>
      </c>
      <c r="AY39" s="146">
        <f t="shared" si="20"/>
        <v>2411.1</v>
      </c>
      <c r="AZ39" s="146">
        <f t="shared" si="9"/>
        <v>-149</v>
      </c>
    </row>
    <row r="40" spans="1:52" ht="34.5" customHeight="1">
      <c r="A40" s="152">
        <v>29</v>
      </c>
      <c r="B40" s="199" t="s">
        <v>56</v>
      </c>
      <c r="C40" s="167">
        <v>26.3</v>
      </c>
      <c r="D40" s="168">
        <v>342.7</v>
      </c>
      <c r="E40" s="168">
        <v>285.3</v>
      </c>
      <c r="F40" s="166">
        <f t="shared" si="1"/>
        <v>83.25065655091917</v>
      </c>
      <c r="G40" s="168">
        <v>322.9</v>
      </c>
      <c r="H40" s="168">
        <v>337.5</v>
      </c>
      <c r="I40" s="166">
        <f t="shared" si="2"/>
        <v>104.52152369154537</v>
      </c>
      <c r="J40" s="168">
        <v>270.8</v>
      </c>
      <c r="K40" s="168">
        <v>326.3</v>
      </c>
      <c r="L40" s="144">
        <f t="shared" si="3"/>
        <v>120.49483013293944</v>
      </c>
      <c r="M40" s="168">
        <f t="shared" si="26"/>
        <v>936.3999999999999</v>
      </c>
      <c r="N40" s="168">
        <f t="shared" si="27"/>
        <v>949.0999999999999</v>
      </c>
      <c r="O40" s="144">
        <f t="shared" si="12"/>
        <v>101.35625800939769</v>
      </c>
      <c r="P40" s="168">
        <v>42.6</v>
      </c>
      <c r="Q40" s="168">
        <v>20.8</v>
      </c>
      <c r="R40" s="144">
        <f t="shared" si="4"/>
        <v>48.82629107981221</v>
      </c>
      <c r="S40" s="168">
        <v>0</v>
      </c>
      <c r="T40" s="168">
        <v>35.5</v>
      </c>
      <c r="U40" s="144" t="e">
        <f t="shared" si="5"/>
        <v>#DIV/0!</v>
      </c>
      <c r="V40" s="168">
        <v>0</v>
      </c>
      <c r="W40" s="168">
        <v>0</v>
      </c>
      <c r="X40" s="144" t="e">
        <f t="shared" si="6"/>
        <v>#DIV/0!</v>
      </c>
      <c r="Y40" s="168">
        <f t="shared" si="28"/>
        <v>42.6</v>
      </c>
      <c r="Z40" s="168">
        <f t="shared" si="28"/>
        <v>56.3</v>
      </c>
      <c r="AA40" s="144"/>
      <c r="AB40" s="168">
        <v>0</v>
      </c>
      <c r="AC40" s="168">
        <v>0</v>
      </c>
      <c r="AD40" s="168"/>
      <c r="AE40" s="168">
        <v>0</v>
      </c>
      <c r="AF40" s="168">
        <v>0</v>
      </c>
      <c r="AG40" s="169"/>
      <c r="AH40" s="168">
        <v>0</v>
      </c>
      <c r="AI40" s="168">
        <v>0</v>
      </c>
      <c r="AJ40" s="168">
        <f t="shared" si="13"/>
        <v>0</v>
      </c>
      <c r="AK40" s="168">
        <f t="shared" si="14"/>
        <v>0</v>
      </c>
      <c r="AL40" s="169" t="e">
        <f t="shared" si="22"/>
        <v>#DIV/0!</v>
      </c>
      <c r="AM40" s="168">
        <v>59.5</v>
      </c>
      <c r="AN40" s="168">
        <v>278</v>
      </c>
      <c r="AO40" s="168"/>
      <c r="AP40" s="168"/>
      <c r="AQ40" s="168"/>
      <c r="AR40" s="168"/>
      <c r="AS40" s="168">
        <f t="shared" si="23"/>
        <v>1038.5</v>
      </c>
      <c r="AT40" s="168">
        <f t="shared" si="23"/>
        <v>1283.3999999999999</v>
      </c>
      <c r="AU40" s="144">
        <f t="shared" si="29"/>
        <v>123.5820895522388</v>
      </c>
      <c r="AV40" s="144">
        <f t="shared" si="24"/>
        <v>-244.89999999999986</v>
      </c>
      <c r="AW40" s="170">
        <f t="shared" si="25"/>
        <v>-218.5999999999999</v>
      </c>
      <c r="AX40" s="146">
        <f t="shared" si="19"/>
        <v>1038.5</v>
      </c>
      <c r="AY40" s="146">
        <f t="shared" si="20"/>
        <v>1283.3999999999999</v>
      </c>
      <c r="AZ40" s="146">
        <f t="shared" si="9"/>
        <v>-218.5999999999999</v>
      </c>
    </row>
    <row r="41" spans="1:52" s="177" customFormat="1" ht="34.5" customHeight="1">
      <c r="A41" s="152">
        <v>30</v>
      </c>
      <c r="B41" s="199" t="s">
        <v>57</v>
      </c>
      <c r="C41" s="167">
        <v>-568.6</v>
      </c>
      <c r="D41" s="168">
        <v>1239.8</v>
      </c>
      <c r="E41" s="168">
        <v>54.3</v>
      </c>
      <c r="F41" s="166">
        <f t="shared" si="1"/>
        <v>4.37973866752702</v>
      </c>
      <c r="G41" s="168">
        <v>965.1</v>
      </c>
      <c r="H41" s="168">
        <v>816.3</v>
      </c>
      <c r="I41" s="166">
        <f t="shared" si="2"/>
        <v>84.58190861050667</v>
      </c>
      <c r="J41" s="168">
        <v>784</v>
      </c>
      <c r="K41" s="168">
        <v>858.8</v>
      </c>
      <c r="L41" s="144">
        <f t="shared" si="3"/>
        <v>109.5408163265306</v>
      </c>
      <c r="M41" s="168">
        <f t="shared" si="26"/>
        <v>2988.9</v>
      </c>
      <c r="N41" s="168">
        <f t="shared" si="27"/>
        <v>1729.3999999999999</v>
      </c>
      <c r="O41" s="144">
        <f t="shared" si="12"/>
        <v>57.86075144702064</v>
      </c>
      <c r="P41" s="168">
        <v>156.7</v>
      </c>
      <c r="Q41" s="168">
        <v>831.2</v>
      </c>
      <c r="R41" s="144">
        <f t="shared" si="4"/>
        <v>530.4403318442885</v>
      </c>
      <c r="S41" s="168">
        <v>0</v>
      </c>
      <c r="T41" s="168">
        <v>75.4</v>
      </c>
      <c r="U41" s="144" t="e">
        <f t="shared" si="5"/>
        <v>#DIV/0!</v>
      </c>
      <c r="V41" s="168">
        <v>0</v>
      </c>
      <c r="W41" s="168">
        <v>0</v>
      </c>
      <c r="X41" s="144" t="e">
        <f t="shared" si="6"/>
        <v>#DIV/0!</v>
      </c>
      <c r="Y41" s="168">
        <f t="shared" si="28"/>
        <v>156.7</v>
      </c>
      <c r="Z41" s="168">
        <f t="shared" si="28"/>
        <v>906.6</v>
      </c>
      <c r="AA41" s="144"/>
      <c r="AB41" s="168">
        <v>0</v>
      </c>
      <c r="AC41" s="168">
        <v>0</v>
      </c>
      <c r="AD41" s="176"/>
      <c r="AE41" s="168">
        <v>0</v>
      </c>
      <c r="AF41" s="168">
        <v>0</v>
      </c>
      <c r="AG41" s="169"/>
      <c r="AH41" s="168">
        <v>0</v>
      </c>
      <c r="AI41" s="168">
        <v>0</v>
      </c>
      <c r="AJ41" s="168">
        <f t="shared" si="13"/>
        <v>0</v>
      </c>
      <c r="AK41" s="168">
        <f t="shared" si="14"/>
        <v>0</v>
      </c>
      <c r="AL41" s="169" t="e">
        <f t="shared" si="22"/>
        <v>#DIV/0!</v>
      </c>
      <c r="AM41" s="168">
        <v>129.7</v>
      </c>
      <c r="AN41" s="168">
        <v>65.5</v>
      </c>
      <c r="AO41" s="168"/>
      <c r="AP41" s="168"/>
      <c r="AQ41" s="168"/>
      <c r="AR41" s="168"/>
      <c r="AS41" s="168">
        <f t="shared" si="23"/>
        <v>3275.2999999999997</v>
      </c>
      <c r="AT41" s="168">
        <f t="shared" si="23"/>
        <v>2701.5</v>
      </c>
      <c r="AU41" s="166">
        <f t="shared" si="29"/>
        <v>82.48099410741001</v>
      </c>
      <c r="AV41" s="144">
        <f t="shared" si="24"/>
        <v>573.7999999999997</v>
      </c>
      <c r="AW41" s="170">
        <f t="shared" si="25"/>
        <v>5.199999999999818</v>
      </c>
      <c r="AX41" s="146">
        <f t="shared" si="19"/>
        <v>3275.2999999999997</v>
      </c>
      <c r="AY41" s="146">
        <f t="shared" si="20"/>
        <v>2701.5</v>
      </c>
      <c r="AZ41" s="146">
        <f t="shared" si="9"/>
        <v>5.199999999999818</v>
      </c>
    </row>
    <row r="42" spans="1:52" ht="34.5" customHeight="1">
      <c r="A42" s="152">
        <v>31</v>
      </c>
      <c r="B42" s="199" t="s">
        <v>58</v>
      </c>
      <c r="C42" s="174">
        <v>0</v>
      </c>
      <c r="D42" s="175"/>
      <c r="E42" s="175"/>
      <c r="F42" s="169" t="e">
        <f t="shared" si="1"/>
        <v>#DIV/0!</v>
      </c>
      <c r="G42" s="168"/>
      <c r="H42" s="168"/>
      <c r="I42" s="169" t="e">
        <f t="shared" si="2"/>
        <v>#DIV/0!</v>
      </c>
      <c r="J42" s="168"/>
      <c r="K42" s="168"/>
      <c r="L42" s="169" t="e">
        <f t="shared" si="3"/>
        <v>#DIV/0!</v>
      </c>
      <c r="M42" s="176">
        <f t="shared" si="26"/>
        <v>0</v>
      </c>
      <c r="N42" s="176">
        <f t="shared" si="27"/>
        <v>0</v>
      </c>
      <c r="O42" s="169" t="e">
        <f t="shared" si="12"/>
        <v>#DIV/0!</v>
      </c>
      <c r="P42" s="176"/>
      <c r="Q42" s="176"/>
      <c r="R42" s="169" t="e">
        <f t="shared" si="4"/>
        <v>#DIV/0!</v>
      </c>
      <c r="S42" s="168"/>
      <c r="T42" s="168"/>
      <c r="U42" s="144" t="e">
        <f t="shared" si="5"/>
        <v>#DIV/0!</v>
      </c>
      <c r="V42" s="168"/>
      <c r="W42" s="168"/>
      <c r="X42" s="144" t="e">
        <f t="shared" si="6"/>
        <v>#DIV/0!</v>
      </c>
      <c r="Y42" s="168"/>
      <c r="Z42" s="168"/>
      <c r="AA42" s="144"/>
      <c r="AB42" s="168"/>
      <c r="AC42" s="168"/>
      <c r="AD42" s="176" t="e">
        <f>AC42/AB42*100</f>
        <v>#DIV/0!</v>
      </c>
      <c r="AE42" s="168"/>
      <c r="AF42" s="168"/>
      <c r="AG42" s="169" t="e">
        <f>AF42/AE42*100</f>
        <v>#DIV/0!</v>
      </c>
      <c r="AH42" s="168"/>
      <c r="AI42" s="168"/>
      <c r="AJ42" s="176">
        <f t="shared" si="13"/>
        <v>0</v>
      </c>
      <c r="AK42" s="176">
        <f t="shared" si="14"/>
        <v>0</v>
      </c>
      <c r="AL42" s="144"/>
      <c r="AM42" s="168"/>
      <c r="AN42" s="168"/>
      <c r="AO42" s="168"/>
      <c r="AP42" s="168"/>
      <c r="AQ42" s="168"/>
      <c r="AR42" s="168"/>
      <c r="AS42" s="168"/>
      <c r="AT42" s="168"/>
      <c r="AU42" s="144"/>
      <c r="AV42" s="144"/>
      <c r="AW42" s="170"/>
      <c r="AX42" s="146">
        <f t="shared" si="19"/>
        <v>0</v>
      </c>
      <c r="AY42" s="146">
        <f t="shared" si="20"/>
        <v>0</v>
      </c>
      <c r="AZ42" s="146">
        <f t="shared" si="9"/>
        <v>0</v>
      </c>
    </row>
    <row r="43" spans="1:52" s="177" customFormat="1" ht="34.5" customHeight="1">
      <c r="A43" s="152">
        <v>32</v>
      </c>
      <c r="B43" s="171" t="s">
        <v>59</v>
      </c>
      <c r="C43" s="174"/>
      <c r="D43" s="175"/>
      <c r="E43" s="175"/>
      <c r="F43" s="169" t="e">
        <f t="shared" si="1"/>
        <v>#DIV/0!</v>
      </c>
      <c r="G43" s="168"/>
      <c r="H43" s="168"/>
      <c r="I43" s="169" t="e">
        <f t="shared" si="2"/>
        <v>#DIV/0!</v>
      </c>
      <c r="J43" s="168"/>
      <c r="K43" s="168"/>
      <c r="L43" s="169" t="e">
        <f t="shared" si="3"/>
        <v>#DIV/0!</v>
      </c>
      <c r="M43" s="176">
        <f t="shared" si="26"/>
        <v>0</v>
      </c>
      <c r="N43" s="176">
        <f t="shared" si="27"/>
        <v>0</v>
      </c>
      <c r="O43" s="169" t="e">
        <f t="shared" si="12"/>
        <v>#DIV/0!</v>
      </c>
      <c r="P43" s="176"/>
      <c r="Q43" s="176"/>
      <c r="R43" s="169" t="e">
        <f t="shared" si="4"/>
        <v>#DIV/0!</v>
      </c>
      <c r="S43" s="168"/>
      <c r="T43" s="168"/>
      <c r="U43" s="144" t="e">
        <f t="shared" si="5"/>
        <v>#DIV/0!</v>
      </c>
      <c r="V43" s="168"/>
      <c r="W43" s="168"/>
      <c r="X43" s="144" t="e">
        <f t="shared" si="6"/>
        <v>#DIV/0!</v>
      </c>
      <c r="Y43" s="168"/>
      <c r="Z43" s="168"/>
      <c r="AA43" s="144"/>
      <c r="AB43" s="168"/>
      <c r="AC43" s="168"/>
      <c r="AD43" s="168"/>
      <c r="AE43" s="168"/>
      <c r="AF43" s="168"/>
      <c r="AG43" s="169" t="e">
        <f>AF43/AE43*100</f>
        <v>#DIV/0!</v>
      </c>
      <c r="AH43" s="168"/>
      <c r="AI43" s="168"/>
      <c r="AJ43" s="176">
        <f t="shared" si="13"/>
        <v>0</v>
      </c>
      <c r="AK43" s="176">
        <f t="shared" si="14"/>
        <v>0</v>
      </c>
      <c r="AL43" s="144"/>
      <c r="AM43" s="168"/>
      <c r="AN43" s="168"/>
      <c r="AO43" s="168"/>
      <c r="AP43" s="168"/>
      <c r="AQ43" s="168"/>
      <c r="AR43" s="168"/>
      <c r="AS43" s="168"/>
      <c r="AT43" s="168"/>
      <c r="AU43" s="144"/>
      <c r="AV43" s="144"/>
      <c r="AW43" s="170"/>
      <c r="AX43" s="146">
        <f t="shared" si="19"/>
        <v>0</v>
      </c>
      <c r="AY43" s="146">
        <f t="shared" si="20"/>
        <v>0</v>
      </c>
      <c r="AZ43" s="146">
        <f t="shared" si="9"/>
        <v>0</v>
      </c>
    </row>
    <row r="44" spans="1:52" s="177" customFormat="1" ht="34.5" customHeight="1">
      <c r="A44" s="152">
        <v>33</v>
      </c>
      <c r="B44" s="199" t="s">
        <v>60</v>
      </c>
      <c r="C44" s="167">
        <v>244</v>
      </c>
      <c r="D44" s="168">
        <v>615.8</v>
      </c>
      <c r="E44" s="168">
        <v>0</v>
      </c>
      <c r="F44" s="166">
        <f t="shared" si="1"/>
        <v>0</v>
      </c>
      <c r="G44" s="168">
        <v>483.3</v>
      </c>
      <c r="H44" s="168">
        <v>858.4</v>
      </c>
      <c r="I44" s="166">
        <f t="shared" si="2"/>
        <v>177.612249120629</v>
      </c>
      <c r="J44" s="168">
        <v>399.8</v>
      </c>
      <c r="K44" s="168">
        <v>1082.5</v>
      </c>
      <c r="L44" s="144">
        <f t="shared" si="3"/>
        <v>270.760380190095</v>
      </c>
      <c r="M44" s="168">
        <f t="shared" si="26"/>
        <v>1498.8999999999999</v>
      </c>
      <c r="N44" s="168">
        <f t="shared" si="27"/>
        <v>1940.9</v>
      </c>
      <c r="O44" s="144">
        <f t="shared" si="12"/>
        <v>129.4882914137034</v>
      </c>
      <c r="P44" s="168">
        <v>92.9</v>
      </c>
      <c r="Q44" s="168">
        <v>139.4</v>
      </c>
      <c r="R44" s="144">
        <f t="shared" si="4"/>
        <v>150.05382131324004</v>
      </c>
      <c r="S44" s="168">
        <v>53.9</v>
      </c>
      <c r="T44" s="168">
        <v>50.2</v>
      </c>
      <c r="U44" s="144">
        <f t="shared" si="5"/>
        <v>93.13543599257885</v>
      </c>
      <c r="V44" s="168">
        <v>53.9</v>
      </c>
      <c r="W44" s="168">
        <v>4</v>
      </c>
      <c r="X44" s="144">
        <f t="shared" si="6"/>
        <v>7.421150278293136</v>
      </c>
      <c r="Y44" s="168">
        <f>P44+S44+V44</f>
        <v>200.70000000000002</v>
      </c>
      <c r="Z44" s="168">
        <f>Q44+T44+W44</f>
        <v>193.60000000000002</v>
      </c>
      <c r="AA44" s="144">
        <f>Z44/Y44*100</f>
        <v>96.4623816641754</v>
      </c>
      <c r="AB44" s="168">
        <v>53.9</v>
      </c>
      <c r="AC44" s="168">
        <v>23.6</v>
      </c>
      <c r="AD44" s="144">
        <f>AC44/AB44*100</f>
        <v>43.7847866419295</v>
      </c>
      <c r="AE44" s="168">
        <v>53.9</v>
      </c>
      <c r="AF44" s="168">
        <v>26.6</v>
      </c>
      <c r="AG44" s="169"/>
      <c r="AH44" s="168">
        <v>53.9</v>
      </c>
      <c r="AI44" s="168">
        <v>4</v>
      </c>
      <c r="AJ44" s="168">
        <f t="shared" si="13"/>
        <v>161.7</v>
      </c>
      <c r="AK44" s="168">
        <f t="shared" si="14"/>
        <v>54.2</v>
      </c>
      <c r="AL44" s="144">
        <f>AK44/AJ44*100</f>
        <v>33.51886209029066</v>
      </c>
      <c r="AM44" s="168">
        <v>77.1</v>
      </c>
      <c r="AN44" s="168">
        <v>4</v>
      </c>
      <c r="AO44" s="168"/>
      <c r="AP44" s="168"/>
      <c r="AQ44" s="168"/>
      <c r="AR44" s="168"/>
      <c r="AS44" s="168">
        <f>M44+Y44+AJ44+AM44+AO44+AQ44</f>
        <v>1938.3999999999999</v>
      </c>
      <c r="AT44" s="168">
        <f>N44+Z44+AK44+AN44+AP44+AR44</f>
        <v>2192.7</v>
      </c>
      <c r="AU44" s="144">
        <f t="shared" si="29"/>
        <v>113.11906727197689</v>
      </c>
      <c r="AV44" s="144">
        <f>AS44-AT44</f>
        <v>-254.29999999999995</v>
      </c>
      <c r="AW44" s="170">
        <f>C44+AS44-AT44</f>
        <v>-10.300000000000182</v>
      </c>
      <c r="AX44" s="146">
        <f t="shared" si="19"/>
        <v>1938.3999999999999</v>
      </c>
      <c r="AY44" s="146">
        <f t="shared" si="20"/>
        <v>2192.7</v>
      </c>
      <c r="AZ44" s="146">
        <f t="shared" si="9"/>
        <v>-10.300000000000182</v>
      </c>
    </row>
    <row r="45" spans="1:52" s="158" customFormat="1" ht="34.5" customHeight="1">
      <c r="A45" s="153">
        <v>34</v>
      </c>
      <c r="B45" s="200" t="s">
        <v>61</v>
      </c>
      <c r="C45" s="192">
        <f>C46+C47</f>
        <v>-3467</v>
      </c>
      <c r="D45" s="192">
        <f>D46+D47</f>
        <v>21967.6</v>
      </c>
      <c r="E45" s="192">
        <f>E46+E47</f>
        <v>1527</v>
      </c>
      <c r="F45" s="166">
        <f t="shared" si="1"/>
        <v>6.9511462335439465</v>
      </c>
      <c r="G45" s="192">
        <f>G46+G47</f>
        <v>20337.4</v>
      </c>
      <c r="H45" s="192">
        <f>H46+H47</f>
        <v>20534.6</v>
      </c>
      <c r="I45" s="166">
        <f t="shared" si="2"/>
        <v>100.96964213714632</v>
      </c>
      <c r="J45" s="192">
        <f>J46+J47</f>
        <v>16275.4</v>
      </c>
      <c r="K45" s="192">
        <f>K46+K47</f>
        <v>18193.8</v>
      </c>
      <c r="L45" s="144">
        <f t="shared" si="3"/>
        <v>111.78711429519397</v>
      </c>
      <c r="M45" s="192">
        <f>M46+M47</f>
        <v>58580.4</v>
      </c>
      <c r="N45" s="192">
        <f>N46+N47</f>
        <v>40255.4</v>
      </c>
      <c r="O45" s="144">
        <f t="shared" si="12"/>
        <v>68.71820608940874</v>
      </c>
      <c r="P45" s="192">
        <f>P46+P47</f>
        <v>9204.5</v>
      </c>
      <c r="Q45" s="192">
        <f>Q46+Q47</f>
        <v>16083.4</v>
      </c>
      <c r="R45" s="144">
        <f t="shared" si="4"/>
        <v>174.73409745233312</v>
      </c>
      <c r="S45" s="192">
        <f>S46+S47</f>
        <v>1529.7</v>
      </c>
      <c r="T45" s="192">
        <f>T46+T47</f>
        <v>7988.4</v>
      </c>
      <c r="U45" s="144">
        <f t="shared" si="5"/>
        <v>522.2200431457148</v>
      </c>
      <c r="V45" s="192">
        <f>V46+V47</f>
        <v>834.5</v>
      </c>
      <c r="W45" s="192">
        <f>W46+W47</f>
        <v>2806.1</v>
      </c>
      <c r="X45" s="144">
        <f t="shared" si="6"/>
        <v>336.2612342720192</v>
      </c>
      <c r="Y45" s="192">
        <f>Y46+Y47</f>
        <v>11568.7</v>
      </c>
      <c r="Z45" s="192">
        <f>Z46+Z47</f>
        <v>26877.9</v>
      </c>
      <c r="AA45" s="144">
        <f>Z45/Y45*100</f>
        <v>232.3329328273704</v>
      </c>
      <c r="AB45" s="192">
        <f>AB46+AB47</f>
        <v>600.4</v>
      </c>
      <c r="AC45" s="192">
        <f>AC46+AC47</f>
        <v>817.3</v>
      </c>
      <c r="AD45" s="165">
        <f>AC45/AB45*100</f>
        <v>136.1259160559627</v>
      </c>
      <c r="AE45" s="192">
        <f>AE46+AE47</f>
        <v>318.5</v>
      </c>
      <c r="AF45" s="192">
        <f>AF46+AF47</f>
        <v>1062.8</v>
      </c>
      <c r="AG45" s="169">
        <f>AF45/AE45*100</f>
        <v>333.68916797488225</v>
      </c>
      <c r="AH45" s="192">
        <f>AH46+AH47</f>
        <v>461.2</v>
      </c>
      <c r="AI45" s="192">
        <f>AI46+AI47</f>
        <v>700.4</v>
      </c>
      <c r="AJ45" s="192">
        <f>AJ46+AJ47</f>
        <v>1380.1</v>
      </c>
      <c r="AK45" s="192">
        <f>AK46+AK47</f>
        <v>2580.5</v>
      </c>
      <c r="AL45" s="144">
        <f>AK45/AJ45*100</f>
        <v>186.97920440547787</v>
      </c>
      <c r="AM45" s="192">
        <f aca="true" t="shared" si="30" ref="AM45:AT45">AM46+AM47</f>
        <v>2162.3</v>
      </c>
      <c r="AN45" s="192">
        <f t="shared" si="30"/>
        <v>1606.8</v>
      </c>
      <c r="AO45" s="192">
        <f t="shared" si="30"/>
        <v>0</v>
      </c>
      <c r="AP45" s="192">
        <f t="shared" si="30"/>
        <v>0</v>
      </c>
      <c r="AQ45" s="192">
        <f>AQ46+AQ47</f>
        <v>0</v>
      </c>
      <c r="AR45" s="192">
        <f>AR46+AR47</f>
        <v>0</v>
      </c>
      <c r="AS45" s="192">
        <f t="shared" si="30"/>
        <v>73691.5</v>
      </c>
      <c r="AT45" s="192">
        <f t="shared" si="30"/>
        <v>71320.6</v>
      </c>
      <c r="AU45" s="144">
        <f t="shared" si="29"/>
        <v>96.78266828603029</v>
      </c>
      <c r="AV45" s="201">
        <f>AV46+AV47</f>
        <v>2370.9000000000005</v>
      </c>
      <c r="AW45" s="201">
        <f>AW46+AW47</f>
        <v>-1096.0999999999995</v>
      </c>
      <c r="AX45" s="146">
        <f t="shared" si="19"/>
        <v>73691.50000000001</v>
      </c>
      <c r="AY45" s="146">
        <f t="shared" si="20"/>
        <v>71320.6</v>
      </c>
      <c r="AZ45" s="146">
        <f t="shared" si="9"/>
        <v>-1096.0999999999913</v>
      </c>
    </row>
    <row r="46" spans="1:52" s="158" customFormat="1" ht="34.5" customHeight="1">
      <c r="A46" s="153"/>
      <c r="B46" s="143" t="s">
        <v>66</v>
      </c>
      <c r="C46" s="167">
        <v>-3467</v>
      </c>
      <c r="D46" s="168">
        <v>20477</v>
      </c>
      <c r="E46" s="168">
        <v>1386</v>
      </c>
      <c r="F46" s="166">
        <f t="shared" si="1"/>
        <v>6.7685696146896515</v>
      </c>
      <c r="G46" s="168">
        <v>18802</v>
      </c>
      <c r="H46" s="168">
        <v>19277</v>
      </c>
      <c r="I46" s="166">
        <f t="shared" si="2"/>
        <v>102.5263269864908</v>
      </c>
      <c r="J46" s="168">
        <v>14957</v>
      </c>
      <c r="K46" s="168">
        <v>16334</v>
      </c>
      <c r="L46" s="144">
        <f t="shared" si="3"/>
        <v>109.20639165608077</v>
      </c>
      <c r="M46" s="168">
        <f>D46+G46+J46</f>
        <v>54236</v>
      </c>
      <c r="N46" s="168">
        <f>E46+H46+K46</f>
        <v>36997</v>
      </c>
      <c r="O46" s="144">
        <f t="shared" si="12"/>
        <v>68.21483885242274</v>
      </c>
      <c r="P46" s="168">
        <v>8691</v>
      </c>
      <c r="Q46" s="168">
        <v>14881</v>
      </c>
      <c r="R46" s="144">
        <f t="shared" si="4"/>
        <v>171.22310436083305</v>
      </c>
      <c r="S46" s="168">
        <v>1387</v>
      </c>
      <c r="T46" s="168">
        <v>7577</v>
      </c>
      <c r="U46" s="144">
        <f t="shared" si="5"/>
        <v>546.2869502523432</v>
      </c>
      <c r="V46" s="168">
        <v>716</v>
      </c>
      <c r="W46" s="168">
        <v>2664</v>
      </c>
      <c r="X46" s="144">
        <f t="shared" si="6"/>
        <v>372.0670391061453</v>
      </c>
      <c r="Y46" s="168">
        <f>P46+S46+V46</f>
        <v>10794</v>
      </c>
      <c r="Z46" s="168">
        <f>Q46+T46+W46</f>
        <v>25122</v>
      </c>
      <c r="AA46" s="144">
        <f>Z46/Y46*100</f>
        <v>232.74041133963314</v>
      </c>
      <c r="AB46" s="168">
        <v>459</v>
      </c>
      <c r="AC46" s="168">
        <v>700</v>
      </c>
      <c r="AD46" s="144">
        <f>AC46/AB46*100</f>
        <v>152.5054466230937</v>
      </c>
      <c r="AE46" s="172">
        <v>265</v>
      </c>
      <c r="AF46" s="172">
        <v>934</v>
      </c>
      <c r="AG46" s="169"/>
      <c r="AH46" s="172">
        <v>343</v>
      </c>
      <c r="AI46" s="172">
        <v>637</v>
      </c>
      <c r="AJ46" s="168">
        <f>AB46+AE46+AH46</f>
        <v>1067</v>
      </c>
      <c r="AK46" s="168">
        <f>AC46+AF46+AI46</f>
        <v>2271</v>
      </c>
      <c r="AL46" s="144">
        <f>AK46/AJ46*100</f>
        <v>212.8397375820056</v>
      </c>
      <c r="AM46" s="172">
        <v>1768</v>
      </c>
      <c r="AN46" s="172">
        <v>1471</v>
      </c>
      <c r="AO46" s="172"/>
      <c r="AP46" s="172"/>
      <c r="AQ46" s="172"/>
      <c r="AR46" s="172"/>
      <c r="AS46" s="168">
        <f>M46+Y46+AJ46+AM46+AO46+AQ46</f>
        <v>67865</v>
      </c>
      <c r="AT46" s="168">
        <f>N46+Z46+AK46+AN46+AP46+AR46</f>
        <v>65861</v>
      </c>
      <c r="AU46" s="168">
        <f t="shared" si="29"/>
        <v>97.04707875930156</v>
      </c>
      <c r="AV46" s="144">
        <f>AS46-AT46</f>
        <v>2004</v>
      </c>
      <c r="AW46" s="170">
        <f>C46+AS46-AT46</f>
        <v>-1463</v>
      </c>
      <c r="AX46" s="146">
        <f t="shared" si="19"/>
        <v>67865</v>
      </c>
      <c r="AY46" s="146">
        <f t="shared" si="20"/>
        <v>65861</v>
      </c>
      <c r="AZ46" s="146">
        <f t="shared" si="9"/>
        <v>-1463</v>
      </c>
    </row>
    <row r="47" spans="1:52" s="158" customFormat="1" ht="34.5" customHeight="1">
      <c r="A47" s="153"/>
      <c r="B47" s="143" t="s">
        <v>67</v>
      </c>
      <c r="C47" s="167">
        <v>0</v>
      </c>
      <c r="D47" s="168">
        <v>1490.6</v>
      </c>
      <c r="E47" s="168">
        <v>141</v>
      </c>
      <c r="F47" s="166">
        <v>9.5</v>
      </c>
      <c r="G47" s="172">
        <v>1535.4</v>
      </c>
      <c r="H47" s="172">
        <v>1257.6</v>
      </c>
      <c r="I47" s="166">
        <f t="shared" si="2"/>
        <v>81.90699491989058</v>
      </c>
      <c r="J47" s="172">
        <v>1318.4</v>
      </c>
      <c r="K47" s="172">
        <v>1859.8</v>
      </c>
      <c r="L47" s="144">
        <f>K47/J47*100</f>
        <v>141.06492718446603</v>
      </c>
      <c r="M47" s="168">
        <f>D47+G47+J47</f>
        <v>4344.4</v>
      </c>
      <c r="N47" s="168">
        <f>E47+H47+K47</f>
        <v>3258.3999999999996</v>
      </c>
      <c r="O47" s="144">
        <f t="shared" si="12"/>
        <v>75.00230181382929</v>
      </c>
      <c r="P47" s="172">
        <v>513.5</v>
      </c>
      <c r="Q47" s="172">
        <v>1202.4</v>
      </c>
      <c r="R47" s="144">
        <f t="shared" si="4"/>
        <v>234.15774099318406</v>
      </c>
      <c r="S47" s="172">
        <v>142.7</v>
      </c>
      <c r="T47" s="172">
        <v>411.4</v>
      </c>
      <c r="U47" s="144">
        <f t="shared" si="5"/>
        <v>288.2971268395235</v>
      </c>
      <c r="V47" s="172">
        <v>118.5</v>
      </c>
      <c r="W47" s="172">
        <v>142.1</v>
      </c>
      <c r="X47" s="144">
        <f t="shared" si="6"/>
        <v>119.91561181434598</v>
      </c>
      <c r="Y47" s="168">
        <f>P47+S47+V47</f>
        <v>774.7</v>
      </c>
      <c r="Z47" s="168">
        <f>Q47+T47+W47</f>
        <v>1755.9</v>
      </c>
      <c r="AA47" s="144"/>
      <c r="AB47" s="172">
        <v>141.4</v>
      </c>
      <c r="AC47" s="172">
        <v>117.3</v>
      </c>
      <c r="AD47" s="144">
        <f>AC47/AB47*100</f>
        <v>82.95615275813294</v>
      </c>
      <c r="AE47" s="172">
        <v>53.5</v>
      </c>
      <c r="AF47" s="172">
        <v>128.8</v>
      </c>
      <c r="AG47" s="202"/>
      <c r="AH47" s="172">
        <v>118.2</v>
      </c>
      <c r="AI47" s="172">
        <v>63.4</v>
      </c>
      <c r="AJ47" s="168">
        <f>AB47+AE47+AH47</f>
        <v>313.1</v>
      </c>
      <c r="AK47" s="168">
        <f>AC47+AF47+AI47</f>
        <v>309.5</v>
      </c>
      <c r="AL47" s="144">
        <f>AK47/AJ47*100</f>
        <v>98.85020760140529</v>
      </c>
      <c r="AM47" s="172">
        <v>394.3</v>
      </c>
      <c r="AN47" s="172">
        <v>135.8</v>
      </c>
      <c r="AO47" s="172"/>
      <c r="AP47" s="172"/>
      <c r="AQ47" s="172"/>
      <c r="AR47" s="172"/>
      <c r="AS47" s="168">
        <f>M47+Y47+AJ47+AM47+AO47+AQ47</f>
        <v>5826.5</v>
      </c>
      <c r="AT47" s="168">
        <f>N47+Z47+AK47+AN47+AP47+AR47</f>
        <v>5459.599999999999</v>
      </c>
      <c r="AU47" s="168">
        <f>AT47/AS47*100</f>
        <v>93.70290912211446</v>
      </c>
      <c r="AV47" s="144">
        <f>AS47-AT47</f>
        <v>366.90000000000055</v>
      </c>
      <c r="AW47" s="170">
        <f>C47+AS47-AT47</f>
        <v>366.90000000000055</v>
      </c>
      <c r="AX47" s="146">
        <f t="shared" si="19"/>
        <v>5826.5</v>
      </c>
      <c r="AY47" s="146">
        <f t="shared" si="20"/>
        <v>5459.599999999999</v>
      </c>
      <c r="AZ47" s="146">
        <f t="shared" si="9"/>
        <v>366.90000000000055</v>
      </c>
    </row>
    <row r="48" spans="1:52" s="158" customFormat="1" ht="34.5" customHeight="1">
      <c r="A48" s="153"/>
      <c r="B48" s="200" t="s">
        <v>62</v>
      </c>
      <c r="C48" s="192">
        <f>C7+C45</f>
        <v>-5518.5</v>
      </c>
      <c r="D48" s="192">
        <f>D7+D45</f>
        <v>33192.6</v>
      </c>
      <c r="E48" s="192">
        <f>E7+E45</f>
        <v>4646.2</v>
      </c>
      <c r="F48" s="166">
        <v>9.5</v>
      </c>
      <c r="G48" s="192">
        <f>G7+G45</f>
        <v>29380.800000000003</v>
      </c>
      <c r="H48" s="192">
        <f>H7+H45</f>
        <v>30590.1</v>
      </c>
      <c r="I48" s="166">
        <f t="shared" si="2"/>
        <v>104.11595327560855</v>
      </c>
      <c r="J48" s="192">
        <f>J7+J45</f>
        <v>24141.699999999997</v>
      </c>
      <c r="K48" s="192">
        <f>K7+K45</f>
        <v>28832.499999999996</v>
      </c>
      <c r="L48" s="144">
        <f t="shared" si="3"/>
        <v>119.4302803862197</v>
      </c>
      <c r="M48" s="192">
        <f>M7+M45</f>
        <v>86715.1</v>
      </c>
      <c r="N48" s="192">
        <f>N7+N45</f>
        <v>64068.8</v>
      </c>
      <c r="O48" s="144">
        <f t="shared" si="12"/>
        <v>73.88424853341574</v>
      </c>
      <c r="P48" s="192">
        <f>P7+P45</f>
        <v>11153.619999999999</v>
      </c>
      <c r="Q48" s="192">
        <f>Q7+Q45</f>
        <v>20909.59</v>
      </c>
      <c r="R48" s="144">
        <f t="shared" si="4"/>
        <v>187.46909075259873</v>
      </c>
      <c r="S48" s="192">
        <f>S7+S45</f>
        <v>2053.7</v>
      </c>
      <c r="T48" s="192">
        <f>T7+T45</f>
        <v>8854.9</v>
      </c>
      <c r="U48" s="144">
        <f t="shared" si="5"/>
        <v>431.1681355602084</v>
      </c>
      <c r="V48" s="192">
        <f>V7+V45</f>
        <v>1334.9</v>
      </c>
      <c r="W48" s="192">
        <f>W7+W45</f>
        <v>3268.4</v>
      </c>
      <c r="X48" s="144">
        <f t="shared" si="6"/>
        <v>244.8423102854146</v>
      </c>
      <c r="Y48" s="192">
        <f>Y7+Y45</f>
        <v>14542.220000000001</v>
      </c>
      <c r="Z48" s="192">
        <f>Z7+Z45</f>
        <v>33032.89</v>
      </c>
      <c r="AA48" s="144">
        <f>Z48/Y48*100</f>
        <v>227.15163159407572</v>
      </c>
      <c r="AB48" s="192">
        <f aca="true" t="shared" si="31" ref="AB48:AI48">AB7+AB45</f>
        <v>1295.8999999999999</v>
      </c>
      <c r="AC48" s="192">
        <f t="shared" si="31"/>
        <v>1592.5</v>
      </c>
      <c r="AD48" s="192">
        <f t="shared" si="31"/>
        <v>247.5852977957183</v>
      </c>
      <c r="AE48" s="192">
        <f t="shared" si="31"/>
        <v>1012.3000000000001</v>
      </c>
      <c r="AF48" s="192">
        <f t="shared" si="31"/>
        <v>1570.1999999999998</v>
      </c>
      <c r="AG48" s="192" t="e">
        <f t="shared" si="31"/>
        <v>#DIV/0!</v>
      </c>
      <c r="AH48" s="192">
        <f t="shared" si="31"/>
        <v>1160.8</v>
      </c>
      <c r="AI48" s="192">
        <f t="shared" si="31"/>
        <v>1372.7</v>
      </c>
      <c r="AJ48" s="192">
        <f>AJ7+AJ45</f>
        <v>3468.9999999999995</v>
      </c>
      <c r="AK48" s="192">
        <f>AK7+AK45</f>
        <v>4535.4</v>
      </c>
      <c r="AL48" s="192" t="e">
        <f>AL7+AL45</f>
        <v>#DIV/0!</v>
      </c>
      <c r="AM48" s="192">
        <f>AM7+AM45</f>
        <v>4231.3</v>
      </c>
      <c r="AN48" s="192">
        <f>AN7+AN45</f>
        <v>3916.2</v>
      </c>
      <c r="AO48" s="192">
        <f aca="true" t="shared" si="32" ref="AJ48:AR48">AO7+AO45-AO32</f>
        <v>0</v>
      </c>
      <c r="AP48" s="192">
        <f t="shared" si="32"/>
        <v>0</v>
      </c>
      <c r="AQ48" s="192">
        <f t="shared" si="32"/>
        <v>0</v>
      </c>
      <c r="AR48" s="192">
        <f t="shared" si="32"/>
        <v>0</v>
      </c>
      <c r="AS48" s="192">
        <f>AS7+AS45</f>
        <v>108957.62</v>
      </c>
      <c r="AT48" s="192">
        <f>AT7+AT45</f>
        <v>105553.29000000001</v>
      </c>
      <c r="AU48" s="168">
        <f>AT48/AS48*100</f>
        <v>96.87554665749859</v>
      </c>
      <c r="AV48" s="192">
        <f>AV7+AV45</f>
        <v>3404.330000000001</v>
      </c>
      <c r="AW48" s="192">
        <f>AW7+AW45</f>
        <v>-2114.1699999999996</v>
      </c>
      <c r="AX48" s="146">
        <f t="shared" si="19"/>
        <v>108957.62000000001</v>
      </c>
      <c r="AY48" s="146">
        <f t="shared" si="20"/>
        <v>105553.29</v>
      </c>
      <c r="AZ48" s="146">
        <f t="shared" si="9"/>
        <v>-2114.1699999999837</v>
      </c>
    </row>
    <row r="49" spans="1:49" s="206" customFormat="1" ht="65.25" customHeight="1">
      <c r="A49" s="251" t="s">
        <v>68</v>
      </c>
      <c r="B49" s="251"/>
      <c r="C49" s="251"/>
      <c r="D49" s="203"/>
      <c r="E49" s="203"/>
      <c r="F49" s="203"/>
      <c r="G49" s="204"/>
      <c r="H49" s="204"/>
      <c r="I49" s="205"/>
      <c r="J49" s="204"/>
      <c r="K49" s="204"/>
      <c r="L49" s="205"/>
      <c r="M49" s="205"/>
      <c r="N49" s="205"/>
      <c r="O49" s="205"/>
      <c r="P49" s="204"/>
      <c r="Q49" s="204"/>
      <c r="R49" s="205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4"/>
      <c r="AT49" s="204"/>
      <c r="AU49" s="205"/>
      <c r="AV49" s="204"/>
      <c r="AW49" s="204" t="s">
        <v>69</v>
      </c>
    </row>
    <row r="50" spans="1:49" s="158" customFormat="1" ht="18.75" customHeight="1" hidden="1">
      <c r="A50" s="153"/>
      <c r="B50" s="158" t="s">
        <v>14</v>
      </c>
      <c r="C50" s="207"/>
      <c r="D50" s="208"/>
      <c r="E50" s="208"/>
      <c r="F50" s="208"/>
      <c r="G50" s="209"/>
      <c r="H50" s="209"/>
      <c r="I50" s="210"/>
      <c r="J50" s="209"/>
      <c r="K50" s="209"/>
      <c r="L50" s="210"/>
      <c r="M50" s="210"/>
      <c r="N50" s="210"/>
      <c r="O50" s="210"/>
      <c r="P50" s="209"/>
      <c r="Q50" s="209"/>
      <c r="R50" s="210"/>
      <c r="S50" s="209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09"/>
      <c r="AT50" s="209"/>
      <c r="AU50" s="210"/>
      <c r="AV50" s="209"/>
      <c r="AW50" s="209"/>
    </row>
    <row r="51" spans="1:49" s="158" customFormat="1" ht="15.75" customHeight="1" hidden="1">
      <c r="A51" s="154"/>
      <c r="C51" s="207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12"/>
    </row>
    <row r="52" spans="1:49" s="158" customFormat="1" ht="18.75" customHeight="1" hidden="1">
      <c r="A52" s="153"/>
      <c r="B52" s="158" t="s">
        <v>15</v>
      </c>
      <c r="C52" s="207"/>
      <c r="D52" s="21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2"/>
    </row>
    <row r="53" spans="1:49" s="217" customFormat="1" ht="43.5" customHeight="1">
      <c r="A53" s="155"/>
      <c r="B53" s="254" t="s">
        <v>19</v>
      </c>
      <c r="C53" s="254"/>
      <c r="D53" s="254"/>
      <c r="E53" s="213"/>
      <c r="F53" s="214"/>
      <c r="G53" s="215"/>
      <c r="H53" s="215"/>
      <c r="I53" s="216"/>
      <c r="J53" s="215"/>
      <c r="K53" s="215"/>
      <c r="L53" s="216"/>
      <c r="M53" s="216"/>
      <c r="N53" s="216"/>
      <c r="O53" s="216"/>
      <c r="P53" s="215"/>
      <c r="Q53" s="215"/>
      <c r="R53" s="216"/>
      <c r="S53" s="215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5"/>
      <c r="AT53" s="215"/>
      <c r="AU53" s="216"/>
      <c r="AV53" s="215"/>
      <c r="AW53" s="215"/>
    </row>
    <row r="54" spans="2:49" ht="42" customHeight="1" hidden="1">
      <c r="B54" s="253" t="s">
        <v>6</v>
      </c>
      <c r="C54" s="253"/>
      <c r="D54" s="158"/>
      <c r="E54" s="158"/>
      <c r="G54" s="218"/>
      <c r="H54" s="218"/>
      <c r="I54" s="214"/>
      <c r="J54" s="218"/>
      <c r="K54" s="218"/>
      <c r="L54" s="214"/>
      <c r="M54" s="214"/>
      <c r="N54" s="214"/>
      <c r="O54" s="214"/>
      <c r="P54" s="218"/>
      <c r="Q54" s="218"/>
      <c r="R54" s="214"/>
      <c r="S54" s="218"/>
      <c r="T54" s="218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6"/>
      <c r="AF54" s="216"/>
      <c r="AG54" s="216"/>
      <c r="AH54" s="216"/>
      <c r="AI54" s="216"/>
      <c r="AJ54" s="214"/>
      <c r="AK54" s="214"/>
      <c r="AL54" s="214"/>
      <c r="AM54" s="216"/>
      <c r="AN54" s="216"/>
      <c r="AO54" s="216"/>
      <c r="AP54" s="216"/>
      <c r="AQ54" s="216"/>
      <c r="AR54" s="216"/>
      <c r="AS54" s="213"/>
      <c r="AT54" s="213"/>
      <c r="AU54" s="214"/>
      <c r="AV54" s="218"/>
      <c r="AW54" s="219" t="s">
        <v>18</v>
      </c>
    </row>
    <row r="55" spans="1:53" ht="73.5" customHeight="1" hidden="1">
      <c r="A55" s="252" t="s">
        <v>17</v>
      </c>
      <c r="B55" s="252"/>
      <c r="C55" s="252"/>
      <c r="D55" s="220"/>
      <c r="E55" s="220"/>
      <c r="F55" s="216"/>
      <c r="G55" s="209"/>
      <c r="H55" s="209"/>
      <c r="I55" s="210"/>
      <c r="J55" s="209"/>
      <c r="K55" s="209"/>
      <c r="L55" s="210"/>
      <c r="M55" s="210"/>
      <c r="N55" s="210"/>
      <c r="O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4"/>
      <c r="AF55" s="214"/>
      <c r="AG55" s="214"/>
      <c r="AH55" s="214"/>
      <c r="AI55" s="214"/>
      <c r="AJ55" s="210"/>
      <c r="AK55" s="210"/>
      <c r="AL55" s="210"/>
      <c r="AM55" s="214"/>
      <c r="AN55" s="214"/>
      <c r="AO55" s="214"/>
      <c r="AP55" s="214"/>
      <c r="AQ55" s="214"/>
      <c r="AR55" s="214"/>
      <c r="AS55" s="209"/>
      <c r="AT55" s="209"/>
      <c r="AU55" s="210"/>
      <c r="AV55" s="209"/>
      <c r="AW55" s="209"/>
      <c r="AX55" s="215"/>
      <c r="AY55" s="215"/>
      <c r="AZ55" s="216"/>
      <c r="BA55" s="221" t="s">
        <v>16</v>
      </c>
    </row>
    <row r="56" spans="3:49" ht="45" customHeight="1">
      <c r="C56" s="222"/>
      <c r="D56" s="223"/>
      <c r="E56" s="223"/>
      <c r="F56" s="224"/>
      <c r="G56" s="168">
        <v>142.7</v>
      </c>
      <c r="H56" s="168">
        <v>103.3</v>
      </c>
      <c r="I56" s="144"/>
      <c r="J56" s="168">
        <v>142.7</v>
      </c>
      <c r="K56" s="168">
        <v>103.3</v>
      </c>
      <c r="L56" s="144"/>
      <c r="M56" s="144"/>
      <c r="N56" s="144"/>
      <c r="O56" s="144"/>
      <c r="P56" s="168">
        <v>142.7</v>
      </c>
      <c r="Q56" s="168">
        <v>103.3</v>
      </c>
      <c r="R56" s="144"/>
      <c r="S56" s="168">
        <v>142.7</v>
      </c>
      <c r="T56" s="168">
        <v>103.3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210"/>
      <c r="AF56" s="210"/>
      <c r="AG56" s="210"/>
      <c r="AH56" s="210"/>
      <c r="AI56" s="210"/>
      <c r="AJ56" s="144"/>
      <c r="AK56" s="144"/>
      <c r="AL56" s="144"/>
      <c r="AM56" s="210"/>
      <c r="AN56" s="210"/>
      <c r="AO56" s="210"/>
      <c r="AP56" s="210"/>
      <c r="AQ56" s="210"/>
      <c r="AR56" s="210"/>
      <c r="AS56" s="168">
        <v>1154.2</v>
      </c>
      <c r="AT56" s="168">
        <v>1213.3</v>
      </c>
      <c r="AU56" s="144"/>
      <c r="AV56" s="168"/>
      <c r="AW56" s="170">
        <f>C56+D56-E56</f>
        <v>0</v>
      </c>
    </row>
    <row r="57" spans="2:49" ht="18.75">
      <c r="B57" s="147" t="s">
        <v>7</v>
      </c>
      <c r="C57" s="225">
        <v>0</v>
      </c>
      <c r="D57" s="168"/>
      <c r="E57" s="168"/>
      <c r="F57" s="144"/>
      <c r="G57" s="209"/>
      <c r="H57" s="209"/>
      <c r="I57" s="210"/>
      <c r="J57" s="209"/>
      <c r="K57" s="209"/>
      <c r="L57" s="210"/>
      <c r="M57" s="210"/>
      <c r="N57" s="210"/>
      <c r="O57" s="210"/>
      <c r="P57" s="209"/>
      <c r="Q57" s="209"/>
      <c r="R57" s="210"/>
      <c r="S57" s="209"/>
      <c r="T57" s="209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44"/>
      <c r="AF57" s="144"/>
      <c r="AG57" s="144"/>
      <c r="AH57" s="208"/>
      <c r="AI57" s="208"/>
      <c r="AJ57" s="210"/>
      <c r="AK57" s="210"/>
      <c r="AL57" s="210"/>
      <c r="AM57" s="208"/>
      <c r="AN57" s="208"/>
      <c r="AO57" s="208"/>
      <c r="AP57" s="208"/>
      <c r="AQ57" s="208"/>
      <c r="AR57" s="208"/>
      <c r="AS57" s="209">
        <v>1415.7</v>
      </c>
      <c r="AT57" s="209">
        <v>1436.1</v>
      </c>
      <c r="AU57" s="210"/>
      <c r="AV57" s="209"/>
      <c r="AW57" s="170">
        <f>C57+D57-E57</f>
        <v>0</v>
      </c>
    </row>
    <row r="58" spans="2:49" ht="18.75">
      <c r="B58" s="147" t="s">
        <v>8</v>
      </c>
      <c r="C58" s="226">
        <v>-3.7</v>
      </c>
      <c r="D58" s="215">
        <v>552.6</v>
      </c>
      <c r="E58" s="215">
        <v>564.7</v>
      </c>
      <c r="F58" s="216"/>
      <c r="G58" s="209"/>
      <c r="H58" s="209"/>
      <c r="I58" s="210"/>
      <c r="J58" s="209"/>
      <c r="K58" s="209"/>
      <c r="L58" s="210"/>
      <c r="M58" s="210"/>
      <c r="N58" s="210"/>
      <c r="O58" s="210"/>
      <c r="P58" s="209"/>
      <c r="Q58" s="209"/>
      <c r="R58" s="210"/>
      <c r="S58" s="209"/>
      <c r="T58" s="209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09"/>
      <c r="AT58" s="209"/>
      <c r="AU58" s="210"/>
      <c r="AV58" s="209"/>
      <c r="AW58" s="209"/>
    </row>
    <row r="59" spans="3:49" ht="24.75" customHeight="1">
      <c r="C59" s="226"/>
      <c r="D59" s="215"/>
      <c r="E59" s="215"/>
      <c r="F59" s="216"/>
      <c r="G59" s="209"/>
      <c r="H59" s="209"/>
      <c r="I59" s="210"/>
      <c r="J59" s="209"/>
      <c r="K59" s="209"/>
      <c r="L59" s="210"/>
      <c r="M59" s="210"/>
      <c r="N59" s="210"/>
      <c r="O59" s="210"/>
      <c r="P59" s="209"/>
      <c r="Q59" s="209"/>
      <c r="R59" s="210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09"/>
      <c r="AT59" s="209"/>
      <c r="AU59" s="210"/>
      <c r="AV59" s="209"/>
      <c r="AW59" s="209"/>
    </row>
    <row r="60" spans="3:49" ht="24.75" customHeight="1">
      <c r="C60" s="226"/>
      <c r="D60" s="215"/>
      <c r="E60" s="215"/>
      <c r="F60" s="216"/>
      <c r="G60" s="209"/>
      <c r="H60" s="209"/>
      <c r="I60" s="210"/>
      <c r="J60" s="209"/>
      <c r="K60" s="209"/>
      <c r="L60" s="210"/>
      <c r="M60" s="210"/>
      <c r="N60" s="210"/>
      <c r="O60" s="210"/>
      <c r="P60" s="209"/>
      <c r="Q60" s="209"/>
      <c r="R60" s="210"/>
      <c r="S60" s="209"/>
      <c r="T60" s="209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09"/>
      <c r="AT60" s="209"/>
      <c r="AU60" s="210"/>
      <c r="AV60" s="209"/>
      <c r="AW60" s="209">
        <f>AW9+AW17+AW20+AW26+AW38+AW40+AW42</f>
        <v>-411.89999999999964</v>
      </c>
    </row>
    <row r="61" spans="2:49" ht="18.75">
      <c r="B61" s="147" t="s">
        <v>9</v>
      </c>
      <c r="C61" s="226">
        <f>C9+C17+C20+C26+C38+C40+C42</f>
        <v>-599.5</v>
      </c>
      <c r="D61" s="215"/>
      <c r="E61" s="215"/>
      <c r="F61" s="216"/>
      <c r="G61" s="209"/>
      <c r="H61" s="209"/>
      <c r="I61" s="210"/>
      <c r="J61" s="209"/>
      <c r="K61" s="209"/>
      <c r="L61" s="210"/>
      <c r="M61" s="210"/>
      <c r="N61" s="210"/>
      <c r="O61" s="210"/>
      <c r="P61" s="209"/>
      <c r="Q61" s="209"/>
      <c r="R61" s="210"/>
      <c r="S61" s="209"/>
      <c r="T61" s="209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09"/>
      <c r="AT61" s="209"/>
      <c r="AU61" s="210"/>
      <c r="AV61" s="209"/>
      <c r="AW61" s="209">
        <f>AW11+AW13+AW14+AW16+AW18+AW19+AW25</f>
        <v>26.199999999999335</v>
      </c>
    </row>
    <row r="62" spans="2:49" ht="18.75">
      <c r="B62" s="147" t="s">
        <v>10</v>
      </c>
      <c r="C62" s="226">
        <f>C11+C13+C14+C16+C18+C19+C25</f>
        <v>-23.7</v>
      </c>
      <c r="D62" s="215"/>
      <c r="E62" s="215"/>
      <c r="F62" s="216"/>
      <c r="G62" s="209"/>
      <c r="H62" s="209"/>
      <c r="I62" s="210"/>
      <c r="J62" s="209"/>
      <c r="K62" s="209"/>
      <c r="L62" s="210"/>
      <c r="M62" s="210"/>
      <c r="N62" s="210"/>
      <c r="O62" s="210"/>
      <c r="P62" s="209"/>
      <c r="Q62" s="209"/>
      <c r="R62" s="210"/>
      <c r="S62" s="209"/>
      <c r="T62" s="209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09"/>
      <c r="AT62" s="209"/>
      <c r="AU62" s="210"/>
      <c r="AV62" s="209"/>
      <c r="AW62" s="209"/>
    </row>
    <row r="63" spans="7:49" ht="24.75" customHeight="1">
      <c r="G63" s="209"/>
      <c r="H63" s="209"/>
      <c r="I63" s="210"/>
      <c r="J63" s="209"/>
      <c r="K63" s="209"/>
      <c r="L63" s="210"/>
      <c r="M63" s="210"/>
      <c r="N63" s="210"/>
      <c r="O63" s="210"/>
      <c r="P63" s="209"/>
      <c r="Q63" s="209"/>
      <c r="R63" s="210"/>
      <c r="S63" s="209"/>
      <c r="T63" s="209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09"/>
      <c r="AT63" s="209"/>
      <c r="AU63" s="210"/>
      <c r="AV63" s="209"/>
      <c r="AW63" s="209"/>
    </row>
    <row r="64" spans="7:49" ht="24.75" customHeight="1">
      <c r="G64" s="209"/>
      <c r="H64" s="209"/>
      <c r="I64" s="210"/>
      <c r="J64" s="209"/>
      <c r="K64" s="209"/>
      <c r="L64" s="210"/>
      <c r="M64" s="210"/>
      <c r="N64" s="210"/>
      <c r="O64" s="210"/>
      <c r="P64" s="209"/>
      <c r="Q64" s="209"/>
      <c r="R64" s="210"/>
      <c r="S64" s="209"/>
      <c r="T64" s="209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09"/>
      <c r="AT64" s="209"/>
      <c r="AU64" s="210"/>
      <c r="AV64" s="209"/>
      <c r="AW64" s="209"/>
    </row>
    <row r="65" spans="7:49" ht="24.75" customHeight="1">
      <c r="G65" s="209"/>
      <c r="H65" s="209"/>
      <c r="I65" s="210"/>
      <c r="J65" s="209"/>
      <c r="K65" s="209"/>
      <c r="L65" s="210"/>
      <c r="M65" s="210"/>
      <c r="N65" s="210"/>
      <c r="O65" s="210"/>
      <c r="P65" s="209"/>
      <c r="Q65" s="209"/>
      <c r="R65" s="210"/>
      <c r="S65" s="209"/>
      <c r="T65" s="209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09"/>
      <c r="AT65" s="209"/>
      <c r="AU65" s="210"/>
      <c r="AV65" s="209"/>
      <c r="AW65" s="209"/>
    </row>
    <row r="66" spans="7:49" ht="24.75" customHeight="1">
      <c r="G66" s="209"/>
      <c r="H66" s="209"/>
      <c r="I66" s="210"/>
      <c r="J66" s="209"/>
      <c r="K66" s="209"/>
      <c r="L66" s="210"/>
      <c r="M66" s="210"/>
      <c r="N66" s="210"/>
      <c r="O66" s="210"/>
      <c r="P66" s="209"/>
      <c r="Q66" s="209"/>
      <c r="R66" s="210"/>
      <c r="S66" s="209"/>
      <c r="T66" s="209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09"/>
      <c r="AT66" s="209"/>
      <c r="AU66" s="210"/>
      <c r="AV66" s="209"/>
      <c r="AW66" s="209"/>
    </row>
    <row r="67" spans="7:49" ht="24.75" customHeight="1">
      <c r="G67" s="209"/>
      <c r="H67" s="209"/>
      <c r="I67" s="210"/>
      <c r="J67" s="209"/>
      <c r="K67" s="209"/>
      <c r="L67" s="210"/>
      <c r="M67" s="210"/>
      <c r="N67" s="210"/>
      <c r="O67" s="210"/>
      <c r="P67" s="209"/>
      <c r="Q67" s="209"/>
      <c r="R67" s="210"/>
      <c r="S67" s="209"/>
      <c r="T67" s="209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09"/>
      <c r="AT67" s="209"/>
      <c r="AU67" s="210"/>
      <c r="AV67" s="209"/>
      <c r="AW67" s="209"/>
    </row>
    <row r="68" spans="7:49" ht="24.75" customHeight="1">
      <c r="G68" s="209"/>
      <c r="H68" s="209"/>
      <c r="I68" s="210"/>
      <c r="J68" s="209"/>
      <c r="K68" s="209"/>
      <c r="L68" s="210"/>
      <c r="M68" s="210"/>
      <c r="N68" s="210"/>
      <c r="O68" s="210"/>
      <c r="P68" s="209"/>
      <c r="Q68" s="209"/>
      <c r="R68" s="210"/>
      <c r="S68" s="209"/>
      <c r="T68" s="209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09"/>
      <c r="AT68" s="209"/>
      <c r="AU68" s="210"/>
      <c r="AV68" s="209"/>
      <c r="AW68" s="209"/>
    </row>
    <row r="69" spans="7:49" ht="24.75" customHeight="1">
      <c r="G69" s="209"/>
      <c r="H69" s="209"/>
      <c r="I69" s="210"/>
      <c r="J69" s="209"/>
      <c r="K69" s="209"/>
      <c r="L69" s="210"/>
      <c r="M69" s="210"/>
      <c r="N69" s="210"/>
      <c r="O69" s="210"/>
      <c r="P69" s="209"/>
      <c r="Q69" s="209"/>
      <c r="R69" s="210"/>
      <c r="S69" s="209"/>
      <c r="T69" s="209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09"/>
      <c r="AT69" s="209"/>
      <c r="AU69" s="210"/>
      <c r="AV69" s="209"/>
      <c r="AW69" s="209"/>
    </row>
    <row r="70" spans="7:49" ht="24.75" customHeight="1">
      <c r="G70" s="209"/>
      <c r="H70" s="209"/>
      <c r="I70" s="210"/>
      <c r="J70" s="209"/>
      <c r="K70" s="209"/>
      <c r="L70" s="210"/>
      <c r="M70" s="210"/>
      <c r="N70" s="210"/>
      <c r="O70" s="210"/>
      <c r="P70" s="209"/>
      <c r="Q70" s="209"/>
      <c r="R70" s="210"/>
      <c r="S70" s="209"/>
      <c r="T70" s="209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09"/>
      <c r="AT70" s="209"/>
      <c r="AU70" s="210"/>
      <c r="AV70" s="209"/>
      <c r="AW70" s="209"/>
    </row>
    <row r="71" spans="7:49" ht="24.75" customHeight="1">
      <c r="G71" s="209"/>
      <c r="H71" s="209"/>
      <c r="I71" s="210"/>
      <c r="J71" s="209"/>
      <c r="K71" s="209"/>
      <c r="L71" s="210"/>
      <c r="M71" s="210"/>
      <c r="N71" s="210"/>
      <c r="O71" s="210"/>
      <c r="P71" s="209"/>
      <c r="Q71" s="209"/>
      <c r="R71" s="210"/>
      <c r="S71" s="209"/>
      <c r="T71" s="209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09"/>
      <c r="AT71" s="209"/>
      <c r="AU71" s="210"/>
      <c r="AV71" s="209"/>
      <c r="AW71" s="209"/>
    </row>
    <row r="72" spans="7:49" ht="24.75" customHeight="1">
      <c r="G72" s="209"/>
      <c r="H72" s="209"/>
      <c r="I72" s="210"/>
      <c r="J72" s="209"/>
      <c r="K72" s="209"/>
      <c r="L72" s="210"/>
      <c r="M72" s="210"/>
      <c r="N72" s="210"/>
      <c r="O72" s="210"/>
      <c r="P72" s="209"/>
      <c r="Q72" s="209"/>
      <c r="R72" s="210"/>
      <c r="S72" s="209"/>
      <c r="T72" s="209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09"/>
      <c r="AT72" s="209"/>
      <c r="AU72" s="210"/>
      <c r="AV72" s="209"/>
      <c r="AW72" s="209"/>
    </row>
    <row r="73" spans="7:49" ht="24.75" customHeight="1">
      <c r="G73" s="209"/>
      <c r="H73" s="209"/>
      <c r="I73" s="210"/>
      <c r="J73" s="209"/>
      <c r="K73" s="209"/>
      <c r="L73" s="210"/>
      <c r="M73" s="210"/>
      <c r="N73" s="210"/>
      <c r="O73" s="210"/>
      <c r="P73" s="209"/>
      <c r="Q73" s="209"/>
      <c r="R73" s="210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09"/>
      <c r="AT73" s="209"/>
      <c r="AU73" s="210"/>
      <c r="AV73" s="209"/>
      <c r="AW73" s="209"/>
    </row>
    <row r="74" spans="7:49" ht="24.75" customHeight="1">
      <c r="G74" s="209"/>
      <c r="H74" s="209"/>
      <c r="I74" s="210"/>
      <c r="J74" s="209"/>
      <c r="K74" s="209"/>
      <c r="L74" s="210"/>
      <c r="M74" s="210"/>
      <c r="N74" s="210"/>
      <c r="O74" s="210"/>
      <c r="P74" s="209"/>
      <c r="Q74" s="209"/>
      <c r="R74" s="210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09"/>
      <c r="AT74" s="209"/>
      <c r="AU74" s="210"/>
      <c r="AV74" s="209"/>
      <c r="AW74" s="209"/>
    </row>
    <row r="75" spans="7:49" ht="24.75" customHeight="1">
      <c r="G75" s="209"/>
      <c r="H75" s="209"/>
      <c r="I75" s="210"/>
      <c r="J75" s="209"/>
      <c r="K75" s="209"/>
      <c r="L75" s="210"/>
      <c r="M75" s="210"/>
      <c r="N75" s="210"/>
      <c r="O75" s="210"/>
      <c r="P75" s="209"/>
      <c r="Q75" s="209"/>
      <c r="R75" s="210"/>
      <c r="S75" s="209"/>
      <c r="T75" s="209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09"/>
      <c r="AT75" s="209"/>
      <c r="AU75" s="210"/>
      <c r="AV75" s="209"/>
      <c r="AW75" s="209"/>
    </row>
    <row r="76" spans="7:49" ht="24.75" customHeight="1">
      <c r="G76" s="209"/>
      <c r="H76" s="209"/>
      <c r="I76" s="210"/>
      <c r="J76" s="209"/>
      <c r="K76" s="209"/>
      <c r="L76" s="210"/>
      <c r="M76" s="210"/>
      <c r="N76" s="210"/>
      <c r="O76" s="210"/>
      <c r="P76" s="209"/>
      <c r="Q76" s="209"/>
      <c r="R76" s="210"/>
      <c r="S76" s="209"/>
      <c r="T76" s="209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09"/>
      <c r="AT76" s="209"/>
      <c r="AU76" s="210"/>
      <c r="AV76" s="209"/>
      <c r="AW76" s="209"/>
    </row>
    <row r="77" spans="7:49" ht="24.75" customHeight="1">
      <c r="G77" s="209"/>
      <c r="H77" s="209"/>
      <c r="I77" s="210"/>
      <c r="J77" s="209"/>
      <c r="K77" s="209"/>
      <c r="L77" s="210"/>
      <c r="M77" s="210"/>
      <c r="N77" s="210"/>
      <c r="O77" s="210"/>
      <c r="P77" s="209"/>
      <c r="Q77" s="209"/>
      <c r="R77" s="210"/>
      <c r="S77" s="209"/>
      <c r="T77" s="209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09"/>
      <c r="AT77" s="209"/>
      <c r="AU77" s="210"/>
      <c r="AV77" s="209"/>
      <c r="AW77" s="209"/>
    </row>
    <row r="78" spans="7:49" ht="24.75" customHeight="1">
      <c r="G78" s="209"/>
      <c r="H78" s="209"/>
      <c r="I78" s="210"/>
      <c r="J78" s="209"/>
      <c r="K78" s="209"/>
      <c r="L78" s="210"/>
      <c r="M78" s="210"/>
      <c r="N78" s="210"/>
      <c r="O78" s="210"/>
      <c r="P78" s="209"/>
      <c r="Q78" s="209"/>
      <c r="R78" s="210"/>
      <c r="S78" s="209"/>
      <c r="T78" s="209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09"/>
      <c r="AT78" s="209"/>
      <c r="AU78" s="210"/>
      <c r="AV78" s="209"/>
      <c r="AW78" s="209"/>
    </row>
    <row r="79" spans="7:49" ht="24.75" customHeight="1">
      <c r="G79" s="209"/>
      <c r="H79" s="209"/>
      <c r="I79" s="210"/>
      <c r="J79" s="209"/>
      <c r="K79" s="209"/>
      <c r="L79" s="210"/>
      <c r="M79" s="210"/>
      <c r="N79" s="210"/>
      <c r="O79" s="210"/>
      <c r="P79" s="209"/>
      <c r="Q79" s="209"/>
      <c r="R79" s="210"/>
      <c r="S79" s="209"/>
      <c r="T79" s="209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09"/>
      <c r="AT79" s="209"/>
      <c r="AU79" s="210"/>
      <c r="AV79" s="209"/>
      <c r="AW79" s="209"/>
    </row>
    <row r="80" spans="7:49" ht="24.75" customHeight="1">
      <c r="G80" s="209"/>
      <c r="H80" s="209"/>
      <c r="I80" s="210"/>
      <c r="J80" s="209"/>
      <c r="K80" s="209"/>
      <c r="L80" s="210"/>
      <c r="M80" s="210"/>
      <c r="N80" s="210"/>
      <c r="O80" s="210"/>
      <c r="P80" s="209"/>
      <c r="Q80" s="209"/>
      <c r="R80" s="210"/>
      <c r="S80" s="209"/>
      <c r="T80" s="209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09"/>
      <c r="AT80" s="209"/>
      <c r="AU80" s="210"/>
      <c r="AV80" s="209"/>
      <c r="AW80" s="209"/>
    </row>
    <row r="81" spans="7:49" ht="24.75" customHeight="1">
      <c r="G81" s="209"/>
      <c r="H81" s="209"/>
      <c r="I81" s="210"/>
      <c r="J81" s="209"/>
      <c r="K81" s="209"/>
      <c r="L81" s="210"/>
      <c r="M81" s="210"/>
      <c r="N81" s="210"/>
      <c r="O81" s="210"/>
      <c r="P81" s="209"/>
      <c r="Q81" s="209"/>
      <c r="R81" s="210"/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09"/>
      <c r="AT81" s="209"/>
      <c r="AU81" s="210"/>
      <c r="AV81" s="209"/>
      <c r="AW81" s="209"/>
    </row>
    <row r="82" spans="7:49" ht="24.75" customHeight="1">
      <c r="G82" s="209"/>
      <c r="H82" s="209"/>
      <c r="I82" s="210"/>
      <c r="J82" s="209"/>
      <c r="K82" s="209"/>
      <c r="L82" s="210"/>
      <c r="M82" s="210"/>
      <c r="N82" s="210"/>
      <c r="O82" s="210"/>
      <c r="P82" s="209"/>
      <c r="Q82" s="209"/>
      <c r="R82" s="210"/>
      <c r="S82" s="209"/>
      <c r="T82" s="209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09"/>
      <c r="AT82" s="209"/>
      <c r="AU82" s="210"/>
      <c r="AV82" s="209"/>
      <c r="AW82" s="209"/>
    </row>
    <row r="83" spans="7:49" ht="24.75" customHeight="1">
      <c r="G83" s="209"/>
      <c r="H83" s="209"/>
      <c r="I83" s="210"/>
      <c r="J83" s="209"/>
      <c r="K83" s="209"/>
      <c r="L83" s="210"/>
      <c r="M83" s="210"/>
      <c r="N83" s="210"/>
      <c r="O83" s="210"/>
      <c r="P83" s="209"/>
      <c r="Q83" s="209"/>
      <c r="R83" s="210"/>
      <c r="S83" s="209"/>
      <c r="T83" s="209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09"/>
      <c r="AT83" s="209"/>
      <c r="AU83" s="210"/>
      <c r="AV83" s="209"/>
      <c r="AW83" s="209"/>
    </row>
    <row r="84" spans="7:49" ht="24.75" customHeight="1">
      <c r="G84" s="209"/>
      <c r="H84" s="209"/>
      <c r="I84" s="210"/>
      <c r="J84" s="209"/>
      <c r="K84" s="209"/>
      <c r="L84" s="210"/>
      <c r="M84" s="210"/>
      <c r="N84" s="210"/>
      <c r="O84" s="210"/>
      <c r="P84" s="209"/>
      <c r="Q84" s="209"/>
      <c r="R84" s="210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09"/>
      <c r="AT84" s="209"/>
      <c r="AU84" s="210"/>
      <c r="AV84" s="209"/>
      <c r="AW84" s="209"/>
    </row>
    <row r="85" spans="7:49" ht="24.75" customHeight="1">
      <c r="G85" s="209"/>
      <c r="H85" s="209"/>
      <c r="I85" s="210"/>
      <c r="J85" s="209"/>
      <c r="K85" s="209"/>
      <c r="L85" s="210"/>
      <c r="M85" s="210"/>
      <c r="N85" s="210"/>
      <c r="O85" s="210"/>
      <c r="P85" s="209"/>
      <c r="Q85" s="209"/>
      <c r="R85" s="210"/>
      <c r="S85" s="209"/>
      <c r="T85" s="209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09"/>
      <c r="AT85" s="209"/>
      <c r="AU85" s="210"/>
      <c r="AV85" s="209"/>
      <c r="AW85" s="209"/>
    </row>
    <row r="86" spans="7:49" ht="24.75" customHeight="1">
      <c r="G86" s="209"/>
      <c r="H86" s="209"/>
      <c r="I86" s="210"/>
      <c r="J86" s="209"/>
      <c r="K86" s="209"/>
      <c r="L86" s="210"/>
      <c r="M86" s="210"/>
      <c r="N86" s="210"/>
      <c r="O86" s="210"/>
      <c r="P86" s="209"/>
      <c r="Q86" s="209"/>
      <c r="R86" s="210"/>
      <c r="S86" s="209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09"/>
      <c r="AT86" s="209"/>
      <c r="AU86" s="210"/>
      <c r="AV86" s="209"/>
      <c r="AW86" s="209"/>
    </row>
    <row r="87" spans="7:49" ht="24.75" customHeight="1">
      <c r="G87" s="209"/>
      <c r="H87" s="209"/>
      <c r="I87" s="210"/>
      <c r="J87" s="209"/>
      <c r="K87" s="209"/>
      <c r="L87" s="210"/>
      <c r="M87" s="210"/>
      <c r="N87" s="210"/>
      <c r="O87" s="210"/>
      <c r="P87" s="209"/>
      <c r="Q87" s="209"/>
      <c r="R87" s="210"/>
      <c r="S87" s="209"/>
      <c r="T87" s="209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09"/>
      <c r="AT87" s="209"/>
      <c r="AU87" s="210"/>
      <c r="AV87" s="209"/>
      <c r="AW87" s="209"/>
    </row>
    <row r="88" spans="7:49" ht="24.75" customHeight="1">
      <c r="G88" s="209"/>
      <c r="H88" s="209"/>
      <c r="I88" s="210"/>
      <c r="J88" s="209"/>
      <c r="K88" s="209"/>
      <c r="L88" s="210"/>
      <c r="M88" s="210"/>
      <c r="N88" s="210"/>
      <c r="O88" s="210"/>
      <c r="P88" s="209"/>
      <c r="Q88" s="209"/>
      <c r="R88" s="210"/>
      <c r="S88" s="209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09"/>
      <c r="AT88" s="209"/>
      <c r="AU88" s="210"/>
      <c r="AV88" s="209"/>
      <c r="AW88" s="209"/>
    </row>
    <row r="89" spans="7:49" ht="24.75" customHeight="1">
      <c r="G89" s="209"/>
      <c r="H89" s="209"/>
      <c r="I89" s="210"/>
      <c r="J89" s="209"/>
      <c r="K89" s="209"/>
      <c r="L89" s="210"/>
      <c r="M89" s="210"/>
      <c r="N89" s="210"/>
      <c r="O89" s="210"/>
      <c r="P89" s="209"/>
      <c r="Q89" s="209"/>
      <c r="R89" s="210"/>
      <c r="S89" s="209"/>
      <c r="T89" s="209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09"/>
      <c r="AT89" s="209"/>
      <c r="AU89" s="210"/>
      <c r="AV89" s="209"/>
      <c r="AW89" s="209"/>
    </row>
    <row r="90" spans="7:49" ht="24.75" customHeight="1">
      <c r="G90" s="209"/>
      <c r="H90" s="209"/>
      <c r="I90" s="210"/>
      <c r="J90" s="209"/>
      <c r="K90" s="209"/>
      <c r="L90" s="210"/>
      <c r="M90" s="210"/>
      <c r="N90" s="210"/>
      <c r="O90" s="210"/>
      <c r="P90" s="209"/>
      <c r="Q90" s="209"/>
      <c r="R90" s="210"/>
      <c r="S90" s="209"/>
      <c r="T90" s="209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09"/>
      <c r="AT90" s="209"/>
      <c r="AU90" s="210"/>
      <c r="AV90" s="209"/>
      <c r="AW90" s="209"/>
    </row>
    <row r="91" spans="7:49" ht="24.75" customHeight="1">
      <c r="G91" s="209"/>
      <c r="H91" s="209"/>
      <c r="I91" s="210"/>
      <c r="J91" s="209"/>
      <c r="K91" s="209"/>
      <c r="L91" s="210"/>
      <c r="M91" s="210"/>
      <c r="N91" s="210"/>
      <c r="O91" s="210"/>
      <c r="P91" s="209"/>
      <c r="Q91" s="209"/>
      <c r="R91" s="210"/>
      <c r="S91" s="209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09"/>
      <c r="AT91" s="209"/>
      <c r="AU91" s="210"/>
      <c r="AV91" s="209"/>
      <c r="AW91" s="209"/>
    </row>
    <row r="92" spans="7:49" ht="24.75" customHeight="1">
      <c r="G92" s="209"/>
      <c r="H92" s="209"/>
      <c r="I92" s="210"/>
      <c r="J92" s="209"/>
      <c r="K92" s="209"/>
      <c r="L92" s="210"/>
      <c r="M92" s="210"/>
      <c r="N92" s="210"/>
      <c r="O92" s="210"/>
      <c r="P92" s="209"/>
      <c r="Q92" s="209"/>
      <c r="R92" s="210"/>
      <c r="S92" s="209"/>
      <c r="T92" s="209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09"/>
      <c r="AT92" s="209"/>
      <c r="AU92" s="210"/>
      <c r="AV92" s="209"/>
      <c r="AW92" s="209"/>
    </row>
    <row r="93" spans="7:49" ht="24.75" customHeight="1">
      <c r="G93" s="209"/>
      <c r="H93" s="209"/>
      <c r="I93" s="210"/>
      <c r="J93" s="209"/>
      <c r="K93" s="209"/>
      <c r="L93" s="210"/>
      <c r="M93" s="210"/>
      <c r="N93" s="210"/>
      <c r="O93" s="210"/>
      <c r="P93" s="209"/>
      <c r="Q93" s="209"/>
      <c r="R93" s="210"/>
      <c r="S93" s="209"/>
      <c r="T93" s="209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09"/>
      <c r="AT93" s="209"/>
      <c r="AU93" s="210"/>
      <c r="AV93" s="209"/>
      <c r="AW93" s="209"/>
    </row>
    <row r="94" spans="7:49" ht="24.75" customHeight="1">
      <c r="G94" s="209"/>
      <c r="H94" s="209"/>
      <c r="I94" s="210"/>
      <c r="J94" s="209"/>
      <c r="K94" s="209"/>
      <c r="L94" s="210"/>
      <c r="M94" s="210"/>
      <c r="N94" s="210"/>
      <c r="O94" s="210"/>
      <c r="P94" s="209"/>
      <c r="Q94" s="209"/>
      <c r="R94" s="210"/>
      <c r="S94" s="209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09"/>
      <c r="AT94" s="209"/>
      <c r="AU94" s="210"/>
      <c r="AV94" s="209"/>
      <c r="AW94" s="209"/>
    </row>
    <row r="95" spans="7:49" ht="24.75" customHeight="1">
      <c r="G95" s="209"/>
      <c r="H95" s="209"/>
      <c r="I95" s="210"/>
      <c r="J95" s="209"/>
      <c r="K95" s="209"/>
      <c r="L95" s="210"/>
      <c r="M95" s="210"/>
      <c r="N95" s="210"/>
      <c r="O95" s="210"/>
      <c r="P95" s="209"/>
      <c r="Q95" s="209"/>
      <c r="R95" s="210"/>
      <c r="S95" s="209"/>
      <c r="T95" s="209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09"/>
      <c r="AT95" s="209"/>
      <c r="AU95" s="210"/>
      <c r="AV95" s="209"/>
      <c r="AW95" s="209"/>
    </row>
    <row r="96" spans="7:49" ht="24.75" customHeight="1">
      <c r="G96" s="209"/>
      <c r="H96" s="209"/>
      <c r="I96" s="210"/>
      <c r="J96" s="209"/>
      <c r="K96" s="209"/>
      <c r="L96" s="210"/>
      <c r="M96" s="210"/>
      <c r="N96" s="210"/>
      <c r="O96" s="210"/>
      <c r="P96" s="209"/>
      <c r="Q96" s="209"/>
      <c r="R96" s="210"/>
      <c r="S96" s="209"/>
      <c r="T96" s="209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09"/>
      <c r="AT96" s="209"/>
      <c r="AU96" s="210"/>
      <c r="AV96" s="209"/>
      <c r="AW96" s="209"/>
    </row>
    <row r="97" spans="7:49" ht="18.75">
      <c r="G97" s="209"/>
      <c r="H97" s="209"/>
      <c r="I97" s="210"/>
      <c r="J97" s="209"/>
      <c r="K97" s="209"/>
      <c r="L97" s="210"/>
      <c r="M97" s="210"/>
      <c r="N97" s="210"/>
      <c r="O97" s="210"/>
      <c r="P97" s="209"/>
      <c r="Q97" s="209"/>
      <c r="R97" s="210"/>
      <c r="S97" s="209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09"/>
      <c r="AT97" s="209"/>
      <c r="AU97" s="210"/>
      <c r="AV97" s="209"/>
      <c r="AW97" s="209"/>
    </row>
    <row r="98" spans="7:49" ht="18.75">
      <c r="G98" s="209"/>
      <c r="H98" s="209"/>
      <c r="I98" s="210"/>
      <c r="J98" s="209"/>
      <c r="K98" s="209"/>
      <c r="L98" s="210"/>
      <c r="M98" s="210"/>
      <c r="N98" s="210"/>
      <c r="O98" s="210"/>
      <c r="P98" s="209"/>
      <c r="Q98" s="209"/>
      <c r="R98" s="210"/>
      <c r="S98" s="209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09"/>
      <c r="AT98" s="209"/>
      <c r="AU98" s="210"/>
      <c r="AV98" s="209"/>
      <c r="AW98" s="209"/>
    </row>
    <row r="99" spans="7:49" ht="18.75">
      <c r="G99" s="209"/>
      <c r="H99" s="209"/>
      <c r="I99" s="210"/>
      <c r="J99" s="209"/>
      <c r="K99" s="209"/>
      <c r="L99" s="210"/>
      <c r="M99" s="210"/>
      <c r="N99" s="210"/>
      <c r="O99" s="210"/>
      <c r="P99" s="209"/>
      <c r="Q99" s="209"/>
      <c r="R99" s="210"/>
      <c r="S99" s="209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09"/>
      <c r="AT99" s="209"/>
      <c r="AU99" s="210"/>
      <c r="AV99" s="209"/>
      <c r="AW99" s="209"/>
    </row>
    <row r="100" spans="7:49" ht="18.75">
      <c r="G100" s="209"/>
      <c r="H100" s="209"/>
      <c r="I100" s="210"/>
      <c r="J100" s="209"/>
      <c r="K100" s="209"/>
      <c r="L100" s="210"/>
      <c r="M100" s="210"/>
      <c r="N100" s="210"/>
      <c r="O100" s="210"/>
      <c r="P100" s="209"/>
      <c r="Q100" s="209"/>
      <c r="R100" s="210"/>
      <c r="S100" s="209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09"/>
      <c r="AT100" s="209"/>
      <c r="AU100" s="210"/>
      <c r="AV100" s="209"/>
      <c r="AW100" s="209"/>
    </row>
    <row r="101" spans="7:49" ht="18.75">
      <c r="G101" s="209"/>
      <c r="H101" s="209"/>
      <c r="I101" s="210"/>
      <c r="J101" s="209"/>
      <c r="K101" s="209"/>
      <c r="L101" s="210"/>
      <c r="M101" s="210"/>
      <c r="N101" s="210"/>
      <c r="O101" s="210"/>
      <c r="P101" s="209"/>
      <c r="Q101" s="209"/>
      <c r="R101" s="210"/>
      <c r="S101" s="209"/>
      <c r="T101" s="209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09"/>
      <c r="AT101" s="209"/>
      <c r="AU101" s="210"/>
      <c r="AV101" s="209"/>
      <c r="AW101" s="209"/>
    </row>
    <row r="102" spans="7:49" ht="18.75">
      <c r="G102" s="209"/>
      <c r="H102" s="209"/>
      <c r="I102" s="210"/>
      <c r="J102" s="209"/>
      <c r="K102" s="209"/>
      <c r="L102" s="210"/>
      <c r="M102" s="210"/>
      <c r="N102" s="210"/>
      <c r="O102" s="210"/>
      <c r="P102" s="209"/>
      <c r="Q102" s="209"/>
      <c r="R102" s="210"/>
      <c r="S102" s="209"/>
      <c r="T102" s="209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09"/>
      <c r="AT102" s="209"/>
      <c r="AU102" s="210"/>
      <c r="AV102" s="209"/>
      <c r="AW102" s="209"/>
    </row>
    <row r="103" spans="7:49" ht="18.75">
      <c r="G103" s="209"/>
      <c r="H103" s="209"/>
      <c r="I103" s="210"/>
      <c r="J103" s="209"/>
      <c r="K103" s="209"/>
      <c r="L103" s="210"/>
      <c r="M103" s="210"/>
      <c r="N103" s="210"/>
      <c r="O103" s="210"/>
      <c r="P103" s="209"/>
      <c r="Q103" s="209"/>
      <c r="R103" s="210"/>
      <c r="S103" s="209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09"/>
      <c r="AT103" s="209"/>
      <c r="AU103" s="210"/>
      <c r="AV103" s="209"/>
      <c r="AW103" s="209"/>
    </row>
    <row r="104" spans="31:44" ht="18.75">
      <c r="AE104" s="210"/>
      <c r="AF104" s="210"/>
      <c r="AG104" s="210"/>
      <c r="AH104" s="210"/>
      <c r="AI104" s="210"/>
      <c r="AM104" s="210"/>
      <c r="AN104" s="210"/>
      <c r="AO104" s="210"/>
      <c r="AP104" s="210"/>
      <c r="AQ104" s="210"/>
      <c r="AR104" s="210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5:C55"/>
    <mergeCell ref="B54:C54"/>
    <mergeCell ref="AQ5:AR5"/>
    <mergeCell ref="AB5:AD5"/>
    <mergeCell ref="AJ5:AL5"/>
    <mergeCell ref="AO5:AP5"/>
    <mergeCell ref="B53:D53"/>
    <mergeCell ref="AH5:AI5"/>
    <mergeCell ref="AW5:AW6"/>
    <mergeCell ref="AV5:AV6"/>
    <mergeCell ref="Y5:AA5"/>
    <mergeCell ref="J5:L5"/>
    <mergeCell ref="A49:C49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AJ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49" sqref="AX49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38" t="s">
        <v>95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</row>
    <row r="3" spans="1:49" s="30" customFormat="1" ht="60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</row>
    <row r="4" spans="2:49" ht="34.5" customHeight="1">
      <c r="B4" s="237"/>
      <c r="C4" s="237"/>
      <c r="AW4" s="11" t="s">
        <v>28</v>
      </c>
    </row>
    <row r="5" spans="1:49" ht="55.5" customHeight="1">
      <c r="A5" s="22" t="s">
        <v>4</v>
      </c>
      <c r="B5" s="23"/>
      <c r="C5" s="24" t="s">
        <v>1</v>
      </c>
      <c r="D5" s="234" t="s">
        <v>70</v>
      </c>
      <c r="E5" s="235"/>
      <c r="F5" s="236"/>
      <c r="G5" s="230" t="s">
        <v>73</v>
      </c>
      <c r="H5" s="231"/>
      <c r="I5" s="232"/>
      <c r="J5" s="239" t="s">
        <v>74</v>
      </c>
      <c r="K5" s="240"/>
      <c r="L5" s="241"/>
      <c r="M5" s="230" t="s">
        <v>76</v>
      </c>
      <c r="N5" s="231"/>
      <c r="O5" s="232"/>
      <c r="P5" s="230" t="s">
        <v>75</v>
      </c>
      <c r="Q5" s="231"/>
      <c r="R5" s="232"/>
      <c r="S5" s="239" t="s">
        <v>78</v>
      </c>
      <c r="T5" s="240"/>
      <c r="U5" s="241"/>
      <c r="V5" s="239" t="s">
        <v>79</v>
      </c>
      <c r="W5" s="240"/>
      <c r="X5" s="241"/>
      <c r="Y5" s="230" t="s">
        <v>80</v>
      </c>
      <c r="Z5" s="231"/>
      <c r="AA5" s="232"/>
      <c r="AB5" s="230" t="s">
        <v>81</v>
      </c>
      <c r="AC5" s="231"/>
      <c r="AD5" s="232"/>
      <c r="AE5" s="230" t="s">
        <v>82</v>
      </c>
      <c r="AF5" s="231"/>
      <c r="AG5" s="232"/>
      <c r="AH5" s="230" t="s">
        <v>83</v>
      </c>
      <c r="AI5" s="232"/>
      <c r="AJ5" s="230" t="s">
        <v>84</v>
      </c>
      <c r="AK5" s="231"/>
      <c r="AL5" s="232"/>
      <c r="AM5" s="230" t="s">
        <v>85</v>
      </c>
      <c r="AN5" s="232"/>
      <c r="AO5" s="230" t="s">
        <v>21</v>
      </c>
      <c r="AP5" s="232"/>
      <c r="AQ5" s="230" t="s">
        <v>22</v>
      </c>
      <c r="AR5" s="232"/>
      <c r="AS5" s="234" t="s">
        <v>71</v>
      </c>
      <c r="AT5" s="235"/>
      <c r="AU5" s="236"/>
      <c r="AV5" s="228" t="s">
        <v>86</v>
      </c>
      <c r="AW5" s="228" t="s">
        <v>87</v>
      </c>
    </row>
    <row r="6" spans="1:49" ht="58.5" customHeight="1">
      <c r="A6" s="25" t="s">
        <v>2</v>
      </c>
      <c r="B6" s="26" t="s">
        <v>63</v>
      </c>
      <c r="C6" s="98" t="s">
        <v>72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27</v>
      </c>
      <c r="AT6" s="26" t="s">
        <v>13</v>
      </c>
      <c r="AU6" s="12" t="s">
        <v>0</v>
      </c>
      <c r="AV6" s="229"/>
      <c r="AW6" s="229"/>
    </row>
    <row r="7" spans="1:52" s="8" customFormat="1" ht="34.5" customHeight="1">
      <c r="A7" s="38"/>
      <c r="B7" s="13" t="s">
        <v>64</v>
      </c>
      <c r="C7" s="95">
        <f aca="true" t="shared" si="0" ref="C7:AR7">SUM(C8:C44)-C33-C34-C35-C36</f>
        <v>9157.500000000004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55.1</v>
      </c>
      <c r="AC7" s="95">
        <f t="shared" si="0"/>
        <v>695.1999999999999</v>
      </c>
      <c r="AD7" s="95">
        <f>AC7/AB7*100</f>
        <v>1261.7059891107078</v>
      </c>
      <c r="AE7" s="95">
        <f t="shared" si="0"/>
        <v>55.3</v>
      </c>
      <c r="AF7" s="95">
        <f t="shared" si="0"/>
        <v>215.4</v>
      </c>
      <c r="AG7" s="95" t="e">
        <f t="shared" si="0"/>
        <v>#DIV/0!</v>
      </c>
      <c r="AH7" s="95">
        <f t="shared" si="0"/>
        <v>51.800000000000004</v>
      </c>
      <c r="AI7" s="95">
        <f t="shared" si="0"/>
        <v>1418.1999999999998</v>
      </c>
      <c r="AJ7" s="95">
        <f t="shared" si="0"/>
        <v>162.2</v>
      </c>
      <c r="AK7" s="95">
        <f t="shared" si="0"/>
        <v>2328.8</v>
      </c>
      <c r="AL7" s="95" t="e">
        <f t="shared" si="0"/>
        <v>#DIV/0!</v>
      </c>
      <c r="AM7" s="95">
        <f t="shared" si="0"/>
        <v>250.3</v>
      </c>
      <c r="AN7" s="95">
        <f t="shared" si="0"/>
        <v>462.90000000000003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18191.399999999998</v>
      </c>
      <c r="AT7" s="95">
        <f>SUM(AT8:AT44)-AT33-AT34-AT35-AT36</f>
        <v>24885.6</v>
      </c>
      <c r="AU7" s="97">
        <f>AT7/AS7*100</f>
        <v>136.79870708136812</v>
      </c>
      <c r="AV7" s="95">
        <f>SUM(AV8:AV44)-AV33-AV34-AV35-AV36</f>
        <v>-6694.199999999999</v>
      </c>
      <c r="AW7" s="95">
        <f>SUM(AW8:AW44)-AW33-AW34-AW35-AW36</f>
        <v>2463.3000000000015</v>
      </c>
      <c r="AX7" s="20">
        <f>M7+Y7+AJ7+AM7</f>
        <v>18191.4</v>
      </c>
      <c r="AY7" s="20">
        <f>N7+Z7+AK7+AN7</f>
        <v>24885.600000000002</v>
      </c>
      <c r="AZ7" s="20">
        <f>C7+AX7-AY7</f>
        <v>2463.300000000003</v>
      </c>
    </row>
    <row r="8" spans="1:52" ht="34.5" customHeight="1">
      <c r="A8" s="6">
        <v>1</v>
      </c>
      <c r="B8" s="1" t="s">
        <v>29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8">Z8/Y8*100</f>
        <v>652.1452145214522</v>
      </c>
      <c r="AB8" s="3">
        <v>0</v>
      </c>
      <c r="AC8" s="3">
        <v>28.7</v>
      </c>
      <c r="AD8" s="14"/>
      <c r="AE8" s="3">
        <v>0</v>
      </c>
      <c r="AF8" s="3">
        <v>27.6</v>
      </c>
      <c r="AG8" s="14"/>
      <c r="AH8" s="3">
        <v>0</v>
      </c>
      <c r="AI8" s="3">
        <v>22.9</v>
      </c>
      <c r="AJ8" s="3">
        <f>AB8+AE8+AH8</f>
        <v>0</v>
      </c>
      <c r="AK8" s="3">
        <f>AC8+AF8+AI8</f>
        <v>79.19999999999999</v>
      </c>
      <c r="AL8" s="14" t="e">
        <f aca="true" t="shared" si="6" ref="AL8:AL47">AK8/AJ8*100</f>
        <v>#DIV/0!</v>
      </c>
      <c r="AM8" s="3">
        <v>24.1</v>
      </c>
      <c r="AN8" s="3">
        <v>20.1</v>
      </c>
      <c r="AO8" s="3"/>
      <c r="AP8" s="3"/>
      <c r="AQ8" s="3"/>
      <c r="AR8" s="3"/>
      <c r="AS8" s="3">
        <f>M8+Y8+AJ8+AM8+AO8+AQ8</f>
        <v>2429.1000000000004</v>
      </c>
      <c r="AT8" s="3">
        <f>N8+Z8+AK8+AN8+AP8+AR8</f>
        <v>3162.1</v>
      </c>
      <c r="AU8" s="97">
        <f>AT8/AS8*100</f>
        <v>130.17578527026467</v>
      </c>
      <c r="AV8" s="14">
        <f aca="true" t="shared" si="7" ref="AV8:AV33">AS8-AT8</f>
        <v>-732.9999999999995</v>
      </c>
      <c r="AW8" s="4">
        <f aca="true" t="shared" si="8" ref="AW8:AW33">C8+AS8-AT8</f>
        <v>279.80000000000064</v>
      </c>
      <c r="AX8" s="20">
        <f aca="true" t="shared" si="9" ref="AX8:AX48">M8+Y8+AJ8+AM8</f>
        <v>2429.1000000000004</v>
      </c>
      <c r="AY8" s="20">
        <f aca="true" t="shared" si="10" ref="AY8:AY48">N8+Z8+AK8+AN8</f>
        <v>3162.1</v>
      </c>
      <c r="AZ8" s="20">
        <f aca="true" t="shared" si="11" ref="AZ8:AZ48">C8+AX8-AY8</f>
        <v>279.80000000000064</v>
      </c>
    </row>
    <row r="9" spans="1:52" ht="34.5" customHeight="1">
      <c r="A9" s="6">
        <v>2</v>
      </c>
      <c r="B9" s="32" t="s">
        <v>30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0.5</v>
      </c>
      <c r="AJ9" s="3">
        <f aca="true" t="shared" si="17" ref="AJ9:AJ44">AB9+AE9+AH9</f>
        <v>0</v>
      </c>
      <c r="AK9" s="3">
        <f aca="true" t="shared" si="18" ref="AK9:AK44">AC9+AF9+AI9</f>
        <v>0.5</v>
      </c>
      <c r="AL9" s="14" t="e">
        <f t="shared" si="6"/>
        <v>#DIV/0!</v>
      </c>
      <c r="AM9" s="3">
        <v>0</v>
      </c>
      <c r="AN9" s="3">
        <v>12.3</v>
      </c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584.9999999999999</v>
      </c>
      <c r="AU9" s="97">
        <f>AT9/AS9*100</f>
        <v>142.82226562499997</v>
      </c>
      <c r="AV9" s="14">
        <f t="shared" si="7"/>
        <v>-175.39999999999992</v>
      </c>
      <c r="AW9" s="4">
        <f t="shared" si="8"/>
        <v>-1.9999999999998863</v>
      </c>
      <c r="AX9" s="20">
        <f t="shared" si="9"/>
        <v>409.59999999999997</v>
      </c>
      <c r="AY9" s="20">
        <f t="shared" si="10"/>
        <v>584.9999999999999</v>
      </c>
      <c r="AZ9" s="20">
        <f t="shared" si="11"/>
        <v>-1.9999999999998863</v>
      </c>
    </row>
    <row r="10" spans="1:52" ht="34.5" customHeight="1">
      <c r="A10" s="6">
        <v>3</v>
      </c>
      <c r="B10" s="15" t="s">
        <v>31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32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>
        <v>0</v>
      </c>
      <c r="AF11" s="3">
        <v>15.6</v>
      </c>
      <c r="AG11" s="36"/>
      <c r="AH11" s="3">
        <v>0</v>
      </c>
      <c r="AI11" s="3">
        <v>0</v>
      </c>
      <c r="AJ11" s="3">
        <f t="shared" si="17"/>
        <v>0</v>
      </c>
      <c r="AK11" s="3">
        <f t="shared" si="18"/>
        <v>20.6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102.29999999999998</v>
      </c>
      <c r="AU11" s="97">
        <f>AT11/AS11*100</f>
        <v>128.19548872180445</v>
      </c>
      <c r="AV11" s="14">
        <f t="shared" si="7"/>
        <v>-22.49999999999997</v>
      </c>
      <c r="AW11" s="4">
        <f t="shared" si="8"/>
        <v>41.10000000000002</v>
      </c>
      <c r="AX11" s="20">
        <f t="shared" si="9"/>
        <v>79.80000000000001</v>
      </c>
      <c r="AY11" s="20">
        <f t="shared" si="10"/>
        <v>102.29999999999998</v>
      </c>
      <c r="AZ11" s="20">
        <f t="shared" si="11"/>
        <v>41.10000000000002</v>
      </c>
    </row>
    <row r="12" spans="1:52" ht="34.5" customHeight="1">
      <c r="A12" s="6">
        <v>5</v>
      </c>
      <c r="B12" s="1" t="s">
        <v>33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>
        <v>0</v>
      </c>
      <c r="AF12" s="3">
        <v>1</v>
      </c>
      <c r="AG12" s="28"/>
      <c r="AH12" s="3">
        <v>0</v>
      </c>
      <c r="AI12" s="3">
        <v>0.6</v>
      </c>
      <c r="AJ12" s="3">
        <f t="shared" si="17"/>
        <v>0</v>
      </c>
      <c r="AK12" s="3">
        <f t="shared" si="18"/>
        <v>8.799999999999999</v>
      </c>
      <c r="AL12" s="14" t="e">
        <f t="shared" si="6"/>
        <v>#DIV/0!</v>
      </c>
      <c r="AM12" s="3">
        <v>8.3</v>
      </c>
      <c r="AN12" s="3">
        <v>0</v>
      </c>
      <c r="AO12" s="3"/>
      <c r="AP12" s="3"/>
      <c r="AQ12" s="3"/>
      <c r="AR12" s="3"/>
      <c r="AS12" s="3">
        <f t="shared" si="19"/>
        <v>454.7</v>
      </c>
      <c r="AT12" s="3">
        <f t="shared" si="20"/>
        <v>643.1999999999999</v>
      </c>
      <c r="AU12" s="97">
        <f>AT12/AS12*100</f>
        <v>141.4559049923026</v>
      </c>
      <c r="AV12" s="14">
        <f t="shared" si="7"/>
        <v>-188.49999999999994</v>
      </c>
      <c r="AW12" s="4">
        <f t="shared" si="8"/>
        <v>8.500000000000114</v>
      </c>
      <c r="AX12" s="20">
        <f t="shared" si="9"/>
        <v>454.7</v>
      </c>
      <c r="AY12" s="20">
        <f t="shared" si="10"/>
        <v>643.1999999999999</v>
      </c>
      <c r="AZ12" s="20">
        <f t="shared" si="11"/>
        <v>8.500000000000114</v>
      </c>
    </row>
    <row r="13" spans="1:52" ht="34.5" customHeight="1">
      <c r="A13" s="6">
        <v>6</v>
      </c>
      <c r="B13" s="1" t="s">
        <v>34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65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35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>
        <v>0</v>
      </c>
      <c r="AF15" s="3">
        <v>8.4</v>
      </c>
      <c r="AG15" s="14"/>
      <c r="AH15" s="3">
        <v>0</v>
      </c>
      <c r="AI15" s="3">
        <v>6</v>
      </c>
      <c r="AJ15" s="3">
        <f t="shared" si="17"/>
        <v>0</v>
      </c>
      <c r="AK15" s="3">
        <f t="shared" si="18"/>
        <v>32.1</v>
      </c>
      <c r="AL15" s="14" t="e">
        <f t="shared" si="6"/>
        <v>#DIV/0!</v>
      </c>
      <c r="AM15" s="3">
        <v>27.1</v>
      </c>
      <c r="AN15" s="3">
        <v>0.3</v>
      </c>
      <c r="AO15" s="3"/>
      <c r="AP15" s="3"/>
      <c r="AQ15" s="3"/>
      <c r="AR15" s="3"/>
      <c r="AS15" s="3">
        <f t="shared" si="19"/>
        <v>1014.5</v>
      </c>
      <c r="AT15" s="3">
        <f t="shared" si="20"/>
        <v>1465.8999999999999</v>
      </c>
      <c r="AU15" s="97">
        <f>AT15/AS15*100</f>
        <v>144.49482503696402</v>
      </c>
      <c r="AV15" s="14">
        <f t="shared" si="7"/>
        <v>-451.39999999999986</v>
      </c>
      <c r="AW15" s="4">
        <f t="shared" si="8"/>
        <v>176.00000000000023</v>
      </c>
      <c r="AX15" s="20">
        <f t="shared" si="9"/>
        <v>1014.5</v>
      </c>
      <c r="AY15" s="20">
        <f t="shared" si="10"/>
        <v>1465.8999999999999</v>
      </c>
      <c r="AZ15" s="20">
        <f t="shared" si="11"/>
        <v>176.00000000000023</v>
      </c>
    </row>
    <row r="16" spans="1:52" ht="34.5" customHeight="1">
      <c r="A16" s="6">
        <v>9</v>
      </c>
      <c r="B16" s="1" t="s">
        <v>36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37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>
        <v>0</v>
      </c>
      <c r="AF17" s="41">
        <v>0</v>
      </c>
      <c r="AG17" s="33"/>
      <c r="AH17" s="41">
        <v>0</v>
      </c>
      <c r="AI17" s="41">
        <v>0</v>
      </c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>
        <v>0</v>
      </c>
      <c r="AN17" s="41">
        <v>0</v>
      </c>
      <c r="AO17" s="41"/>
      <c r="AP17" s="41"/>
      <c r="AQ17" s="41"/>
      <c r="AR17" s="41"/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38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39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>
        <f>1.5+0.8</f>
        <v>2.3</v>
      </c>
      <c r="AN19" s="3">
        <v>0</v>
      </c>
      <c r="AO19" s="3"/>
      <c r="AP19" s="3"/>
      <c r="AQ19" s="3"/>
      <c r="AR19" s="3"/>
      <c r="AS19" s="3">
        <f t="shared" si="19"/>
        <v>74.8</v>
      </c>
      <c r="AT19" s="3">
        <f t="shared" si="20"/>
        <v>133.8</v>
      </c>
      <c r="AU19" s="97">
        <f>AT19/AS19*100</f>
        <v>178.8770053475936</v>
      </c>
      <c r="AV19" s="14">
        <f t="shared" si="7"/>
        <v>-59.000000000000014</v>
      </c>
      <c r="AW19" s="4">
        <f t="shared" si="8"/>
        <v>-26.600000000000023</v>
      </c>
      <c r="AX19" s="20">
        <f t="shared" si="9"/>
        <v>74.8</v>
      </c>
      <c r="AY19" s="20">
        <f t="shared" si="10"/>
        <v>133.8</v>
      </c>
      <c r="AZ19" s="20">
        <f t="shared" si="11"/>
        <v>-26.600000000000023</v>
      </c>
    </row>
    <row r="20" spans="1:52" ht="34.5" customHeight="1">
      <c r="A20" s="6">
        <v>13</v>
      </c>
      <c r="B20" s="15" t="s">
        <v>40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41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42</v>
      </c>
      <c r="C22" s="2">
        <v>21.5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>
        <v>0</v>
      </c>
      <c r="AF22" s="3">
        <v>0</v>
      </c>
      <c r="AG22" s="36"/>
      <c r="AH22" s="3">
        <v>0</v>
      </c>
      <c r="AI22" s="3">
        <v>4.1</v>
      </c>
      <c r="AJ22" s="3">
        <f t="shared" si="17"/>
        <v>0</v>
      </c>
      <c r="AK22" s="3">
        <f t="shared" si="18"/>
        <v>4.6</v>
      </c>
      <c r="AL22" s="14" t="e">
        <f t="shared" si="6"/>
        <v>#DIV/0!</v>
      </c>
      <c r="AM22" s="3">
        <v>0</v>
      </c>
      <c r="AN22" s="3">
        <v>0</v>
      </c>
      <c r="AO22" s="3"/>
      <c r="AP22" s="3"/>
      <c r="AQ22" s="3"/>
      <c r="AR22" s="3"/>
      <c r="AS22" s="3">
        <f t="shared" si="19"/>
        <v>6.8999999999999995</v>
      </c>
      <c r="AT22" s="3">
        <f t="shared" si="20"/>
        <v>10.899999999999999</v>
      </c>
      <c r="AU22" s="97">
        <f>AT22/AS22*100</f>
        <v>157.97101449275362</v>
      </c>
      <c r="AV22" s="14">
        <f t="shared" si="7"/>
        <v>-3.999999999999999</v>
      </c>
      <c r="AW22" s="4">
        <f t="shared" si="8"/>
        <v>17.5</v>
      </c>
      <c r="AX22" s="20">
        <f t="shared" si="9"/>
        <v>6.8999999999999995</v>
      </c>
      <c r="AY22" s="20">
        <f t="shared" si="10"/>
        <v>10.899999999999999</v>
      </c>
      <c r="AZ22" s="20">
        <f t="shared" si="11"/>
        <v>17.5</v>
      </c>
    </row>
    <row r="23" spans="1:52" ht="34.5" customHeight="1">
      <c r="A23" s="6">
        <v>16</v>
      </c>
      <c r="B23" s="15" t="s">
        <v>43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4">
        <f t="shared" si="15"/>
        <v>0</v>
      </c>
      <c r="Z23" s="94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44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0</v>
      </c>
      <c r="AC24" s="3">
        <v>63.3</v>
      </c>
      <c r="AD24" s="95" t="e">
        <f>AC24/AB24*100</f>
        <v>#DIV/0!</v>
      </c>
      <c r="AE24" s="3">
        <v>0</v>
      </c>
      <c r="AF24" s="3">
        <v>21.9</v>
      </c>
      <c r="AG24" s="14"/>
      <c r="AH24" s="3">
        <v>0</v>
      </c>
      <c r="AI24" s="3">
        <v>65.5</v>
      </c>
      <c r="AJ24" s="3">
        <f t="shared" si="17"/>
        <v>0</v>
      </c>
      <c r="AK24" s="3">
        <f t="shared" si="18"/>
        <v>150.7</v>
      </c>
      <c r="AL24" s="28" t="e">
        <f t="shared" si="6"/>
        <v>#DIV/0!</v>
      </c>
      <c r="AM24" s="3">
        <v>0</v>
      </c>
      <c r="AN24" s="3">
        <v>15.3</v>
      </c>
      <c r="AO24" s="3"/>
      <c r="AP24" s="3"/>
      <c r="AQ24" s="3"/>
      <c r="AR24" s="3"/>
      <c r="AS24" s="3">
        <f t="shared" si="19"/>
        <v>1650.3000000000002</v>
      </c>
      <c r="AT24" s="3">
        <f t="shared" si="20"/>
        <v>2211.3</v>
      </c>
      <c r="AU24" s="97">
        <f>AT24/AS24*100</f>
        <v>133.99381930558081</v>
      </c>
      <c r="AV24" s="14">
        <f t="shared" si="7"/>
        <v>-561</v>
      </c>
      <c r="AW24" s="4">
        <f t="shared" si="8"/>
        <v>314.6999999999998</v>
      </c>
      <c r="AX24" s="20">
        <f t="shared" si="9"/>
        <v>1650.3000000000002</v>
      </c>
      <c r="AY24" s="20">
        <f t="shared" si="10"/>
        <v>2211.3</v>
      </c>
      <c r="AZ24" s="20">
        <f t="shared" si="11"/>
        <v>314.6999999999998</v>
      </c>
    </row>
    <row r="25" spans="1:52" ht="34.5" customHeight="1">
      <c r="A25" s="6">
        <v>18</v>
      </c>
      <c r="B25" s="1" t="s">
        <v>45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33"/>
      <c r="AH25" s="41">
        <v>0</v>
      </c>
      <c r="AI25" s="41">
        <v>0</v>
      </c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>
        <v>0.1</v>
      </c>
      <c r="AN25" s="41">
        <v>0</v>
      </c>
      <c r="AO25" s="41"/>
      <c r="AP25" s="41"/>
      <c r="AQ25" s="41"/>
      <c r="AR25" s="41"/>
      <c r="AS25" s="3">
        <f t="shared" si="19"/>
        <v>2.4000000000000004</v>
      </c>
      <c r="AT25" s="3">
        <f t="shared" si="20"/>
        <v>4.6</v>
      </c>
      <c r="AU25" s="97">
        <f>AT25/AS25*100</f>
        <v>191.66666666666663</v>
      </c>
      <c r="AV25" s="14">
        <f t="shared" si="7"/>
        <v>-2.1999999999999993</v>
      </c>
      <c r="AW25" s="4">
        <f t="shared" si="8"/>
        <v>-3.3999999999999995</v>
      </c>
      <c r="AX25" s="20">
        <f t="shared" si="9"/>
        <v>2.4000000000000004</v>
      </c>
      <c r="AY25" s="20">
        <f t="shared" si="10"/>
        <v>4.6</v>
      </c>
      <c r="AZ25" s="20">
        <f t="shared" si="11"/>
        <v>-3.3999999999999995</v>
      </c>
    </row>
    <row r="26" spans="1:52" ht="34.5" customHeight="1">
      <c r="A26" s="6">
        <v>19</v>
      </c>
      <c r="B26" s="15" t="s">
        <v>46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47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48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41">
        <v>0</v>
      </c>
      <c r="AF28" s="41">
        <v>20.2</v>
      </c>
      <c r="AG28" s="36"/>
      <c r="AH28" s="3">
        <v>0</v>
      </c>
      <c r="AI28" s="3">
        <v>0</v>
      </c>
      <c r="AJ28" s="3">
        <f t="shared" si="17"/>
        <v>0</v>
      </c>
      <c r="AK28" s="3">
        <f t="shared" si="18"/>
        <v>20.2</v>
      </c>
      <c r="AL28" s="14" t="e">
        <f t="shared" si="6"/>
        <v>#DIV/0!</v>
      </c>
      <c r="AM28" s="41">
        <v>5.1</v>
      </c>
      <c r="AN28" s="41">
        <v>11.1</v>
      </c>
      <c r="AO28" s="41"/>
      <c r="AP28" s="41"/>
      <c r="AQ28" s="41"/>
      <c r="AR28" s="41"/>
      <c r="AS28" s="3">
        <f t="shared" si="19"/>
        <v>583.8</v>
      </c>
      <c r="AT28" s="3">
        <f t="shared" si="20"/>
        <v>863.4</v>
      </c>
      <c r="AU28" s="97">
        <f>AT28/AS28*100</f>
        <v>147.89311408016445</v>
      </c>
      <c r="AV28" s="14">
        <f t="shared" si="7"/>
        <v>-279.6</v>
      </c>
      <c r="AW28" s="4">
        <f t="shared" si="8"/>
        <v>5.100000000000023</v>
      </c>
      <c r="AX28" s="20">
        <f t="shared" si="9"/>
        <v>583.8</v>
      </c>
      <c r="AY28" s="20">
        <f t="shared" si="10"/>
        <v>863.4</v>
      </c>
      <c r="AZ28" s="20">
        <f t="shared" si="11"/>
        <v>5.100000000000023</v>
      </c>
    </row>
    <row r="29" spans="1:52" ht="34.5" customHeight="1">
      <c r="A29" s="6">
        <v>22</v>
      </c>
      <c r="B29" s="1" t="s">
        <v>49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50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51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52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97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77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23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>
        <v>0</v>
      </c>
      <c r="AF34" s="3">
        <v>0</v>
      </c>
      <c r="AG34" s="14"/>
      <c r="AH34" s="3">
        <v>0</v>
      </c>
      <c r="AI34" s="3">
        <v>0</v>
      </c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>
        <v>0</v>
      </c>
      <c r="AN34" s="3">
        <v>0</v>
      </c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97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25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67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53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>
        <v>0</v>
      </c>
      <c r="AF37" s="3">
        <v>7</v>
      </c>
      <c r="AG37" s="14"/>
      <c r="AH37" s="3">
        <v>-4.9</v>
      </c>
      <c r="AI37" s="3">
        <v>936.8</v>
      </c>
      <c r="AJ37" s="3">
        <f t="shared" si="17"/>
        <v>-4.9</v>
      </c>
      <c r="AK37" s="3">
        <f t="shared" si="18"/>
        <v>949.3</v>
      </c>
      <c r="AL37" s="14">
        <f t="shared" si="6"/>
        <v>-19373.4693877551</v>
      </c>
      <c r="AM37" s="3">
        <v>0</v>
      </c>
      <c r="AN37" s="3">
        <v>192.4</v>
      </c>
      <c r="AO37" s="3"/>
      <c r="AP37" s="3"/>
      <c r="AQ37" s="3"/>
      <c r="AR37" s="3"/>
      <c r="AS37" s="3">
        <f t="shared" si="19"/>
        <v>71.19999999999999</v>
      </c>
      <c r="AT37" s="3">
        <f t="shared" si="20"/>
        <v>1258.1000000000001</v>
      </c>
      <c r="AU37" s="97">
        <f aca="true" t="shared" si="25" ref="AU37:AU48">AT37/AS37*100</f>
        <v>1766.9943820224723</v>
      </c>
      <c r="AV37" s="14">
        <f aca="true" t="shared" si="26" ref="AV37:AV44">AS37-AT37</f>
        <v>-1186.9</v>
      </c>
      <c r="AW37" s="4">
        <f aca="true" t="shared" si="27" ref="AW37:AW44">C37+AS37-AT37</f>
        <v>185.29999999999995</v>
      </c>
      <c r="AX37" s="20">
        <f t="shared" si="9"/>
        <v>71.19999999999999</v>
      </c>
      <c r="AY37" s="20">
        <f t="shared" si="10"/>
        <v>1258.1000000000001</v>
      </c>
      <c r="AZ37" s="20">
        <f t="shared" si="11"/>
        <v>185.29999999999995</v>
      </c>
    </row>
    <row r="38" spans="1:52" ht="34.5" customHeight="1">
      <c r="A38" s="6">
        <v>27</v>
      </c>
      <c r="B38" s="105" t="s">
        <v>54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>
        <v>0</v>
      </c>
      <c r="AF38" s="3">
        <v>0</v>
      </c>
      <c r="AG38" s="14"/>
      <c r="AH38" s="3">
        <v>0</v>
      </c>
      <c r="AI38" s="3">
        <v>0</v>
      </c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>
        <v>0.8</v>
      </c>
      <c r="AN38" s="3">
        <v>0</v>
      </c>
      <c r="AO38" s="3"/>
      <c r="AP38" s="3"/>
      <c r="AQ38" s="3"/>
      <c r="AR38" s="3"/>
      <c r="AS38" s="3">
        <f t="shared" si="19"/>
        <v>322.70000000000005</v>
      </c>
      <c r="AT38" s="3">
        <f t="shared" si="20"/>
        <v>469.19999999999993</v>
      </c>
      <c r="AU38" s="97">
        <f t="shared" si="25"/>
        <v>145.3982026650139</v>
      </c>
      <c r="AV38" s="14">
        <f t="shared" si="26"/>
        <v>-146.4999999999999</v>
      </c>
      <c r="AW38" s="4">
        <f t="shared" si="27"/>
        <v>4.600000000000136</v>
      </c>
      <c r="AX38" s="20">
        <f t="shared" si="9"/>
        <v>322.70000000000005</v>
      </c>
      <c r="AY38" s="20">
        <f t="shared" si="10"/>
        <v>469.19999999999993</v>
      </c>
      <c r="AZ38" s="20">
        <f t="shared" si="11"/>
        <v>4.600000000000136</v>
      </c>
    </row>
    <row r="39" spans="1:52" ht="34.5" customHeight="1">
      <c r="A39" s="6">
        <v>28</v>
      </c>
      <c r="B39" s="106" t="s">
        <v>55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31.2</v>
      </c>
      <c r="AD39" s="14"/>
      <c r="AE39" s="3">
        <v>0</v>
      </c>
      <c r="AF39" s="3">
        <v>0.5</v>
      </c>
      <c r="AG39" s="14"/>
      <c r="AH39" s="3">
        <v>1.6</v>
      </c>
      <c r="AI39" s="3">
        <v>0</v>
      </c>
      <c r="AJ39" s="3">
        <f t="shared" si="17"/>
        <v>1.6</v>
      </c>
      <c r="AK39" s="3">
        <f t="shared" si="18"/>
        <v>31.7</v>
      </c>
      <c r="AL39" s="14">
        <f t="shared" si="6"/>
        <v>1981.25</v>
      </c>
      <c r="AM39" s="3">
        <v>13.7</v>
      </c>
      <c r="AN39" s="3">
        <v>1</v>
      </c>
      <c r="AO39" s="3"/>
      <c r="AP39" s="3"/>
      <c r="AQ39" s="3"/>
      <c r="AR39" s="3"/>
      <c r="AS39" s="3">
        <f t="shared" si="19"/>
        <v>1495.2</v>
      </c>
      <c r="AT39" s="3">
        <f t="shared" si="20"/>
        <v>2100.1</v>
      </c>
      <c r="AU39" s="97">
        <f t="shared" si="25"/>
        <v>140.456126270733</v>
      </c>
      <c r="AV39" s="14">
        <f t="shared" si="26"/>
        <v>-604.8999999999999</v>
      </c>
      <c r="AW39" s="4">
        <f t="shared" si="27"/>
        <v>423.2000000000003</v>
      </c>
      <c r="AX39" s="20">
        <f t="shared" si="9"/>
        <v>1495.2</v>
      </c>
      <c r="AY39" s="20">
        <f t="shared" si="10"/>
        <v>2100.1</v>
      </c>
      <c r="AZ39" s="20">
        <f t="shared" si="11"/>
        <v>423.2000000000003</v>
      </c>
    </row>
    <row r="40" spans="1:52" ht="34.5" customHeight="1">
      <c r="A40" s="6">
        <v>29</v>
      </c>
      <c r="B40" s="106" t="s">
        <v>56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>
        <v>0</v>
      </c>
      <c r="AF40" s="3">
        <v>9</v>
      </c>
      <c r="AG40" s="14"/>
      <c r="AH40" s="3">
        <v>0</v>
      </c>
      <c r="AI40" s="3">
        <v>10.1</v>
      </c>
      <c r="AJ40" s="3">
        <f t="shared" si="17"/>
        <v>0</v>
      </c>
      <c r="AK40" s="3">
        <f t="shared" si="18"/>
        <v>37.8</v>
      </c>
      <c r="AL40" s="14" t="e">
        <f t="shared" si="6"/>
        <v>#DIV/0!</v>
      </c>
      <c r="AM40" s="3">
        <v>0</v>
      </c>
      <c r="AN40" s="3">
        <v>6.3</v>
      </c>
      <c r="AO40" s="3"/>
      <c r="AP40" s="3"/>
      <c r="AQ40" s="3"/>
      <c r="AR40" s="3"/>
      <c r="AS40" s="3">
        <f t="shared" si="19"/>
        <v>2262.1</v>
      </c>
      <c r="AT40" s="3">
        <f t="shared" si="20"/>
        <v>2854.0000000000005</v>
      </c>
      <c r="AU40" s="97">
        <f t="shared" si="25"/>
        <v>126.16595199151233</v>
      </c>
      <c r="AV40" s="14">
        <f t="shared" si="26"/>
        <v>-591.9000000000005</v>
      </c>
      <c r="AW40" s="4">
        <f t="shared" si="27"/>
        <v>58.79999999999973</v>
      </c>
      <c r="AX40" s="20">
        <f t="shared" si="9"/>
        <v>2262.1</v>
      </c>
      <c r="AY40" s="20">
        <f t="shared" si="10"/>
        <v>2854.0000000000005</v>
      </c>
      <c r="AZ40" s="20">
        <f t="shared" si="11"/>
        <v>58.79999999999973</v>
      </c>
    </row>
    <row r="41" spans="1:52" ht="34.5" customHeight="1">
      <c r="A41" s="6">
        <v>30</v>
      </c>
      <c r="B41" s="106" t="s">
        <v>57</v>
      </c>
      <c r="C41" s="2">
        <v>1507.9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>
        <v>0</v>
      </c>
      <c r="AF41" s="3">
        <v>36.4</v>
      </c>
      <c r="AG41" s="14"/>
      <c r="AH41" s="3">
        <v>0</v>
      </c>
      <c r="AI41" s="3">
        <v>98.5</v>
      </c>
      <c r="AJ41" s="3">
        <f t="shared" si="17"/>
        <v>0</v>
      </c>
      <c r="AK41" s="3">
        <f t="shared" si="18"/>
        <v>571.4</v>
      </c>
      <c r="AL41" s="28" t="e">
        <f t="shared" si="6"/>
        <v>#DIV/0!</v>
      </c>
      <c r="AM41" s="3">
        <v>90.9</v>
      </c>
      <c r="AN41" s="3">
        <v>132.2</v>
      </c>
      <c r="AO41" s="3"/>
      <c r="AP41" s="3"/>
      <c r="AQ41" s="3"/>
      <c r="AR41" s="3"/>
      <c r="AS41" s="3">
        <f t="shared" si="19"/>
        <v>4230.5</v>
      </c>
      <c r="AT41" s="3">
        <f t="shared" si="20"/>
        <v>4969.599999999999</v>
      </c>
      <c r="AU41" s="97">
        <f t="shared" si="25"/>
        <v>117.4707481385179</v>
      </c>
      <c r="AV41" s="14">
        <f t="shared" si="26"/>
        <v>-739.0999999999995</v>
      </c>
      <c r="AW41" s="4">
        <f t="shared" si="27"/>
        <v>768.8000000000002</v>
      </c>
      <c r="AX41" s="20">
        <f t="shared" si="9"/>
        <v>4230.5</v>
      </c>
      <c r="AY41" s="20">
        <f t="shared" si="10"/>
        <v>4969.599999999999</v>
      </c>
      <c r="AZ41" s="20">
        <f t="shared" si="11"/>
        <v>768.8000000000002</v>
      </c>
    </row>
    <row r="42" spans="1:52" ht="34.5" customHeight="1">
      <c r="A42" s="6">
        <v>31</v>
      </c>
      <c r="B42" s="106" t="s">
        <v>58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59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>
        <v>0</v>
      </c>
      <c r="AF43" s="3">
        <v>5.3</v>
      </c>
      <c r="AG43" s="28"/>
      <c r="AH43" s="3">
        <v>0</v>
      </c>
      <c r="AI43" s="3">
        <v>5.6</v>
      </c>
      <c r="AJ43" s="3">
        <f t="shared" si="17"/>
        <v>0</v>
      </c>
      <c r="AK43" s="3">
        <f t="shared" si="18"/>
        <v>16.799999999999997</v>
      </c>
      <c r="AL43" s="28" t="e">
        <f t="shared" si="6"/>
        <v>#DIV/0!</v>
      </c>
      <c r="AM43" s="3">
        <v>7.7</v>
      </c>
      <c r="AN43" s="3">
        <v>4.6</v>
      </c>
      <c r="AO43" s="3"/>
      <c r="AP43" s="3"/>
      <c r="AQ43" s="3"/>
      <c r="AR43" s="3"/>
      <c r="AS43" s="3">
        <f t="shared" si="19"/>
        <v>914.5</v>
      </c>
      <c r="AT43" s="3">
        <f t="shared" si="20"/>
        <v>1190.9999999999998</v>
      </c>
      <c r="AU43" s="97">
        <f t="shared" si="25"/>
        <v>130.23510114816835</v>
      </c>
      <c r="AV43" s="14">
        <f t="shared" si="26"/>
        <v>-276.4999999999998</v>
      </c>
      <c r="AW43" s="4">
        <f t="shared" si="27"/>
        <v>321.2000000000003</v>
      </c>
      <c r="AX43" s="20">
        <f t="shared" si="9"/>
        <v>914.5</v>
      </c>
      <c r="AY43" s="20">
        <f t="shared" si="10"/>
        <v>1190.9999999999998</v>
      </c>
      <c r="AZ43" s="20">
        <f t="shared" si="11"/>
        <v>321.2000000000003</v>
      </c>
    </row>
    <row r="44" spans="1:52" ht="34.5" customHeight="1">
      <c r="A44" s="6">
        <v>33</v>
      </c>
      <c r="B44" s="106" t="s">
        <v>60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>
        <v>55.3</v>
      </c>
      <c r="AF44" s="3">
        <v>62.5</v>
      </c>
      <c r="AG44" s="28"/>
      <c r="AH44" s="3">
        <v>55.1</v>
      </c>
      <c r="AI44" s="3">
        <v>267.6</v>
      </c>
      <c r="AJ44" s="3">
        <f t="shared" si="17"/>
        <v>165.5</v>
      </c>
      <c r="AK44" s="3">
        <f t="shared" si="18"/>
        <v>392.1</v>
      </c>
      <c r="AL44" s="14">
        <f t="shared" si="6"/>
        <v>236.91842900302115</v>
      </c>
      <c r="AM44" s="3">
        <v>70.2</v>
      </c>
      <c r="AN44" s="3">
        <v>67.3</v>
      </c>
      <c r="AO44" s="3"/>
      <c r="AP44" s="3"/>
      <c r="AQ44" s="3"/>
      <c r="AR44" s="3"/>
      <c r="AS44" s="3">
        <f t="shared" si="19"/>
        <v>1992.3</v>
      </c>
      <c r="AT44" s="3">
        <f t="shared" si="20"/>
        <v>2533.8</v>
      </c>
      <c r="AU44" s="97">
        <f t="shared" si="25"/>
        <v>127.17964162023793</v>
      </c>
      <c r="AV44" s="14">
        <f t="shared" si="26"/>
        <v>-541.5000000000002</v>
      </c>
      <c r="AW44" s="4">
        <f t="shared" si="27"/>
        <v>-109.80000000000018</v>
      </c>
      <c r="AX44" s="20">
        <f t="shared" si="9"/>
        <v>1992.3</v>
      </c>
      <c r="AY44" s="20">
        <f t="shared" si="10"/>
        <v>2533.8</v>
      </c>
      <c r="AZ44" s="20">
        <f t="shared" si="11"/>
        <v>-109.80000000000018</v>
      </c>
    </row>
    <row r="45" spans="1:52" s="8" customFormat="1" ht="34.5" customHeight="1">
      <c r="A45" s="38">
        <v>34</v>
      </c>
      <c r="B45" s="16" t="s">
        <v>61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5921.6</v>
      </c>
      <c r="AF45" s="45">
        <f>AF46+AF47</f>
        <v>11033.4</v>
      </c>
      <c r="AG45" s="14">
        <f>AF45/AE45*100</f>
        <v>186.3246419886517</v>
      </c>
      <c r="AH45" s="45">
        <f>AH46+AH47</f>
        <v>7281</v>
      </c>
      <c r="AI45" s="45">
        <f>AI46+AI47</f>
        <v>12196.9</v>
      </c>
      <c r="AJ45" s="95">
        <f>AJ46+AJ47</f>
        <v>24861</v>
      </c>
      <c r="AK45" s="95">
        <f>AK46+AK47</f>
        <v>35744.8</v>
      </c>
      <c r="AL45" s="95">
        <f t="shared" si="6"/>
        <v>143.77860906640925</v>
      </c>
      <c r="AM45" s="45">
        <f aca="true" t="shared" si="28" ref="AM45:AT45">AM46+AM47</f>
        <v>10823</v>
      </c>
      <c r="AN45" s="45">
        <f t="shared" si="28"/>
        <v>24598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327107.5</v>
      </c>
      <c r="AT45" s="45">
        <f t="shared" si="28"/>
        <v>339337.1</v>
      </c>
      <c r="AU45" s="97">
        <f t="shared" si="25"/>
        <v>103.73870975138142</v>
      </c>
      <c r="AV45" s="46">
        <f>AV46+AV47</f>
        <v>-12229.6</v>
      </c>
      <c r="AW45" s="46">
        <f>AW46+AW47</f>
        <v>112779.2</v>
      </c>
      <c r="AX45" s="20">
        <f t="shared" si="9"/>
        <v>327107.5</v>
      </c>
      <c r="AY45" s="20">
        <f t="shared" si="10"/>
        <v>339337.1</v>
      </c>
      <c r="AZ45" s="20">
        <f t="shared" si="11"/>
        <v>112779.20000000001</v>
      </c>
    </row>
    <row r="46" spans="1:52" s="8" customFormat="1" ht="34.5" customHeight="1">
      <c r="A46" s="38"/>
      <c r="B46" s="1" t="s">
        <v>66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>
        <v>5737</v>
      </c>
      <c r="AF46" s="41">
        <v>10751</v>
      </c>
      <c r="AG46" s="14"/>
      <c r="AH46" s="41">
        <v>7077</v>
      </c>
      <c r="AI46" s="41">
        <v>12009</v>
      </c>
      <c r="AJ46" s="3">
        <f>AB46+AE46+AH46</f>
        <v>24275</v>
      </c>
      <c r="AK46" s="3">
        <f>AC46+AF46+AI46</f>
        <v>34908</v>
      </c>
      <c r="AL46" s="14">
        <f t="shared" si="6"/>
        <v>143.8022657054583</v>
      </c>
      <c r="AM46" s="41">
        <v>10545</v>
      </c>
      <c r="AN46" s="41">
        <v>24394</v>
      </c>
      <c r="AO46" s="41"/>
      <c r="AP46" s="41"/>
      <c r="AQ46" s="41"/>
      <c r="AR46" s="41"/>
      <c r="AS46" s="3">
        <f>M46+Y46+AJ46+AM46+AO46+AQ46</f>
        <v>320966</v>
      </c>
      <c r="AT46" s="3">
        <f>N46+Z46+AK46+AN46+AP46+AR46</f>
        <v>331887</v>
      </c>
      <c r="AU46" s="97">
        <f t="shared" si="25"/>
        <v>103.40254107911741</v>
      </c>
      <c r="AV46" s="14">
        <f>AS46-AT46</f>
        <v>-10921</v>
      </c>
      <c r="AW46" s="4">
        <f>C46+AS46-AT46</f>
        <v>112023</v>
      </c>
      <c r="AX46" s="20">
        <f t="shared" si="9"/>
        <v>320966</v>
      </c>
      <c r="AY46" s="20">
        <f t="shared" si="10"/>
        <v>331887</v>
      </c>
      <c r="AZ46" s="20">
        <f t="shared" si="11"/>
        <v>112023</v>
      </c>
    </row>
    <row r="47" spans="1:52" s="8" customFormat="1" ht="34.5" customHeight="1">
      <c r="A47" s="38"/>
      <c r="B47" s="1" t="s">
        <v>67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>
        <v>184.6</v>
      </c>
      <c r="AF47" s="41">
        <v>282.4</v>
      </c>
      <c r="AG47" s="36"/>
      <c r="AH47" s="41">
        <v>204</v>
      </c>
      <c r="AI47" s="41">
        <v>187.9</v>
      </c>
      <c r="AJ47" s="3">
        <f>AB47+AE47+AH47</f>
        <v>586</v>
      </c>
      <c r="AK47" s="3">
        <f>AC47+AF47+AI47</f>
        <v>836.8</v>
      </c>
      <c r="AL47" s="14">
        <f t="shared" si="6"/>
        <v>142.79863481228668</v>
      </c>
      <c r="AM47" s="41">
        <v>278</v>
      </c>
      <c r="AN47" s="41">
        <v>204</v>
      </c>
      <c r="AO47" s="41"/>
      <c r="AP47" s="41"/>
      <c r="AQ47" s="41"/>
      <c r="AR47" s="41"/>
      <c r="AS47" s="3">
        <f>M47+Y47+AJ47+AM47+AO47+AQ47</f>
        <v>6141.5</v>
      </c>
      <c r="AT47" s="3">
        <f>N47+Z47+AK47+AN47+AP47+AR47</f>
        <v>7450.1</v>
      </c>
      <c r="AU47" s="97">
        <f t="shared" si="25"/>
        <v>121.30749816819997</v>
      </c>
      <c r="AV47" s="14">
        <f>AS47-AT47</f>
        <v>-1308.6000000000004</v>
      </c>
      <c r="AW47" s="4">
        <f>C47+AS47-AT47</f>
        <v>756.1999999999989</v>
      </c>
      <c r="AX47" s="20">
        <f t="shared" si="9"/>
        <v>6141.5</v>
      </c>
      <c r="AY47" s="20">
        <f t="shared" si="10"/>
        <v>7450.1</v>
      </c>
      <c r="AZ47" s="20">
        <f t="shared" si="11"/>
        <v>756.1999999999989</v>
      </c>
    </row>
    <row r="48" spans="1:52" s="8" customFormat="1" ht="34.5" customHeight="1">
      <c r="A48" s="38"/>
      <c r="B48" s="16" t="s">
        <v>62</v>
      </c>
      <c r="C48" s="45">
        <f>C7+C45</f>
        <v>134166.30000000002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10618</v>
      </c>
      <c r="W48" s="45">
        <f>W7+W45</f>
        <v>17261.600000000002</v>
      </c>
      <c r="X48" s="45" t="e">
        <f t="shared" si="29"/>
        <v>#DIV/0!</v>
      </c>
      <c r="Y48" s="45">
        <f>Y7+Y45</f>
        <v>54755</v>
      </c>
      <c r="Z48" s="45">
        <f>Z7+Z45</f>
        <v>90047.09999999999</v>
      </c>
      <c r="AA48" s="95">
        <f t="shared" si="5"/>
        <v>164.4545703588713</v>
      </c>
      <c r="AB48" s="45">
        <f>AB7+AB45</f>
        <v>11713.5</v>
      </c>
      <c r="AC48" s="45">
        <f>AC7+AC45</f>
        <v>13209.7</v>
      </c>
      <c r="AD48" s="14">
        <f>AC48/AB48*100</f>
        <v>112.77329576983823</v>
      </c>
      <c r="AE48" s="45">
        <f t="shared" si="29"/>
        <v>5976.900000000001</v>
      </c>
      <c r="AF48" s="45">
        <f t="shared" si="29"/>
        <v>11248.8</v>
      </c>
      <c r="AG48" s="45" t="e">
        <f t="shared" si="29"/>
        <v>#DIV/0!</v>
      </c>
      <c r="AH48" s="45">
        <f t="shared" si="29"/>
        <v>7332.8</v>
      </c>
      <c r="AI48" s="45">
        <f t="shared" si="29"/>
        <v>13615.099999999999</v>
      </c>
      <c r="AJ48" s="45">
        <f t="shared" si="29"/>
        <v>25023.2</v>
      </c>
      <c r="AK48" s="45">
        <f t="shared" si="29"/>
        <v>38073.600000000006</v>
      </c>
      <c r="AL48" s="45" t="e">
        <f t="shared" si="29"/>
        <v>#DIV/0!</v>
      </c>
      <c r="AM48" s="45">
        <f t="shared" si="29"/>
        <v>11073.3</v>
      </c>
      <c r="AN48" s="45">
        <f t="shared" si="29"/>
        <v>25060.9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345298.9</v>
      </c>
      <c r="AT48" s="45">
        <f>AT7+AT45</f>
        <v>364222.69999999995</v>
      </c>
      <c r="AU48" s="97">
        <f t="shared" si="25"/>
        <v>105.48041131900506</v>
      </c>
      <c r="AV48" s="45">
        <f>AV7+AV45</f>
        <v>-18923.8</v>
      </c>
      <c r="AW48" s="45">
        <f>AW7+AW45</f>
        <v>115242.5</v>
      </c>
      <c r="AX48" s="20">
        <f t="shared" si="9"/>
        <v>345298.9</v>
      </c>
      <c r="AY48" s="20">
        <f t="shared" si="10"/>
        <v>364222.70000000007</v>
      </c>
      <c r="AZ48" s="20">
        <f t="shared" si="11"/>
        <v>115242.5</v>
      </c>
    </row>
    <row r="49" spans="1:49" s="117" customFormat="1" ht="83.25" customHeight="1">
      <c r="A49" s="233" t="s">
        <v>68</v>
      </c>
      <c r="B49" s="233"/>
      <c r="C49" s="233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69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W5:AW6"/>
    <mergeCell ref="J5:L5"/>
    <mergeCell ref="AQ5:AR5"/>
    <mergeCell ref="S5:U5"/>
    <mergeCell ref="AE5:AG5"/>
    <mergeCell ref="B4:C4"/>
    <mergeCell ref="P5:R5"/>
    <mergeCell ref="AS5:AU5"/>
    <mergeCell ref="AJ5:AL5"/>
    <mergeCell ref="A2:AW3"/>
    <mergeCell ref="Y5:AA5"/>
    <mergeCell ref="AV5:AV6"/>
    <mergeCell ref="AM5:AN5"/>
    <mergeCell ref="AO5:AP5"/>
    <mergeCell ref="AH5:AI5"/>
    <mergeCell ref="A49:C49"/>
    <mergeCell ref="D5:F5"/>
    <mergeCell ref="M5:O5"/>
    <mergeCell ref="G5:I5"/>
    <mergeCell ref="AB5:AD5"/>
    <mergeCell ref="V5:X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2019-11-19T09:07:25Z</cp:lastPrinted>
  <dcterms:created xsi:type="dcterms:W3CDTF">2001-09-14T09:33:50Z</dcterms:created>
  <dcterms:modified xsi:type="dcterms:W3CDTF">2019-11-19T09:12:19Z</dcterms:modified>
  <cp:category/>
  <cp:version/>
  <cp:contentType/>
  <cp:contentStatus/>
</cp:coreProperties>
</file>