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2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'всього'!$B$1:$AX$45</definedName>
    <definedName name="_xlnm.Print_Area" localSheetId="4">'держ.бюджет'!$A$1:$AX$45</definedName>
    <definedName name="_xlnm.Print_Area" localSheetId="7">'інші'!$A$1:$AX$45</definedName>
    <definedName name="_xlnm.Print_Area" localSheetId="5">'місц.-районн.бюджет'!$A$1:$AX$45</definedName>
    <definedName name="_xlnm.Print_Area" localSheetId="1">'насел.'!$A$1:$AX$45</definedName>
    <definedName name="_xlnm.Print_Area" localSheetId="6">'областной'!$A$1:$AX$45</definedName>
    <definedName name="_xlnm.Print_Area" localSheetId="2">'пільги'!$A$1:$AW$45</definedName>
    <definedName name="_xlnm.Print_Area" localSheetId="3">'субсидії'!$A$1:$AX$45</definedName>
  </definedNames>
  <calcPr fullCalcOnLoad="1" refMode="R1C1"/>
</workbook>
</file>

<file path=xl/sharedStrings.xml><?xml version="1.0" encoding="utf-8"?>
<sst xmlns="http://schemas.openxmlformats.org/spreadsheetml/2006/main" count="1168" uniqueCount="126">
  <si>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</si>
  <si>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</si>
  <si>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</si>
  <si>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</si>
  <si>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</si>
  <si>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</si>
  <si>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</si>
  <si>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</si>
  <si>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</si>
  <si>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</si>
  <si>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</si>
  <si>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</si>
  <si>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</si>
  <si>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</si>
  <si>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</si>
  <si>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</si>
  <si>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</si>
  <si>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</si>
  <si>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</si>
  <si>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</si>
  <si>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</si>
  <si>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</si>
  <si>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</si>
  <si>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</si>
  <si>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</si>
  <si>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</si>
  <si>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</si>
  <si>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</si>
  <si>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</si>
  <si>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</si>
  <si>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</si>
  <si>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</si>
  <si>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</si>
  <si>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</si>
  <si>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</si>
  <si>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</si>
  <si>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</si>
  <si>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</si>
  <si>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</si>
  <si>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</si>
  <si>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</si>
  <si>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</si>
  <si>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</si>
  <si>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</si>
  <si>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</si>
  <si>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</si>
  <si>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</si>
  <si>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</si>
  <si>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</si>
  <si>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</si>
  <si>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</si>
  <si>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</si>
  <si>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</si>
  <si>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</si>
  <si>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</si>
  <si>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</si>
  <si>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</si>
  <si>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</si>
  <si>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</si>
  <si>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</si>
  <si>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</si>
  <si>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</si>
  <si>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</si>
  <si>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</si>
  <si>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</si>
  <si>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</si>
  <si>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</si>
  <si>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</si>
  <si>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</si>
  <si>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</si>
  <si>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</si>
  <si>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</si>
  <si>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</si>
  <si>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</si>
  <si>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</si>
  <si>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</si>
  <si>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</si>
  <si>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январь</t>
  </si>
  <si>
    <t>начислено</t>
  </si>
  <si>
    <t>октябрь</t>
  </si>
  <si>
    <t>ноябрь</t>
  </si>
  <si>
    <t>декабрь</t>
  </si>
  <si>
    <t>на 01.01.2018</t>
  </si>
  <si>
    <t xml:space="preserve">Задолженность за 2018 год по состоянию на 01.03.2018 </t>
  </si>
  <si>
    <t>3 квартал 2018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</si>
  <si>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</si>
  <si>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</si>
  <si>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</si>
  <si>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</si>
  <si>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</si>
  <si>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</si>
  <si>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</si>
  <si>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</si>
  <si>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</si>
  <si>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</si>
  <si>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</si>
  <si>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</si>
  <si>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</si>
  <si>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</si>
  <si>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</si>
  <si>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</si>
  <si>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</si>
  <si>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</si>
  <si>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з початку 2019 року</t>
  </si>
  <si>
    <t>на 01.01.2019</t>
  </si>
  <si>
    <t>лютий</t>
  </si>
  <si>
    <t>березень</t>
  </si>
  <si>
    <t>1 квартал 2019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</si>
  <si>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</si>
  <si>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</si>
  <si>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</si>
  <si>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</si>
  <si>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</si>
  <si>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</si>
  <si>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</si>
  <si>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Інформація щодо заборгованості споживачів за послуги з водопостачання та водовідведення станом на 01.10.2019</t>
  </si>
  <si>
    <t>Інформація щодо заборгованості населення за послуги з водопостачання та водовідведення станом на 01.10.2019</t>
  </si>
  <si>
    <t>Відшкодування пільг за надані послуги з водопостачання та водовідведення станом на 01.10.2019</t>
  </si>
  <si>
    <t>Відшкодування субсидій за надані послуги з водопостачання та водовідведення станом на 01.10.2019</t>
  </si>
  <si>
    <t>Інформація щодо заборгованості установ, які фінансуються з державного бюджету, за послуги з водопостачання та водовідведення 
станом на 01.10.2019</t>
  </si>
  <si>
    <t>Інформація щодо заборгованості установ, які фінансуються з місцевого бюджету, за послуги з водопостачання та водовідведення 
станом на 01.10.2019</t>
  </si>
  <si>
    <t>Інформація щодо заборгованості установ, які фінансуються з обласного бюджету, за послуги з водопостачання та водовідведення 
станом на 01.10.2019</t>
  </si>
  <si>
    <t>Інформація щодо заборгованості інших споживачів за послуги водопостачання та водовідведення 
станом на 01.10.2019</t>
  </si>
  <si>
    <t>вересень</t>
  </si>
  <si>
    <t xml:space="preserve">Заборгованість за 2019 рік станом на 01.10.2019 </t>
  </si>
  <si>
    <t>Загальна заборгованість станом на 01.10.2019 (з урахуванням боргів минулих років)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</si>
</sst>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4" tint="-0.24997000396251678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7" fillId="0" borderId="10" xfId="0" applyNumberFormat="1" applyFont="1" applyFill="1" applyBorder="1" applyAlignment="1">
      <alignment wrapText="1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96" fontId="67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68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200" fontId="69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 wrapText="1"/>
    </xf>
    <xf numFmtId="200" fontId="15" fillId="0" borderId="14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200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200" fontId="5" fillId="0" borderId="10" xfId="0" applyNumberFormat="1" applyFont="1" applyFill="1" applyBorder="1" applyAlignment="1">
      <alignment wrapText="1"/>
    </xf>
    <xf numFmtId="200" fontId="13" fillId="0" borderId="11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21" fillId="0" borderId="0" xfId="0" applyNumberFormat="1" applyFont="1" applyFill="1" applyBorder="1" applyAlignment="1">
      <alignment horizontal="center" vertical="center" wrapText="1"/>
    </xf>
    <xf numFmtId="200" fontId="11" fillId="0" borderId="13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 wrapText="1"/>
    </xf>
    <xf numFmtId="200" fontId="72" fillId="0" borderId="10" xfId="0" applyNumberFormat="1" applyFont="1" applyFill="1" applyBorder="1" applyAlignment="1">
      <alignment wrapText="1"/>
    </xf>
    <xf numFmtId="200" fontId="72" fillId="0" borderId="14" xfId="0" applyNumberFormat="1" applyFont="1" applyFill="1" applyBorder="1" applyAlignment="1">
      <alignment wrapText="1"/>
    </xf>
    <xf numFmtId="200" fontId="73" fillId="0" borderId="10" xfId="0" applyNumberFormat="1" applyFont="1" applyFill="1" applyBorder="1" applyAlignment="1">
      <alignment/>
    </xf>
    <xf numFmtId="0" fontId="71" fillId="0" borderId="14" xfId="0" applyFont="1" applyFill="1" applyBorder="1" applyAlignment="1">
      <alignment horizontal="center"/>
    </xf>
    <xf numFmtId="200" fontId="74" fillId="0" borderId="10" xfId="0" applyNumberFormat="1" applyFont="1" applyFill="1" applyBorder="1" applyAlignment="1">
      <alignment wrapText="1"/>
    </xf>
    <xf numFmtId="20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9" fillId="0" borderId="0" xfId="0" applyFont="1" applyFill="1" applyAlignment="1">
      <alignment/>
    </xf>
    <xf numFmtId="0" fontId="69" fillId="0" borderId="14" xfId="0" applyFont="1" applyFill="1" applyBorder="1" applyAlignment="1">
      <alignment horizontal="center"/>
    </xf>
    <xf numFmtId="200" fontId="69" fillId="0" borderId="0" xfId="0" applyNumberFormat="1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0" fillId="0" borderId="11" xfId="0" applyNumberFormat="1" applyFont="1" applyFill="1" applyBorder="1" applyAlignment="1">
      <alignment/>
    </xf>
    <xf numFmtId="200" fontId="67" fillId="0" borderId="11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 wrapText="1"/>
    </xf>
    <xf numFmtId="1" fontId="75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200" fontId="75" fillId="0" borderId="0" xfId="0" applyNumberFormat="1" applyFont="1" applyFill="1" applyBorder="1" applyAlignment="1">
      <alignment wrapText="1"/>
    </xf>
    <xf numFmtId="200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6" fontId="75" fillId="0" borderId="0" xfId="0" applyNumberFormat="1" applyFont="1" applyFill="1" applyAlignment="1">
      <alignment/>
    </xf>
    <xf numFmtId="200" fontId="76" fillId="0" borderId="0" xfId="0" applyNumberFormat="1" applyFont="1" applyFill="1" applyBorder="1" applyAlignment="1">
      <alignment horizontal="center" vertical="center" wrapText="1"/>
    </xf>
    <xf numFmtId="200" fontId="75" fillId="0" borderId="13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 wrapText="1"/>
    </xf>
    <xf numFmtId="200" fontId="74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77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200" fontId="4" fillId="0" borderId="0" xfId="0" applyNumberFormat="1" applyFont="1" applyFill="1" applyAlignment="1">
      <alignment/>
    </xf>
    <xf numFmtId="0" fontId="78" fillId="0" borderId="16" xfId="0" applyFont="1" applyFill="1" applyBorder="1" applyAlignment="1">
      <alignment vertical="center"/>
    </xf>
    <xf numFmtId="0" fontId="79" fillId="0" borderId="16" xfId="0" applyFont="1" applyFill="1" applyBorder="1" applyAlignment="1">
      <alignment vertical="center"/>
    </xf>
    <xf numFmtId="200" fontId="75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200" fontId="6" fillId="0" borderId="16" xfId="0" applyNumberFormat="1" applyFont="1" applyFill="1" applyBorder="1" applyAlignment="1">
      <alignment horizontal="left" wrapText="1"/>
    </xf>
    <xf numFmtId="200" fontId="5" fillId="0" borderId="16" xfId="0" applyNumberFormat="1" applyFont="1" applyFill="1" applyBorder="1" applyAlignment="1">
      <alignment horizontal="left" wrapText="1"/>
    </xf>
    <xf numFmtId="0" fontId="68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right" wrapText="1"/>
    </xf>
    <xf numFmtId="200" fontId="68" fillId="33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  <xf numFmtId="49" fontId="75" fillId="0" borderId="10" xfId="0" applyNumberFormat="1" applyFont="1" applyFill="1" applyBorder="1" applyAlignment="1">
      <alignment horizontal="center"/>
    </xf>
    <xf numFmtId="200" fontId="80" fillId="0" borderId="10" xfId="0" applyNumberFormat="1" applyFont="1" applyFill="1" applyBorder="1" applyAlignment="1">
      <alignment/>
    </xf>
    <xf numFmtId="200" fontId="80" fillId="0" borderId="10" xfId="0" applyNumberFormat="1" applyFont="1" applyFill="1" applyBorder="1" applyAlignment="1">
      <alignment wrapText="1"/>
    </xf>
    <xf numFmtId="0" fontId="24" fillId="0" borderId="0" xfId="0" applyFont="1" applyFill="1" applyAlignment="1">
      <alignment horizontal="center" wrapText="1"/>
    </xf>
    <xf numFmtId="0" fontId="75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1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right"/>
    </xf>
    <xf numFmtId="0" fontId="68" fillId="0" borderId="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55"/>
  <sheetViews>
    <sheetView tabSelected="1" view="pageBreakPreview" zoomScale="80" zoomScaleNormal="50" zoomScaleSheetLayoutView="80" zoomScalePageLayoutView="0" workbookViewId="0" topLeftCell="B3">
      <pane xSplit="6" ySplit="4" topLeftCell="AI22" activePane="bottomRight" state="frozen"/>
      <selection pane="topLeft" activeCell="B3" sqref="B3"/>
      <selection pane="topRight" activeCell="H3" sqref="H3"/>
      <selection pane="bottomLeft" activeCell="B7" sqref="B7"/>
      <selection pane="bottomRight" activeCell="BF6" sqref="BF6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1" hidden="1" customWidth="1"/>
    <col min="5" max="5" width="12.75390625" style="11" hidden="1" customWidth="1"/>
    <col min="6" max="6" width="11.00390625" style="11" hidden="1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customWidth="1"/>
    <col min="14" max="14" width="14.625" style="11" customWidth="1"/>
    <col min="15" max="15" width="12.75390625" style="11" customWidth="1"/>
    <col min="16" max="17" width="14.625" style="2" hidden="1" customWidth="1"/>
    <col min="18" max="18" width="11.00390625" style="11" hidden="1" customWidth="1"/>
    <col min="19" max="20" width="14.625" style="2" hidden="1" customWidth="1"/>
    <col min="21" max="21" width="11.00390625" style="11" hidden="1" customWidth="1"/>
    <col min="22" max="22" width="14.25390625" style="11" hidden="1" customWidth="1"/>
    <col min="23" max="23" width="13.00390625" style="11" hidden="1" customWidth="1"/>
    <col min="24" max="24" width="11.00390625" style="11" hidden="1" customWidth="1"/>
    <col min="25" max="25" width="14.00390625" style="11" customWidth="1"/>
    <col min="26" max="26" width="12.75390625" style="11" customWidth="1"/>
    <col min="27" max="27" width="11.00390625" style="11" customWidth="1"/>
    <col min="28" max="28" width="14.25390625" style="11" customWidth="1"/>
    <col min="29" max="29" width="13.00390625" style="11" customWidth="1"/>
    <col min="30" max="30" width="11.00390625" style="11" customWidth="1"/>
    <col min="31" max="31" width="14.25390625" style="11" customWidth="1"/>
    <col min="32" max="32" width="13.00390625" style="11" customWidth="1"/>
    <col min="33" max="33" width="11.00390625" style="11" customWidth="1"/>
    <col min="34" max="34" width="13.25390625" style="11" customWidth="1"/>
    <col min="35" max="36" width="12.75390625" style="11" customWidth="1"/>
    <col min="37" max="37" width="14.00390625" style="11" hidden="1" customWidth="1"/>
    <col min="38" max="38" width="12.75390625" style="11" hidden="1" customWidth="1"/>
    <col min="39" max="39" width="11.00390625" style="11" hidden="1" customWidth="1"/>
    <col min="40" max="40" width="13.25390625" style="11" hidden="1" customWidth="1"/>
    <col min="41" max="41" width="13.875" style="11" hidden="1" customWidth="1"/>
    <col min="42" max="42" width="13.25390625" style="11" hidden="1" customWidth="1"/>
    <col min="43" max="43" width="12.875" style="11" hidden="1" customWidth="1"/>
    <col min="44" max="44" width="13.25390625" style="11" hidden="1" customWidth="1"/>
    <col min="45" max="45" width="13.375" style="11" hidden="1" customWidth="1"/>
    <col min="46" max="47" width="14.625" style="2" customWidth="1"/>
    <col min="48" max="48" width="11.00390625" style="11" customWidth="1"/>
    <col min="49" max="49" width="20.75390625" style="2" customWidth="1"/>
    <col min="50" max="50" width="25.375" style="2" customWidth="1"/>
    <col min="51" max="51" width="16.00390625" style="2" customWidth="1"/>
    <col min="52" max="52" width="14.375" style="2" customWidth="1"/>
    <col min="53" max="53" width="14.75390625" style="2" customWidth="1"/>
    <col min="54" max="54" width="14.625" style="2" customWidth="1"/>
    <col min="55" max="57" width="6.75390625" style="2" customWidth="1"/>
    <col min="58" max="58" width="13.875" style="2" bestFit="1" customWidth="1"/>
    <col min="59" max="16384" width="6.75390625" style="2" customWidth="1"/>
  </cols>
  <sheetData>
    <row r="1" spans="4:50" ht="22.5" customHeight="1" hidden="1"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2"/>
      <c r="AU1" s="162"/>
      <c r="AV1" s="162"/>
      <c r="AW1" s="162"/>
      <c r="AX1" s="162"/>
    </row>
    <row r="2" spans="1:50" s="51" customFormat="1" ht="60" customHeight="1">
      <c r="A2" s="50"/>
      <c r="B2" s="159" t="s">
        <v>115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</row>
    <row r="3" spans="1:52" s="140" customFormat="1" ht="60" customHeight="1">
      <c r="A3" s="13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Z3" s="142"/>
    </row>
    <row r="4" spans="2:50" ht="49.5" customHeight="1">
      <c r="B4" s="163"/>
      <c r="C4" s="163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86</v>
      </c>
    </row>
    <row r="5" spans="1:58" ht="36.75" customHeight="1">
      <c r="A5" s="41" t="s">
        <v>46</v>
      </c>
      <c r="B5" s="42"/>
      <c r="C5" s="43" t="s">
        <v>1</v>
      </c>
      <c r="D5" s="169" t="s">
        <v>102</v>
      </c>
      <c r="E5" s="170"/>
      <c r="F5" s="171"/>
      <c r="G5" s="164" t="s">
        <v>105</v>
      </c>
      <c r="H5" s="165"/>
      <c r="I5" s="166"/>
      <c r="J5" s="164" t="s">
        <v>106</v>
      </c>
      <c r="K5" s="165"/>
      <c r="L5" s="166"/>
      <c r="M5" s="164" t="s">
        <v>107</v>
      </c>
      <c r="N5" s="165"/>
      <c r="O5" s="166"/>
      <c r="P5" s="164" t="s">
        <v>108</v>
      </c>
      <c r="Q5" s="165"/>
      <c r="R5" s="166"/>
      <c r="S5" s="164" t="s">
        <v>110</v>
      </c>
      <c r="T5" s="165"/>
      <c r="U5" s="166"/>
      <c r="V5" s="164" t="s">
        <v>111</v>
      </c>
      <c r="W5" s="165"/>
      <c r="X5" s="166"/>
      <c r="Y5" s="164" t="s">
        <v>112</v>
      </c>
      <c r="Z5" s="165"/>
      <c r="AA5" s="166"/>
      <c r="AB5" s="164" t="s">
        <v>113</v>
      </c>
      <c r="AC5" s="165"/>
      <c r="AD5" s="166"/>
      <c r="AE5" s="164" t="s">
        <v>114</v>
      </c>
      <c r="AF5" s="165"/>
      <c r="AG5" s="166"/>
      <c r="AH5" s="164" t="s">
        <v>123</v>
      </c>
      <c r="AI5" s="165"/>
      <c r="AJ5" s="166"/>
      <c r="AK5" s="164" t="s">
        <v>84</v>
      </c>
      <c r="AL5" s="165"/>
      <c r="AM5" s="166"/>
      <c r="AN5" s="164" t="s">
        <v>79</v>
      </c>
      <c r="AO5" s="166"/>
      <c r="AP5" s="164" t="s">
        <v>80</v>
      </c>
      <c r="AQ5" s="166"/>
      <c r="AR5" s="164" t="s">
        <v>81</v>
      </c>
      <c r="AS5" s="166"/>
      <c r="AT5" s="169" t="s">
        <v>103</v>
      </c>
      <c r="AU5" s="170"/>
      <c r="AV5" s="171"/>
      <c r="AW5" s="167" t="s">
        <v>124</v>
      </c>
      <c r="AX5" s="167" t="s">
        <v>125</v>
      </c>
      <c r="AY5" s="143">
        <f>'насел.'!AX7+пільги!AW7+субсидії!AX7+'держ.бюджет'!AX7+'місц.-районн.бюджет'!AX7+областной!AX7+інші!AX7</f>
        <v>89022.59</v>
      </c>
      <c r="BF5" s="143"/>
    </row>
    <row r="6" spans="1:54" ht="84.75" customHeight="1">
      <c r="A6" s="44" t="s">
        <v>47</v>
      </c>
      <c r="B6" s="45" t="s">
        <v>97</v>
      </c>
      <c r="C6" s="40" t="s">
        <v>104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85</v>
      </c>
      <c r="AU6" s="45" t="s">
        <v>69</v>
      </c>
      <c r="AV6" s="47" t="s">
        <v>0</v>
      </c>
      <c r="AW6" s="168"/>
      <c r="AX6" s="168"/>
      <c r="AY6" s="143">
        <f>AY7+AY43</f>
        <v>1688047.33</v>
      </c>
      <c r="AZ6" s="143">
        <f>AZ7+AZ43</f>
        <v>1441892.04</v>
      </c>
      <c r="BA6" s="143">
        <f>BA7+BA43</f>
        <v>246155.28999999998</v>
      </c>
      <c r="BB6" s="143">
        <f>BB7+BB43</f>
        <v>1347129.2899999998</v>
      </c>
    </row>
    <row r="7" spans="1:54" s="11" customFormat="1" ht="34.5" customHeight="1">
      <c r="A7" s="8"/>
      <c r="B7" s="112" t="s">
        <v>98</v>
      </c>
      <c r="C7" s="16">
        <f>'насел.'!C7+пільги!C7+субсидії!C7+'держ.бюджет'!C7+'місц.-районн.бюджет'!C7+областной!C7+інші!C7</f>
        <v>45718.1</v>
      </c>
      <c r="D7" s="16">
        <f>'насел.'!D7+пільги!D7+субсидії!D7+'держ.бюджет'!D7+'місц.-районн.бюджет'!D7+областной!D7+інші!D7</f>
        <v>33754.299999999996</v>
      </c>
      <c r="E7" s="16">
        <f>'насел.'!E7+пільги!E7+субсидії!E7+'держ.бюджет'!E7+'місц.-районн.бюджет'!E7+областной!E7+інші!E7</f>
        <v>28171.8</v>
      </c>
      <c r="F7" s="10">
        <f aca="true" t="shared" si="0" ref="F7:F45">E7/D7*100</f>
        <v>83.46136640368783</v>
      </c>
      <c r="G7" s="16">
        <f>'насел.'!G7+пільги!G7+субсидії!G7+'держ.бюджет'!G7+'місц.-районн.бюджет'!G7+областной!G7+інші!G7</f>
        <v>28864.7</v>
      </c>
      <c r="H7" s="16">
        <f>'насел.'!H7+пільги!H7+субсидії!H7+'держ.бюджет'!H7+'місц.-районн.бюджет'!H7+областной!H7+інші!H7</f>
        <v>31653.7</v>
      </c>
      <c r="I7" s="10">
        <f aca="true" t="shared" si="1" ref="I7:I45">H7/G7*100</f>
        <v>109.66232110501754</v>
      </c>
      <c r="J7" s="16">
        <f>'насел.'!J7+пільги!J7+субсидії!J7+'держ.бюджет'!J7+'місц.-районн.бюджет'!J7+областной!J7+інші!J7</f>
        <v>34617</v>
      </c>
      <c r="K7" s="16">
        <f>'насел.'!K7+пільги!K7+субсидії!K7+'держ.бюджет'!K7+'місц.-районн.бюджет'!K7+областной!K7+інші!K7</f>
        <v>30359.899999999994</v>
      </c>
      <c r="L7" s="10">
        <f aca="true" t="shared" si="2" ref="L7:L24">K7/J7*100</f>
        <v>87.70228500447756</v>
      </c>
      <c r="M7" s="10">
        <f>'насел.'!M7+пільги!M7+субсидії!M7+'держ.бюджет'!M7+'місц.-районн.бюджет'!M7+областной!M7+інші!M7</f>
        <v>97236</v>
      </c>
      <c r="N7" s="10">
        <f>'насел.'!N7+пільги!N7+субсидії!N7+'держ.бюджет'!N7+'місц.-районн.бюджет'!N7+областной!N7+інші!N7</f>
        <v>90185.4</v>
      </c>
      <c r="O7" s="10">
        <f>N7/M7*100</f>
        <v>92.74898185857089</v>
      </c>
      <c r="P7" s="16">
        <f>'насел.'!P7+пільги!P7+субсидії!P7+'держ.бюджет'!P7+'місц.-районн.бюджет'!P7+областной!P7+інші!P7</f>
        <v>33289</v>
      </c>
      <c r="Q7" s="16">
        <f>'насел.'!Q7+пільги!Q7+субсидії!Q7+'держ.бюджет'!Q7+'місц.-районн.бюджет'!Q7+областной!Q7+інші!Q7</f>
        <v>27971.700000000004</v>
      </c>
      <c r="R7" s="16">
        <f>Q7/P7*100</f>
        <v>84.0268557181051</v>
      </c>
      <c r="S7" s="16">
        <f>'насел.'!S7+пільги!S7+субсидії!S7+'держ.бюджет'!S7+'місц.-районн.бюджет'!S7+областной!S7+інші!S7</f>
        <v>46703.44</v>
      </c>
      <c r="T7" s="16">
        <f>'насел.'!T7+пільги!T7+субсидії!T7+'держ.бюджет'!T7+'місц.-районн.бюджет'!T7+областной!T7+інші!T7</f>
        <v>30655.04</v>
      </c>
      <c r="U7" s="10">
        <f aca="true" t="shared" si="3" ref="U7:U28">T7/S7*100</f>
        <v>65.63764896119001</v>
      </c>
      <c r="V7" s="16">
        <f>'насел.'!V7+пільги!V7+субсидії!V7+'держ.бюджет'!V7+'місц.-районн.бюджет'!V7+областной!V7+інші!V7</f>
        <v>37396.1</v>
      </c>
      <c r="W7" s="16">
        <f>'насел.'!W7+пільги!W7+субсидії!W7+'держ.бюджет'!W7+'місц.-районн.бюджет'!W7+областной!W7+інші!W7</f>
        <v>29614.399999999998</v>
      </c>
      <c r="X7" s="10">
        <f aca="true" t="shared" si="4" ref="X7:X28">W7/V7*100</f>
        <v>79.19114560074446</v>
      </c>
      <c r="Y7" s="16">
        <f>'насел.'!Y7+пільги!Y7+субсидії!Y7+'держ.бюджет'!Y7+'місц.-районн.бюджет'!Y7+областной!Y7+інші!Y7</f>
        <v>117388.54</v>
      </c>
      <c r="Z7" s="16">
        <f>'насел.'!Z7+пільги!Z7+субсидії!Z7+'держ.бюджет'!Z7+'місц.-районн.бюджет'!Z7+областной!Z7+інші!Z7</f>
        <v>88241.14</v>
      </c>
      <c r="AA7" s="10">
        <f aca="true" t="shared" si="5" ref="AA7:AA28">Z7/Y7*100</f>
        <v>75.17014863631492</v>
      </c>
      <c r="AB7" s="16">
        <f>'насел.'!AB7+пільги!AB7+субсидії!AB7+'держ.бюджет'!AB7+'місц.-районн.бюджет'!AB7+областной!AB7+інші!AB7</f>
        <v>37634.700000000004</v>
      </c>
      <c r="AC7" s="16">
        <f>'насел.'!AC7+пільги!AC7+субсидії!AC7+'держ.бюджет'!AC7+'місц.-районн.бюджет'!AC7+областной!AC7+інші!AC7</f>
        <v>33657.3</v>
      </c>
      <c r="AD7" s="10">
        <f aca="true" t="shared" si="6" ref="AD7:AD28">AC7/AB7*100</f>
        <v>89.43156182990697</v>
      </c>
      <c r="AE7" s="16">
        <f>'насел.'!AE7+пільги!AE7+субсидії!AE7+'держ.бюджет'!AE7+'місц.-районн.бюджет'!AE7+областной!AE7+інші!AE7</f>
        <v>35924</v>
      </c>
      <c r="AF7" s="16">
        <f>'насел.'!AF7+пільги!AF7+субсидії!AF7+'держ.бюджет'!AF7+'місц.-районн.бюджет'!AF7+областной!AF7+інші!AF7</f>
        <v>32961.7</v>
      </c>
      <c r="AG7" s="10">
        <f aca="true" t="shared" si="7" ref="AG7:AG45">AF7/AE7*100</f>
        <v>91.7539806257655</v>
      </c>
      <c r="AH7" s="16">
        <f>'насел.'!AH7+пільги!AH7+субсидії!AH7+'держ.бюджет'!AH7+'місц.-районн.бюджет'!AH7+областной!AH7+інші!AH7</f>
        <v>38605.99</v>
      </c>
      <c r="AI7" s="16">
        <f>'насел.'!AI7+пільги!AI7+субсидії!AI7+'держ.бюджет'!AI7+'місц.-районн.бюджет'!AI7+областной!AI7+інші!AI7</f>
        <v>38439.200000000004</v>
      </c>
      <c r="AJ7" s="10">
        <f aca="true" t="shared" si="8" ref="AJ7:AJ45">AI7/AH7*100</f>
        <v>99.5679685976192</v>
      </c>
      <c r="AK7" s="16">
        <f>'насел.'!AK7+пільги!AJ7+субсидії!AK7+'держ.бюджет'!AK7+'місц.-районн.бюджет'!AK7+областной!AK7+інші!AK7</f>
        <v>104129.58999999998</v>
      </c>
      <c r="AL7" s="16">
        <f>'насел.'!AL7+пільги!AK7+субсидії!AL7+'держ.бюджет'!AL7+'місц.-районн.бюджет'!AL7+областной!AL7+інші!AL7</f>
        <v>96695.4</v>
      </c>
      <c r="AM7" s="16">
        <f aca="true" t="shared" si="9" ref="AM7:AM45">AL7/AK7*100</f>
        <v>92.86063644349316</v>
      </c>
      <c r="AN7" s="16">
        <f>'насел.'!AN7+пільги!AM7+субсидії!AN7+'держ.бюджет'!AN7+'місц.-районн.бюджет'!AN7+областной!AN7+інші!AN7</f>
        <v>0</v>
      </c>
      <c r="AO7" s="16">
        <f>'насел.'!AO7+пільги!AN7+субсидії!AO7+'держ.бюджет'!AO7+'місц.-районн.бюджет'!AO7+областной!AO7+інші!AO7</f>
        <v>0</v>
      </c>
      <c r="AP7" s="16">
        <f>'насел.'!AP7+пільги!AO7+субсидії!AP7+'держ.бюджет'!AP7+'місц.-районн.бюджет'!AP7+областной!AP7+інші!AP7</f>
        <v>0</v>
      </c>
      <c r="AQ7" s="16">
        <f>'насел.'!AQ7+пільги!AP7+субсидії!AQ7+'держ.бюджет'!AQ7+'місц.-районн.бюджет'!AQ7+областной!AQ7+інші!AQ7</f>
        <v>0</v>
      </c>
      <c r="AR7" s="16">
        <f>'насел.'!AR7+пільги!AQ7+субсидії!AR7+'держ.бюджет'!AR7+'місц.-районн.бюджет'!AR7+областной!AR7+інші!AR7</f>
        <v>0</v>
      </c>
      <c r="AS7" s="16">
        <f>'насел.'!AS7+пільги!AR7+субсидії!AS7+'держ.бюджет'!AS7+'місц.-районн.бюджет'!AS7+областной!AS7+інші!AS7</f>
        <v>0</v>
      </c>
      <c r="AT7" s="16">
        <f>'насел.'!AT7+пільги!AS7+субсидії!AT7+'держ.бюджет'!AT7+'місц.-районн.бюджет'!AT7+областной!AT7+інші!AT7</f>
        <v>326789.23000000004</v>
      </c>
      <c r="AU7" s="16">
        <f>'насел.'!AU7+пільги!AT7+субсидії!AU7+'держ.бюджет'!AU7+'місц.-районн.бюджет'!AU7+областной!AU7+інші!AU7</f>
        <v>283484.74</v>
      </c>
      <c r="AV7" s="10">
        <f aca="true" t="shared" si="10" ref="AV7:AV45">AU7/AT7*100</f>
        <v>86.74849535279972</v>
      </c>
      <c r="AW7" s="16">
        <f>'насел.'!AW7+пільги!AV7+субсидії!AW7+'держ.бюджет'!AW7+'місц.-районн.бюджет'!AW7+областной!AW7+інші!AW7</f>
        <v>43304.490000000005</v>
      </c>
      <c r="AX7" s="16">
        <f>'насел.'!AX7+пільги!AW7+субсидії!AX7+'держ.бюджет'!AX7+'місц.-районн.бюджет'!AX7+областной!AX7+інші!AX7</f>
        <v>89022.59</v>
      </c>
      <c r="AY7" s="39">
        <f>M7+P7+S7+V7+AB7+AE7+AH7</f>
        <v>326789.23</v>
      </c>
      <c r="AZ7" s="39">
        <f>N7+Q7+T7+W7+AC7+AF7+AI7</f>
        <v>283484.74000000005</v>
      </c>
      <c r="BA7" s="39">
        <f>AY7-AZ7</f>
        <v>43304.48999999993</v>
      </c>
      <c r="BB7" s="39">
        <f>C7+AY7-AZ7</f>
        <v>89022.58999999991</v>
      </c>
    </row>
    <row r="8" spans="1:54" ht="34.5" customHeight="1">
      <c r="A8" s="12" t="s">
        <v>5</v>
      </c>
      <c r="B8" s="57" t="s">
        <v>49</v>
      </c>
      <c r="C8" s="16">
        <f>'насел.'!C8+пільги!C8+субсидії!C8+'держ.бюджет'!C8+'місц.-районн.бюджет'!C8+областной!C8+інші!C8</f>
        <v>-268.1</v>
      </c>
      <c r="D8" s="16">
        <f>'насел.'!D8+пільги!D8+субсидії!D8+'держ.бюджет'!D8+'місц.-районн.бюджет'!D8+областной!D8+інші!D8</f>
        <v>2378.4</v>
      </c>
      <c r="E8" s="16">
        <f>'насел.'!E8+пільги!E8+субсидії!E8+'держ.бюджет'!E8+'місц.-районн.бюджет'!E8+областной!E8+інші!E8</f>
        <v>2385.4</v>
      </c>
      <c r="F8" s="10">
        <f t="shared" si="0"/>
        <v>100.29431550622267</v>
      </c>
      <c r="G8" s="16">
        <f>'насел.'!G8+пільги!G8+субсидії!G8+'держ.бюджет'!G8+'місц.-районн.бюджет'!G8+областной!G8+інші!G8</f>
        <v>2383.7</v>
      </c>
      <c r="H8" s="16">
        <f>'насел.'!H8+пільги!H8+субсидії!H8+'держ.бюджет'!H8+'місц.-районн.бюджет'!H8+областной!H8+інші!H8</f>
        <v>2542.2000000000003</v>
      </c>
      <c r="I8" s="10">
        <f t="shared" si="1"/>
        <v>106.64932667701474</v>
      </c>
      <c r="J8" s="16">
        <f>'насел.'!J8+пільги!J8+субсидії!J8+'держ.бюджет'!J8+'місц.-районн.бюджет'!J8+областной!J8+інші!J8</f>
        <v>2239.2</v>
      </c>
      <c r="K8" s="16">
        <f>'насел.'!K8+пільги!K8+субсидії!K8+'держ.бюджет'!K8+'місц.-районн.бюджет'!K8+областной!K8+інші!K8</f>
        <v>1995.9</v>
      </c>
      <c r="L8" s="10">
        <f t="shared" si="2"/>
        <v>89.13451232583066</v>
      </c>
      <c r="M8" s="10">
        <f>'насел.'!M8+пільги!M8+субсидії!M8+'держ.бюджет'!M8+'місц.-районн.бюджет'!M8+областной!M8+інші!M8</f>
        <v>7001.299999999999</v>
      </c>
      <c r="N8" s="10">
        <f>'насел.'!N8+пільги!N8+субсидії!N8+'держ.бюджет'!N8+'місц.-районн.бюджет'!N8+областной!N8+інші!N8</f>
        <v>6923.5</v>
      </c>
      <c r="O8" s="10">
        <f aca="true" t="shared" si="11" ref="O8:O45">N8/M8*100</f>
        <v>98.88877779840888</v>
      </c>
      <c r="P8" s="16">
        <f>'насел.'!P8+пільги!P8+субсидії!P8+'держ.бюджет'!P8+'місц.-районн.бюджет'!P8+областной!P8+інші!P8</f>
        <v>2334.4</v>
      </c>
      <c r="Q8" s="16">
        <f>'насел.'!Q8+пільги!Q8+субсидії!Q8+'держ.бюджет'!Q8+'місц.-районн.бюджет'!Q8+областной!Q8+інші!Q8</f>
        <v>1856.7</v>
      </c>
      <c r="R8" s="16">
        <f aca="true" t="shared" si="12" ref="R8:R45">Q8/P8*100</f>
        <v>79.53649760109664</v>
      </c>
      <c r="S8" s="16">
        <f>'насел.'!S8+пільги!S8+субсидії!S8+'держ.бюджет'!S8+'місц.-районн.бюджет'!S8+областной!S8+інші!S8</f>
        <v>2253.4</v>
      </c>
      <c r="T8" s="16">
        <f>'насел.'!T8+пільги!T8+субсидії!T8+'держ.бюджет'!T8+'місц.-районн.бюджет'!T8+областной!T8+інші!T8</f>
        <v>2114.6</v>
      </c>
      <c r="U8" s="10">
        <f t="shared" si="3"/>
        <v>93.84041892251707</v>
      </c>
      <c r="V8" s="16">
        <f>'насел.'!V8+пільги!V8+субсидії!V8+'держ.бюджет'!V8+'місц.-районн.бюджет'!V8+областной!V8+інші!V8</f>
        <v>2480.4</v>
      </c>
      <c r="W8" s="16">
        <f>'насел.'!W8+пільги!W8+субсидії!W8+'держ.бюджет'!W8+'місц.-районн.бюджет'!W8+областной!W8+інші!W8</f>
        <v>1967.9</v>
      </c>
      <c r="X8" s="10">
        <f t="shared" si="4"/>
        <v>79.33800999838736</v>
      </c>
      <c r="Y8" s="16">
        <f>'насел.'!Y8+пільги!Y8+субсидії!Y8+'держ.бюджет'!Y8+'місц.-районн.бюджет'!Y8+областной!Y8+інші!Y8</f>
        <v>7068.2</v>
      </c>
      <c r="Z8" s="16">
        <f>'насел.'!Z8+пільги!Z8+субсидії!Z8+'держ.бюджет'!Z8+'місц.-районн.бюджет'!Z8+областной!Z8+інші!Z8</f>
        <v>5939.2</v>
      </c>
      <c r="AA8" s="10">
        <f t="shared" si="5"/>
        <v>84.02705073427464</v>
      </c>
      <c r="AB8" s="16">
        <f>'насел.'!AB8+пільги!AB8+субсидії!AB8+'держ.бюджет'!AB8+'місц.-районн.бюджет'!AB8+областной!AB8+інші!AB8</f>
        <v>2376</v>
      </c>
      <c r="AC8" s="16">
        <f>'насел.'!AC8+пільги!AC8+субсидії!AC8+'держ.бюджет'!AC8+'місц.-районн.бюджет'!AC8+областной!AC8+інші!AC8</f>
        <v>2304.4</v>
      </c>
      <c r="AD8" s="10">
        <f t="shared" si="6"/>
        <v>96.98653198653199</v>
      </c>
      <c r="AE8" s="16">
        <f>'насел.'!AE8+пільги!AE8+субсидії!AE8+'держ.бюджет'!AE8+'місц.-районн.бюджет'!AE8+областной!AE8+інші!AE8</f>
        <v>2374.1</v>
      </c>
      <c r="AF8" s="16">
        <f>'насел.'!AF8+пільги!AF8+субсидії!AF8+'держ.бюджет'!AF8+'місц.-районн.бюджет'!AF8+областной!AF8+інші!AF8</f>
        <v>2044.4</v>
      </c>
      <c r="AG8" s="10">
        <f t="shared" si="7"/>
        <v>86.11263215534308</v>
      </c>
      <c r="AH8" s="16">
        <f>'насел.'!AH8+пільги!AH8+субсидії!AH8+'держ.бюджет'!AH8+'місц.-районн.бюджет'!AH8+областной!AH8+інші!AH8</f>
        <v>2554.7999999999997</v>
      </c>
      <c r="AI8" s="16">
        <f>'насел.'!AI8+пільги!AI8+субсидії!AI8+'держ.бюджет'!AI8+'місц.-районн.бюджет'!AI8+областной!AI8+інші!AI8</f>
        <v>2241</v>
      </c>
      <c r="AJ8" s="10">
        <f t="shared" si="8"/>
        <v>87.71723813997183</v>
      </c>
      <c r="AK8" s="16">
        <f>'насел.'!AK8+пільги!AJ8+субсидії!AK8+'держ.бюджет'!AK8+'місц.-районн.бюджет'!AK8+областной!AK8+інші!AK8</f>
        <v>7304.9</v>
      </c>
      <c r="AL8" s="16">
        <f>'насел.'!AL8+пільги!AK8+субсидії!AL8+'держ.бюджет'!AL8+'місц.-районн.бюджет'!AL8+областной!AL8+інші!AL8</f>
        <v>6589.800000000002</v>
      </c>
      <c r="AM8" s="16">
        <f t="shared" si="9"/>
        <v>90.21068050212874</v>
      </c>
      <c r="AN8" s="16">
        <f>'насел.'!AN8+пільги!AM8+субсидії!AN8+'держ.бюджет'!AN8+'місц.-районн.бюджет'!AN8+областной!AN8+інші!AN8</f>
        <v>0</v>
      </c>
      <c r="AO8" s="16">
        <f>'насел.'!AO8+пільги!AN8+субсидії!AO8+'держ.бюджет'!AO8+'місц.-районн.бюджет'!AO8+областной!AO8+інші!AO8</f>
        <v>0</v>
      </c>
      <c r="AP8" s="16">
        <f>'насел.'!AP8+пільги!AO8+субсидії!AP8+'держ.бюджет'!AP8+'місц.-районн.бюджет'!AP8+областной!AP8+інші!AP8</f>
        <v>0</v>
      </c>
      <c r="AQ8" s="16">
        <f>'насел.'!AQ8+пільги!AP8+субсидії!AQ8+'держ.бюджет'!AQ8+'місц.-районн.бюджет'!AQ8+областной!AQ8+інші!AQ8</f>
        <v>0</v>
      </c>
      <c r="AR8" s="16">
        <f>'насел.'!AR8+пільги!AQ8+субсидії!AR8+'держ.бюджет'!AR8+'місц.-районн.бюджет'!AR8+областной!AR8+інші!AR8</f>
        <v>0</v>
      </c>
      <c r="AS8" s="16">
        <f>'насел.'!AS8+пільги!AR8+субсидії!AS8+'держ.бюджет'!AS8+'місц.-районн.бюджет'!AS8+областной!AS8+інші!AS8</f>
        <v>0</v>
      </c>
      <c r="AT8" s="16">
        <f>'насел.'!AT8+пільги!AS8+субсидії!AT8+'держ.бюджет'!AT8+'місц.-районн.бюджет'!AT8+областной!AT8+інші!AT8</f>
        <v>21374.399999999994</v>
      </c>
      <c r="AU8" s="16">
        <f>'насел.'!AU8+пільги!AT8+субсидії!AU8+'держ.бюджет'!AU8+'місц.-районн.бюджет'!AU8+областной!AU8+інші!AU8</f>
        <v>19452.5</v>
      </c>
      <c r="AV8" s="10">
        <f>AU8/AT8*100</f>
        <v>91.00840257504306</v>
      </c>
      <c r="AW8" s="16">
        <f>'насел.'!AW8+пільги!AV8+субсидії!AW8+'держ.бюджет'!AW8+'місц.-районн.бюджет'!AW8+областной!AW8+інші!AW8</f>
        <v>1921.8999999999996</v>
      </c>
      <c r="AX8" s="103">
        <f>'насел.'!AX8+пільги!AW8+субсидії!AX8+'держ.бюджет'!AX8+'місц.-районн.бюджет'!AX8+областной!AX8+інші!AX8</f>
        <v>1653.799999999999</v>
      </c>
      <c r="AY8" s="39">
        <f aca="true" t="shared" si="13" ref="AY8:AY45">M8+P8+S8+V8+AB8+AE8+AH8</f>
        <v>21374.399999999998</v>
      </c>
      <c r="AZ8" s="39">
        <f aca="true" t="shared" si="14" ref="AZ8:AZ45">N8+Q8+T8+W8+AC8+AF8+AI8</f>
        <v>19452.5</v>
      </c>
      <c r="BA8" s="39">
        <f aca="true" t="shared" si="15" ref="BA8:BA45">AY8-AZ8</f>
        <v>1921.8999999999978</v>
      </c>
      <c r="BB8" s="39">
        <f aca="true" t="shared" si="16" ref="BB8:BB45">C8+AY8-AZ8</f>
        <v>1653.7999999999993</v>
      </c>
    </row>
    <row r="9" spans="1:54" ht="34.5" customHeight="1">
      <c r="A9" s="12" t="s">
        <v>6</v>
      </c>
      <c r="B9" s="59" t="s">
        <v>65</v>
      </c>
      <c r="C9" s="16">
        <f>'насел.'!C9+пільги!C9+субсидії!C9+'держ.бюджет'!C9+'місц.-районн.бюджет'!C9+областной!C9+інші!C9</f>
        <v>228.00000000000003</v>
      </c>
      <c r="D9" s="16">
        <f>'насел.'!D9+пільги!D9+субсидії!D9+'держ.бюджет'!D9+'місц.-районн.бюджет'!D9+областной!D9+інші!D9</f>
        <v>401.00000000000006</v>
      </c>
      <c r="E9" s="16">
        <f>'насел.'!E9+пільги!E9+субсидії!E9+'держ.бюджет'!E9+'місц.-районн.бюджет'!E9+областной!E9+інші!E9</f>
        <v>558.6999999999999</v>
      </c>
      <c r="F9" s="10">
        <f t="shared" si="0"/>
        <v>139.32668329177054</v>
      </c>
      <c r="G9" s="16">
        <f>'насел.'!G9+пільги!G9+субсидії!G9+'держ.бюджет'!G9+'місц.-районн.бюджет'!G9+областной!G9+інші!G9</f>
        <v>429.5</v>
      </c>
      <c r="H9" s="16">
        <f>'насел.'!H9+пільги!H9+субсидії!H9+'держ.бюджет'!H9+'місц.-районн.бюджет'!H9+областной!H9+інші!H9</f>
        <v>522.5000000000001</v>
      </c>
      <c r="I9" s="10">
        <f t="shared" si="1"/>
        <v>121.65308498253786</v>
      </c>
      <c r="J9" s="16">
        <f>'насел.'!J9+пільги!J9+субсидії!J9+'держ.бюджет'!J9+'місц.-районн.бюджет'!J9+областной!J9+інші!J9</f>
        <v>410.6</v>
      </c>
      <c r="K9" s="16">
        <f>'насел.'!K9+пільги!K9+субсидії!K9+'держ.бюджет'!K9+'місц.-районн.бюджет'!K9+областной!K9+інші!K9</f>
        <v>329.2</v>
      </c>
      <c r="L9" s="10">
        <f t="shared" si="2"/>
        <v>80.17535314174378</v>
      </c>
      <c r="M9" s="10">
        <f>'насел.'!M9+пільги!M9+субсидії!M9+'держ.бюджет'!M9+'місц.-районн.бюджет'!M9+областной!M9+інші!M9</f>
        <v>1241.1000000000001</v>
      </c>
      <c r="N9" s="10">
        <f>'насел.'!N9+пільги!N9+субсидії!N9+'держ.бюджет'!N9+'місц.-районн.бюджет'!N9+областной!N9+інші!N9</f>
        <v>1410.3999999999996</v>
      </c>
      <c r="O9" s="10">
        <f t="shared" si="11"/>
        <v>113.64112480863746</v>
      </c>
      <c r="P9" s="16">
        <f>'насел.'!P9+пільги!P9+субсидії!P9+'держ.бюджет'!P9+'місц.-районн.бюджет'!P9+областной!P9+інші!P9</f>
        <v>381.79999999999995</v>
      </c>
      <c r="Q9" s="16">
        <f>'насел.'!Q9+пільги!Q9+субсидії!Q9+'держ.бюджет'!Q9+'місц.-районн.бюджет'!Q9+областной!Q9+інші!Q9</f>
        <v>286.3</v>
      </c>
      <c r="R9" s="16">
        <f t="shared" si="12"/>
        <v>74.9869041382923</v>
      </c>
      <c r="S9" s="16">
        <f>'насел.'!S9+пільги!S9+субсидії!S9+'держ.бюджет'!S9+'місц.-районн.бюджет'!S9+областной!S9+інші!S9</f>
        <v>372.1000000000001</v>
      </c>
      <c r="T9" s="16">
        <f>'насел.'!T9+пільги!T9+субсидії!T9+'держ.бюджет'!T9+'місц.-районн.бюджет'!T9+областной!T9+інші!T9</f>
        <v>298.8</v>
      </c>
      <c r="U9" s="10">
        <f t="shared" si="3"/>
        <v>80.3009943563558</v>
      </c>
      <c r="V9" s="16">
        <f>'насел.'!V9+пільги!V9+субсидії!V9+'держ.бюджет'!V9+'місц.-районн.бюджет'!V9+областной!V9+інші!V9</f>
        <v>394.79999999999995</v>
      </c>
      <c r="W9" s="16">
        <f>'насел.'!W9+пільги!W9+субсидії!W9+'держ.бюджет'!W9+'місц.-районн.бюджет'!W9+областной!W9+інші!W9</f>
        <v>335.8</v>
      </c>
      <c r="X9" s="10">
        <f t="shared" si="4"/>
        <v>85.05572441742656</v>
      </c>
      <c r="Y9" s="16">
        <f>'насел.'!Y9+пільги!Y9+субсидії!Y9+'держ.бюджет'!Y9+'місц.-районн.бюджет'!Y9+областной!Y9+інші!Y9</f>
        <v>1148.7</v>
      </c>
      <c r="Z9" s="16">
        <f>'насел.'!Z9+пільги!Z9+субсидії!Z9+'держ.бюджет'!Z9+'місц.-районн.бюджет'!Z9+областной!Z9+інші!Z9</f>
        <v>920.9</v>
      </c>
      <c r="AA9" s="10">
        <f t="shared" si="5"/>
        <v>80.16888656742404</v>
      </c>
      <c r="AB9" s="16">
        <f>'насел.'!AB9+пільги!AB9+субсидії!AB9+'держ.бюджет'!AB9+'місц.-районн.бюджет'!AB9+областной!AB9+інші!AB9</f>
        <v>384.50000000000006</v>
      </c>
      <c r="AC9" s="16">
        <f>'насел.'!AC9+пільги!AC9+субсидії!AC9+'держ.бюджет'!AC9+'місц.-районн.бюджет'!AC9+областной!AC9+інші!AC9</f>
        <v>387.1</v>
      </c>
      <c r="AD9" s="10">
        <f t="shared" si="6"/>
        <v>100.67620286085825</v>
      </c>
      <c r="AE9" s="16">
        <f>'насел.'!AE9+пільги!AE9+субсидії!AE9+'держ.бюджет'!AE9+'місц.-районн.бюджет'!AE9+областной!AE9+інші!AE9</f>
        <v>397.1</v>
      </c>
      <c r="AF9" s="16">
        <f>'насел.'!AF9+пільги!AF9+субсидії!AF9+'держ.бюджет'!AF9+'місц.-районн.бюджет'!AF9+областной!AF9+інші!AF9</f>
        <v>353.6</v>
      </c>
      <c r="AG9" s="10">
        <f t="shared" si="7"/>
        <v>89.04558045832283</v>
      </c>
      <c r="AH9" s="16">
        <f>'насел.'!AH9+пільги!AH9+субсидії!AH9+'держ.бюджет'!AH9+'місц.-районн.бюджет'!AH9+областной!AH9+інші!AH9</f>
        <v>404.20000000000005</v>
      </c>
      <c r="AI9" s="16">
        <f>'насел.'!AI9+пільги!AI9+субсидії!AI9+'держ.бюджет'!AI9+'місц.-районн.бюджет'!AI9+областной!AI9+інші!AI9</f>
        <v>352.8</v>
      </c>
      <c r="AJ9" s="10">
        <f t="shared" si="8"/>
        <v>87.28352300841166</v>
      </c>
      <c r="AK9" s="16">
        <f>'насел.'!AK9+пільги!AJ9+субсидії!AK9+'держ.бюджет'!AK9+'місц.-районн.бюджет'!AK9+областной!AK9+інші!AK9</f>
        <v>1185.7999999999997</v>
      </c>
      <c r="AL9" s="16">
        <f>'насел.'!AL9+пільги!AK9+субсидії!AL9+'держ.бюджет'!AL9+'місц.-районн.бюджет'!AL9+областной!AL9+інші!AL9</f>
        <v>1093.4999999999998</v>
      </c>
      <c r="AM9" s="16">
        <f t="shared" si="9"/>
        <v>92.21622533310845</v>
      </c>
      <c r="AN9" s="16">
        <f>'насел.'!AN9+пільги!AM9+субсидії!AN9+'держ.бюджет'!AN9+'місц.-районн.бюджет'!AN9+областной!AN9+інші!AN9</f>
        <v>0</v>
      </c>
      <c r="AO9" s="16">
        <f>'насел.'!AO9+пільги!AN9+субсидії!AO9+'держ.бюджет'!AO9+'місц.-районн.бюджет'!AO9+областной!AO9+інші!AO9</f>
        <v>0</v>
      </c>
      <c r="AP9" s="16">
        <f>'насел.'!AP9+пільги!AO9+субсидії!AP9+'держ.бюджет'!AP9+'місц.-районн.бюджет'!AP9+областной!AP9+інші!AP9</f>
        <v>0</v>
      </c>
      <c r="AQ9" s="16">
        <f>'насел.'!AQ9+пільги!AP9+субсидії!AQ9+'держ.бюджет'!AQ9+'місц.-районн.бюджет'!AQ9+областной!AQ9+інші!AQ9</f>
        <v>0</v>
      </c>
      <c r="AR9" s="16">
        <f>'насел.'!AR9+пільги!AQ9+субсидії!AR9+'держ.бюджет'!AR9+'місц.-районн.бюджет'!AR9+областной!AR9+інші!AR9</f>
        <v>0</v>
      </c>
      <c r="AS9" s="16">
        <f>'насел.'!AS9+пільги!AR9+субсидії!AS9+'держ.бюджет'!AS9+'місц.-районн.бюджет'!AS9+областной!AS9+інші!AS9</f>
        <v>0</v>
      </c>
      <c r="AT9" s="16">
        <f>'насел.'!AT9+пільги!AS9+субсидії!AT9+'держ.бюджет'!AT9+'місц.-районн.бюджет'!AT9+областной!AT9+інші!AT9</f>
        <v>3575.6</v>
      </c>
      <c r="AU9" s="16">
        <f>'насел.'!AU9+пільги!AT9+субсидії!AU9+'держ.бюджет'!AU9+'місц.-районн.бюджет'!AU9+областной!AU9+інші!AU9</f>
        <v>3424.8</v>
      </c>
      <c r="AV9" s="10">
        <f t="shared" si="10"/>
        <v>95.78252600962077</v>
      </c>
      <c r="AW9" s="16">
        <f>'насел.'!AW9+пільги!AV9+субсидії!AW9+'держ.бюджет'!AW9+'місц.-районн.бюджет'!AW9+областной!AW9+інші!AW9</f>
        <v>150.8</v>
      </c>
      <c r="AX9" s="103">
        <f>'насел.'!AX9+пільги!AW9+субсидії!AX9+'держ.бюджет'!AX9+'місц.-районн.бюджет'!AX9+областной!AX9+інші!AX9</f>
        <v>378.80000000000007</v>
      </c>
      <c r="AY9" s="39">
        <f t="shared" si="13"/>
        <v>3575.6000000000004</v>
      </c>
      <c r="AZ9" s="39">
        <f t="shared" si="14"/>
        <v>3424.7999999999997</v>
      </c>
      <c r="BA9" s="39">
        <f t="shared" si="15"/>
        <v>150.80000000000064</v>
      </c>
      <c r="BB9" s="39">
        <f t="shared" si="16"/>
        <v>378.80000000000064</v>
      </c>
    </row>
    <row r="10" spans="1:54" s="111" customFormat="1" ht="34.5" customHeight="1">
      <c r="A10" s="156" t="s">
        <v>7</v>
      </c>
      <c r="B10" s="61" t="s">
        <v>87</v>
      </c>
      <c r="C10" s="16">
        <f>'насел.'!C10+пільги!C10+субсидії!C10+'держ.бюджет'!C10+'місц.-районн.бюджет'!C10+областной!C10+інші!C10</f>
        <v>21.6</v>
      </c>
      <c r="D10" s="16">
        <f>'насел.'!D10+пільги!D10+субсидії!D10+'держ.бюджет'!D10+'місц.-районн.бюджет'!D10+областной!D10+інші!D10</f>
        <v>434.9</v>
      </c>
      <c r="E10" s="16">
        <f>'насел.'!E10+пільги!E10+субсидії!E10+'держ.бюджет'!E10+'місц.-районн.бюджет'!E10+областной!E10+інші!E10</f>
        <v>333.7</v>
      </c>
      <c r="F10" s="10">
        <f t="shared" si="0"/>
        <v>76.73028282363762</v>
      </c>
      <c r="G10" s="16">
        <f>'насел.'!G10+пільги!G10+субсидії!G10+'держ.бюджет'!G10+'місц.-районн.бюджет'!G10+областной!G10+інші!G10</f>
        <v>434.79999999999995</v>
      </c>
      <c r="H10" s="16">
        <f>'насел.'!H10+пільги!H10+субсидії!H10+'держ.бюджет'!H10+'місц.-районн.бюджет'!H10+областной!H10+інші!H10</f>
        <v>651</v>
      </c>
      <c r="I10" s="10">
        <f t="shared" si="1"/>
        <v>149.72401103955843</v>
      </c>
      <c r="J10" s="16">
        <f>'насел.'!J10+пільги!J10+субсидії!J10+'держ.бюджет'!J10+'місц.-районн.бюджет'!J10+областной!J10+інші!J10</f>
        <v>443.79999999999995</v>
      </c>
      <c r="K10" s="16">
        <f>'насел.'!K10+пільги!K10+субсидії!K10+'держ.бюджет'!K10+'місц.-районн.бюджет'!K10+областной!K10+інші!K10</f>
        <v>339.2</v>
      </c>
      <c r="L10" s="10">
        <f t="shared" si="2"/>
        <v>76.43082469580892</v>
      </c>
      <c r="M10" s="10">
        <f>'насел.'!M10+пільги!M10+субсидії!M10+'держ.бюджет'!M10+'місц.-районн.бюджет'!M10+областной!M10+інші!M10</f>
        <v>1313.5</v>
      </c>
      <c r="N10" s="10">
        <f>'насел.'!N10+пільги!N10+субсидії!N10+'держ.бюджет'!N10+'місц.-районн.бюджет'!N10+областной!N10+інші!N10</f>
        <v>1323.8999999999999</v>
      </c>
      <c r="O10" s="10">
        <f t="shared" si="11"/>
        <v>100.79177769318612</v>
      </c>
      <c r="P10" s="16">
        <f>'насел.'!P10+пільги!P10+субсидії!P10+'держ.бюджет'!P10+'місц.-районн.бюджет'!P10+областной!P10+інші!P10</f>
        <v>423.9</v>
      </c>
      <c r="Q10" s="16">
        <f>'насел.'!Q10+пільги!Q10+субсидії!Q10+'держ.бюджет'!Q10+'місц.-районн.бюджет'!Q10+областной!Q10+інші!Q10</f>
        <v>425.2</v>
      </c>
      <c r="R10" s="16">
        <f t="shared" si="12"/>
        <v>100.30667610285444</v>
      </c>
      <c r="S10" s="16">
        <f>'насел.'!S10+пільги!S10+субсидії!S10+'держ.бюджет'!S10+'місц.-районн.бюджет'!S10+областной!S10+інші!S10</f>
        <v>142.39999999999998</v>
      </c>
      <c r="T10" s="16">
        <f>'насел.'!T10+пільги!T10+субсидії!T10+'держ.бюджет'!T10+'місц.-районн.бюджет'!T10+областной!T10+інші!T10</f>
        <v>143.39999999999998</v>
      </c>
      <c r="U10" s="103">
        <f t="shared" si="3"/>
        <v>100.70224719101124</v>
      </c>
      <c r="V10" s="16">
        <f>'насел.'!V10+пільги!V10+субсидії!V10+'держ.бюджет'!V10+'місц.-районн.бюджет'!V10+областной!V10+інші!V10</f>
        <v>177.89999999999998</v>
      </c>
      <c r="W10" s="16">
        <f>'насел.'!W10+пільги!W10+субсидії!W10+'держ.бюджет'!W10+'місц.-районн.бюджет'!W10+областной!W10+інші!W10</f>
        <v>179.2</v>
      </c>
      <c r="X10" s="103">
        <f t="shared" si="4"/>
        <v>100.73074761101743</v>
      </c>
      <c r="Y10" s="16">
        <f>'насел.'!Y10+пільги!Y10+субсидії!Y10+'держ.бюджет'!Y10+'місц.-районн.бюджет'!Y10+областной!Y10+інші!Y10</f>
        <v>744.1999999999999</v>
      </c>
      <c r="Z10" s="16">
        <f>'насел.'!Z10+пільги!Z10+субсидії!Z10+'держ.бюджет'!Z10+'місц.-районн.бюджет'!Z10+областной!Z10+інші!Z10</f>
        <v>747.8</v>
      </c>
      <c r="AA10" s="10">
        <f t="shared" si="5"/>
        <v>100.48374092985756</v>
      </c>
      <c r="AB10" s="16">
        <f>'насел.'!AB10+пільги!AB10+субсидії!AB10+'держ.бюджет'!AB10+'місц.-районн.бюджет'!AB10+областной!AB10+інші!AB10</f>
        <v>142.39999999999998</v>
      </c>
      <c r="AC10" s="16">
        <f>'насел.'!AC10+пільги!AC10+субсидії!AC10+'держ.бюджет'!AC10+'місц.-районн.бюджет'!AC10+областной!AC10+інші!AC10</f>
        <v>143.39999999999998</v>
      </c>
      <c r="AD10" s="103">
        <f t="shared" si="6"/>
        <v>100.70224719101124</v>
      </c>
      <c r="AE10" s="16">
        <f>'насел.'!AE10+пільги!AE10+субсидії!AE10+'держ.бюджет'!AE10+'місц.-районн.бюджет'!AE10+областной!AE10+інші!AE10</f>
        <v>147.2</v>
      </c>
      <c r="AF10" s="16">
        <f>'насел.'!AF10+пільги!AF10+субсидії!AF10+'держ.бюджет'!AF10+'місц.-районн.бюджет'!AF10+областной!AF10+інші!AF10</f>
        <v>148.2</v>
      </c>
      <c r="AG10" s="10">
        <f t="shared" si="7"/>
        <v>100.67934782608697</v>
      </c>
      <c r="AH10" s="16">
        <f>'насел.'!AH10+пільги!AH10+субсидії!AH10+'держ.бюджет'!AH10+'місц.-районн.бюджет'!AH10+областной!AH10+інші!AH10</f>
        <v>147.2</v>
      </c>
      <c r="AI10" s="16">
        <f>'насел.'!AI10+пільги!AI10+субсидії!AI10+'держ.бюджет'!AI10+'місц.-районн.бюджет'!AI10+областной!AI10+інші!AI10</f>
        <v>148.2</v>
      </c>
      <c r="AJ10" s="10">
        <f t="shared" si="8"/>
        <v>100.67934782608697</v>
      </c>
      <c r="AK10" s="16">
        <f>'насел.'!AK10+пільги!AJ10+субсидії!AK10+'держ.бюджет'!AK10+'місц.-районн.бюджет'!AK10+областной!AK10+інші!AK10</f>
        <v>436.8</v>
      </c>
      <c r="AL10" s="16">
        <f>'насел.'!AL10+пільги!AK10+субсидії!AL10+'держ.бюджет'!AL10+'місц.-районн.бюджет'!AL10+областной!AL10+інші!AL10</f>
        <v>439.8</v>
      </c>
      <c r="AM10" s="16">
        <f t="shared" si="9"/>
        <v>100.68681318681318</v>
      </c>
      <c r="AN10" s="16">
        <f>'насел.'!AN10+пільги!AM10+субсидії!AN10+'держ.бюджет'!AN10+'місц.-районн.бюджет'!AN10+областной!AN10+інші!AN10</f>
        <v>0</v>
      </c>
      <c r="AO10" s="16">
        <f>'насел.'!AO10+пільги!AN10+субсидії!AO10+'держ.бюджет'!AO10+'місц.-районн.бюджет'!AO10+областной!AO10+інші!AO10</f>
        <v>0</v>
      </c>
      <c r="AP10" s="16">
        <f>'насел.'!AP10+пільги!AO10+субсидії!AP10+'держ.бюджет'!AP10+'місц.-районн.бюджет'!AP10+областной!AP10+інші!AP10</f>
        <v>0</v>
      </c>
      <c r="AQ10" s="16">
        <f>'насел.'!AQ10+пільги!AP10+субсидії!AQ10+'держ.бюджет'!AQ10+'місц.-районн.бюджет'!AQ10+областной!AQ10+інші!AQ10</f>
        <v>0</v>
      </c>
      <c r="AR10" s="16">
        <f>'насел.'!AR10+пільги!AQ10+субсидії!AR10+'держ.бюджет'!AR10+'місц.-районн.бюджет'!AR10+областной!AR10+інші!AR10</f>
        <v>0</v>
      </c>
      <c r="AS10" s="16">
        <f>'насел.'!AS10+пільги!AR10+субсидії!AS10+'держ.бюджет'!AS10+'місц.-районн.бюджет'!AS10+областной!AS10+інші!AS10</f>
        <v>0</v>
      </c>
      <c r="AT10" s="16">
        <f>'насел.'!AT10+пільги!AS10+субсидії!AT10+'держ.бюджет'!AT10+'місц.-районн.бюджет'!AT10+областной!AT10+інші!AT10</f>
        <v>2494.5</v>
      </c>
      <c r="AU10" s="16">
        <f>'насел.'!AU10+пільги!AT10+субсидії!AU10+'держ.бюджет'!AU10+'місц.-районн.бюджет'!AU10+областной!AU10+інші!AU10</f>
        <v>2511.5</v>
      </c>
      <c r="AV10" s="10">
        <f t="shared" si="10"/>
        <v>100.6814992984566</v>
      </c>
      <c r="AW10" s="16">
        <f>'насел.'!AW10+пільги!AV10+субсидії!AW10+'держ.бюджет'!AW10+'місц.-районн.бюджет'!AW10+областной!AW10+інші!AW10</f>
        <v>-17</v>
      </c>
      <c r="AX10" s="103">
        <f>'насел.'!AX10+пільги!AW10+субсидії!AX10+'держ.бюджет'!AX10+'місц.-районн.бюджет'!AX10+областной!AX10+інші!AX10</f>
        <v>4.599999999999955</v>
      </c>
      <c r="AY10" s="39">
        <f t="shared" si="13"/>
        <v>2494.5</v>
      </c>
      <c r="AZ10" s="39">
        <f t="shared" si="14"/>
        <v>2511.4999999999995</v>
      </c>
      <c r="BA10" s="39">
        <f t="shared" si="15"/>
        <v>-16.999999999999545</v>
      </c>
      <c r="BB10" s="39">
        <f t="shared" si="16"/>
        <v>4.600000000000364</v>
      </c>
    </row>
    <row r="11" spans="1:54" ht="34.5" customHeight="1">
      <c r="A11" s="12" t="s">
        <v>8</v>
      </c>
      <c r="B11" s="57" t="s">
        <v>50</v>
      </c>
      <c r="C11" s="16">
        <f>'насел.'!C11+пільги!C11+субсидії!C11+'держ.бюджет'!C11+'місц.-районн.бюджет'!C11+областной!C11+інші!C11</f>
        <v>-228.29999999999998</v>
      </c>
      <c r="D11" s="16">
        <f>'насел.'!D11+пільги!D11+субсидії!D11+'держ.бюджет'!D11+'місц.-районн.бюджет'!D11+областной!D11+інші!D11</f>
        <v>785.3000000000001</v>
      </c>
      <c r="E11" s="16">
        <f>'насел.'!E11+пільги!E11+субсидії!E11+'держ.бюджет'!E11+'місц.-районн.бюджет'!E11+областной!E11+інші!E11</f>
        <v>817.9000000000001</v>
      </c>
      <c r="F11" s="10">
        <f t="shared" si="0"/>
        <v>104.15127976569465</v>
      </c>
      <c r="G11" s="16">
        <f>'насел.'!G11+пільги!G11+субсидії!G11+'держ.бюджет'!G11+'місц.-районн.бюджет'!G11+областной!G11+інші!G11</f>
        <v>571.5</v>
      </c>
      <c r="H11" s="16">
        <f>'насел.'!H11+пільги!H11+субсидії!H11+'держ.бюджет'!H11+'місц.-районн.бюджет'!H11+областной!H11+інші!H11</f>
        <v>563.1999999999999</v>
      </c>
      <c r="I11" s="10">
        <f t="shared" si="1"/>
        <v>98.54768153980751</v>
      </c>
      <c r="J11" s="16">
        <f>'насел.'!J11+пільги!J11+субсидії!J11+'держ.бюджет'!J11+'місц.-районн.бюджет'!J11+областной!J11+інші!J11</f>
        <v>540.6999999999999</v>
      </c>
      <c r="K11" s="16">
        <f>'насел.'!K11+пільги!K11+субсидії!K11+'держ.бюджет'!K11+'місц.-районн.бюджет'!K11+областной!K11+інші!K11</f>
        <v>475.09999999999997</v>
      </c>
      <c r="L11" s="10">
        <f t="shared" si="2"/>
        <v>87.86757906417607</v>
      </c>
      <c r="M11" s="10">
        <f>'насел.'!M11+пільги!M11+субсидії!M11+'держ.бюджет'!M11+'місц.-районн.бюджет'!M11+областной!M11+інші!M11</f>
        <v>1897.5000000000002</v>
      </c>
      <c r="N11" s="10">
        <f>'насел.'!N11+пільги!N11+субсидії!N11+'держ.бюджет'!N11+'місц.-районн.бюджет'!N11+областной!N11+інші!N11</f>
        <v>1856.2</v>
      </c>
      <c r="O11" s="10">
        <f t="shared" si="11"/>
        <v>97.82345191040842</v>
      </c>
      <c r="P11" s="16">
        <f>'насел.'!P11+пільги!P11+субсидії!P11+'держ.бюджет'!P11+'місц.-районн.бюджет'!P11+областной!P11+інші!P11</f>
        <v>521</v>
      </c>
      <c r="Q11" s="16">
        <f>'насел.'!Q11+пільги!Q11+субсидії!Q11+'держ.бюджет'!Q11+'місц.-районн.бюджет'!Q11+областной!Q11+інші!Q11</f>
        <v>391.1</v>
      </c>
      <c r="R11" s="16">
        <f t="shared" si="12"/>
        <v>75.06717850287909</v>
      </c>
      <c r="S11" s="16">
        <f>'насел.'!S11+пільги!S11+субсидії!S11+'держ.бюджет'!S11+'місц.-районн.бюджет'!S11+областной!S11+інші!S11</f>
        <v>496.3999999999999</v>
      </c>
      <c r="T11" s="16">
        <f>'насел.'!T11+пільги!T11+субсидії!T11+'держ.бюджет'!T11+'місц.-районн.бюджет'!T11+областной!T11+інші!T11</f>
        <v>429.40000000000003</v>
      </c>
      <c r="U11" s="10">
        <f t="shared" si="3"/>
        <v>86.5028203062047</v>
      </c>
      <c r="V11" s="16">
        <f>'насел.'!V11+пільги!V11+субсидії!V11+'держ.бюджет'!V11+'місц.-районн.бюджет'!V11+областной!V11+інші!V11</f>
        <v>783.3999999999999</v>
      </c>
      <c r="W11" s="16">
        <f>'насел.'!W11+пільги!W11+субсидії!W11+'держ.бюджет'!W11+'місц.-районн.бюджет'!W11+областной!W11+інші!W11</f>
        <v>465.1</v>
      </c>
      <c r="X11" s="10">
        <f t="shared" si="4"/>
        <v>59.36941536890479</v>
      </c>
      <c r="Y11" s="16">
        <f>'насел.'!Y11+пільги!Y11+субсидії!Y11+'держ.бюджет'!Y11+'місц.-районн.бюджет'!Y11+областной!Y11+інші!Y11</f>
        <v>1800.8</v>
      </c>
      <c r="Z11" s="16">
        <f>'насел.'!Z11+пільги!Z11+субсидії!Z11+'держ.бюджет'!Z11+'місц.-районн.бюджет'!Z11+областной!Z11+інші!Z11</f>
        <v>1285.6000000000001</v>
      </c>
      <c r="AA11" s="10">
        <f t="shared" si="5"/>
        <v>71.39049311417149</v>
      </c>
      <c r="AB11" s="16">
        <f>'насел.'!AB11+пільги!AB11+субсидії!AB11+'держ.бюджет'!AB11+'місц.-районн.бюджет'!AB11+областной!AB11+інші!AB11</f>
        <v>712.5999999999999</v>
      </c>
      <c r="AC11" s="16">
        <f>'насел.'!AC11+пільги!AC11+субсидії!AC11+'держ.бюджет'!AC11+'місц.-районн.бюджет'!AC11+областной!AC11+інші!AC11</f>
        <v>631.6</v>
      </c>
      <c r="AD11" s="10">
        <f t="shared" si="6"/>
        <v>88.63317429132755</v>
      </c>
      <c r="AE11" s="16">
        <f>'насел.'!AE11+пільги!AE11+субсидії!AE11+'держ.бюджет'!AE11+'місц.-районн.бюджет'!AE11+областной!AE11+інші!AE11</f>
        <v>748.2</v>
      </c>
      <c r="AF11" s="16">
        <f>'насел.'!AF11+пільги!AF11+субсидії!AF11+'держ.бюджет'!AF11+'місц.-районн.бюджет'!AF11+областной!AF11+інші!AF11</f>
        <v>786.4000000000001</v>
      </c>
      <c r="AG11" s="10">
        <f t="shared" si="7"/>
        <v>105.10558674151298</v>
      </c>
      <c r="AH11" s="16">
        <f>'насел.'!AH11+пільги!AH11+субсидії!AH11+'держ.бюджет'!AH11+'місц.-районн.бюджет'!AH11+областной!AH11+інші!AH11</f>
        <v>754.8</v>
      </c>
      <c r="AI11" s="16">
        <f>'насел.'!AI11+пільги!AI11+субсидії!AI11+'держ.бюджет'!AI11+'місц.-районн.бюджет'!AI11+областной!AI11+інші!AI11</f>
        <v>749.3000000000001</v>
      </c>
      <c r="AJ11" s="10">
        <f t="shared" si="8"/>
        <v>99.27133015368311</v>
      </c>
      <c r="AK11" s="16">
        <f>'насел.'!AK11+пільги!AJ11+субсидії!AK11+'держ.бюджет'!AK11+'місц.-районн.бюджет'!AK11+областной!AK11+інші!AK11</f>
        <v>2215.6</v>
      </c>
      <c r="AL11" s="16">
        <f>'насел.'!AL11+пільги!AK11+субсидії!AL11+'держ.бюджет'!AL11+'місц.-районн.бюджет'!AL11+областной!AL11+інші!AL11</f>
        <v>2167.2999999999997</v>
      </c>
      <c r="AM11" s="16">
        <f t="shared" si="9"/>
        <v>97.82000361076005</v>
      </c>
      <c r="AN11" s="16">
        <f>'насел.'!AN11+пільги!AM11+субсидії!AN11+'держ.бюджет'!AN11+'місц.-районн.бюджет'!AN11+областной!AN11+інші!AN11</f>
        <v>0</v>
      </c>
      <c r="AO11" s="16">
        <f>'насел.'!AO11+пільги!AN11+субсидії!AO11+'держ.бюджет'!AO11+'місц.-районн.бюджет'!AO11+областной!AO11+інші!AO11</f>
        <v>0</v>
      </c>
      <c r="AP11" s="16">
        <f>'насел.'!AP11+пільги!AO11+субсидії!AP11+'держ.бюджет'!AP11+'місц.-районн.бюджет'!AP11+областной!AP11+інші!AP11</f>
        <v>0</v>
      </c>
      <c r="AQ11" s="16">
        <f>'насел.'!AQ11+пільги!AP11+субсидії!AQ11+'держ.бюджет'!AQ11+'місц.-районн.бюджет'!AQ11+областной!AQ11+інші!AQ11</f>
        <v>0</v>
      </c>
      <c r="AR11" s="16">
        <f>'насел.'!AR11+пільги!AQ11+субсидії!AR11+'держ.бюджет'!AR11+'місц.-районн.бюджет'!AR11+областной!AR11+інші!AR11</f>
        <v>0</v>
      </c>
      <c r="AS11" s="16">
        <f>'насел.'!AS11+пільги!AR11+субсидії!AS11+'держ.бюджет'!AS11+'місц.-районн.бюджет'!AS11+областной!AS11+інші!AS11</f>
        <v>0</v>
      </c>
      <c r="AT11" s="16">
        <f>'насел.'!AT11+пільги!AS11+субсидії!AT11+'держ.бюджет'!AT11+'місц.-районн.бюджет'!AT11+областной!AT11+інші!AT11</f>
        <v>5913.9</v>
      </c>
      <c r="AU11" s="16">
        <f>'насел.'!AU11+пільги!AT11+субсидії!AU11+'держ.бюджет'!AU11+'місц.-районн.бюджет'!AU11+областной!AU11+інші!AU11</f>
        <v>5309.1</v>
      </c>
      <c r="AV11" s="10">
        <f t="shared" si="10"/>
        <v>89.77324608126618</v>
      </c>
      <c r="AW11" s="16">
        <f>'насел.'!AW11+пільги!AV11+субсидії!AW11+'держ.бюджет'!AW11+'місц.-районн.бюджет'!AW11+областной!AW11+інші!AW11</f>
        <v>604.7999999999996</v>
      </c>
      <c r="AX11" s="103">
        <f>'насел.'!AX11+пільги!AW11+субсидії!AX11+'держ.бюджет'!AX11+'місц.-районн.бюджет'!AX11+областной!AX11+інші!AX11</f>
        <v>376.4999999999995</v>
      </c>
      <c r="AY11" s="39">
        <f t="shared" si="13"/>
        <v>5913.9</v>
      </c>
      <c r="AZ11" s="39">
        <f t="shared" si="14"/>
        <v>5309.1</v>
      </c>
      <c r="BA11" s="39">
        <f t="shared" si="15"/>
        <v>604.7999999999993</v>
      </c>
      <c r="BB11" s="39">
        <f t="shared" si="16"/>
        <v>376.4999999999991</v>
      </c>
    </row>
    <row r="12" spans="1:54" s="111" customFormat="1" ht="34.5" customHeight="1">
      <c r="A12" s="156" t="s">
        <v>9</v>
      </c>
      <c r="B12" s="57" t="s">
        <v>51</v>
      </c>
      <c r="C12" s="16">
        <f>'насел.'!C12+пільги!C12+субсидії!C12+'держ.бюджет'!C12+'місц.-районн.бюджет'!C12+областной!C12+інші!C12</f>
        <v>-51.7</v>
      </c>
      <c r="D12" s="16">
        <f>'насел.'!D12+пільги!D12+субсидії!D12+'держ.бюджет'!D12+'місц.-районн.бюджет'!D12+областной!D12+інші!D12</f>
        <v>324.5</v>
      </c>
      <c r="E12" s="16">
        <f>'насел.'!E12+пільги!E12+субсидії!E12+'держ.бюджет'!E12+'місц.-районн.бюджет'!E12+областной!E12+інші!E12</f>
        <v>198.60000000000002</v>
      </c>
      <c r="F12" s="10">
        <f t="shared" si="0"/>
        <v>61.20184899845918</v>
      </c>
      <c r="G12" s="16">
        <f>'насел.'!G12+пільги!G12+субсидії!G12+'держ.бюджет'!G12+'місц.-районн.бюджет'!G12+областной!G12+інші!G12</f>
        <v>406.69999999999993</v>
      </c>
      <c r="H12" s="16">
        <f>'насел.'!H12+пільги!H12+субсидії!H12+'держ.бюджет'!H12+'місц.-районн.бюджет'!H12+областной!H12+інші!H12</f>
        <v>418.20000000000005</v>
      </c>
      <c r="I12" s="10">
        <f t="shared" si="1"/>
        <v>102.82763707892799</v>
      </c>
      <c r="J12" s="16">
        <f>'насел.'!J12+пільги!J12+субсидії!J12+'держ.бюджет'!J12+'місц.-районн.бюджет'!J12+областной!J12+інші!J12</f>
        <v>367.3</v>
      </c>
      <c r="K12" s="16">
        <f>'насел.'!K12+пільги!K12+субсидії!K12+'держ.бюджет'!K12+'місц.-районн.бюджет'!K12+областной!K12+інші!K12</f>
        <v>315.79999999999995</v>
      </c>
      <c r="L12" s="60">
        <f t="shared" si="2"/>
        <v>85.97876395317178</v>
      </c>
      <c r="M12" s="10">
        <f>'насел.'!M12+пільги!M12+субсидії!M12+'держ.бюджет'!M12+'місц.-районн.бюджет'!M12+областной!M12+інші!M12</f>
        <v>1098.5</v>
      </c>
      <c r="N12" s="10">
        <f>'насел.'!N12+пільги!N12+субсидії!N12+'держ.бюджет'!N12+'місц.-районн.бюджет'!N12+областной!N12+інші!N12</f>
        <v>932.6</v>
      </c>
      <c r="O12" s="10">
        <f t="shared" si="11"/>
        <v>84.8975876194811</v>
      </c>
      <c r="P12" s="16">
        <f>'насел.'!P12+пільги!P12+субсидії!P12+'держ.бюджет'!P12+'місц.-районн.бюджет'!P12+областной!P12+інші!P12</f>
        <v>374.2</v>
      </c>
      <c r="Q12" s="16">
        <f>'насел.'!Q12+пільги!Q12+субсидії!Q12+'держ.бюджет'!Q12+'місц.-районн.бюджет'!Q12+областной!Q12+інші!Q12</f>
        <v>337.4</v>
      </c>
      <c r="R12" s="16">
        <f t="shared" si="12"/>
        <v>90.16568679850347</v>
      </c>
      <c r="S12" s="16">
        <f>'насел.'!S12+пільги!S12+субсидії!S12+'держ.бюджет'!S12+'місц.-районн.бюджет'!S12+областной!S12+інші!S12</f>
        <v>365.2</v>
      </c>
      <c r="T12" s="16">
        <f>'насел.'!T12+пільги!T12+субсидії!T12+'держ.бюджет'!T12+'місц.-районн.бюджет'!T12+областной!T12+інші!T12</f>
        <v>335.8</v>
      </c>
      <c r="U12" s="52">
        <f t="shared" si="3"/>
        <v>91.94961664841183</v>
      </c>
      <c r="V12" s="16">
        <f>'насел.'!V12+пільги!V12+субсидії!V12+'держ.бюджет'!V12+'місц.-районн.бюджет'!V12+областной!V12+інші!V12</f>
        <v>366.1</v>
      </c>
      <c r="W12" s="16">
        <f>'насел.'!W12+пільги!W12+субсидії!W12+'держ.бюджет'!W12+'місц.-районн.бюджет'!W12+областной!W12+інші!W12</f>
        <v>325.5</v>
      </c>
      <c r="X12" s="52">
        <f t="shared" si="4"/>
        <v>88.91013384321224</v>
      </c>
      <c r="Y12" s="16">
        <f>'насел.'!Y12+пільги!Y12+субсидії!Y12+'держ.бюджет'!Y12+'місц.-районн.бюджет'!Y12+областной!Y12+інші!Y12</f>
        <v>1105.5000000000002</v>
      </c>
      <c r="Z12" s="16">
        <f>'насел.'!Z12+пільги!Z12+субсидії!Z12+'держ.бюджет'!Z12+'місц.-районн.бюджет'!Z12+областной!Z12+інші!Z12</f>
        <v>998.7</v>
      </c>
      <c r="AA12" s="10">
        <f t="shared" si="5"/>
        <v>90.33921302578017</v>
      </c>
      <c r="AB12" s="16">
        <f>'насел.'!AB12+пільги!AB12+субсидії!AB12+'держ.бюджет'!AB12+'місц.-районн.бюджет'!AB12+областной!AB12+інші!AB12</f>
        <v>444.1</v>
      </c>
      <c r="AC12" s="16">
        <f>'насел.'!AC12+пільги!AC12+субсидії!AC12+'держ.бюджет'!AC12+'місц.-районн.бюджет'!AC12+областной!AC12+інші!AC12</f>
        <v>360.4</v>
      </c>
      <c r="AD12" s="52">
        <f t="shared" si="6"/>
        <v>81.15289349245664</v>
      </c>
      <c r="AE12" s="16">
        <f>'насел.'!AE12+пільги!AE12+субсидії!AE12+'держ.бюджет'!AE12+'місц.-районн.бюджет'!AE12+областной!AE12+інші!AE12</f>
        <v>447.3</v>
      </c>
      <c r="AF12" s="16">
        <f>'насел.'!AF12+пільги!AF12+субсидії!AF12+'держ.бюджет'!AF12+'місц.-районн.бюджет'!AF12+областной!AF12+інші!AF12</f>
        <v>382.29999999999995</v>
      </c>
      <c r="AG12" s="10">
        <f t="shared" si="7"/>
        <v>85.46836575005588</v>
      </c>
      <c r="AH12" s="16">
        <f>'насел.'!AH12+пільги!AH12+субсидії!AH12+'держ.бюджет'!AH12+'місц.-районн.бюджет'!AH12+областной!AH12+інші!AH12</f>
        <v>508.1</v>
      </c>
      <c r="AI12" s="16">
        <f>'насел.'!AI12+пільги!AI12+субсидії!AI12+'держ.бюджет'!AI12+'місц.-районн.бюджет'!AI12+областной!AI12+інші!AI12</f>
        <v>485.4</v>
      </c>
      <c r="AJ12" s="10">
        <f t="shared" si="8"/>
        <v>95.53237551663058</v>
      </c>
      <c r="AK12" s="16">
        <f>'насел.'!AK12+пільги!AJ12+субсидії!AK12+'держ.бюджет'!AK12+'місц.-районн.бюджет'!AK12+областной!AK12+інші!AK12</f>
        <v>1399.5000000000002</v>
      </c>
      <c r="AL12" s="16">
        <f>'насел.'!AL12+пільги!AK12+субсидії!AL12+'держ.бюджет'!AL12+'місц.-районн.бюджет'!AL12+областной!AL12+інші!AL12</f>
        <v>1228.1000000000001</v>
      </c>
      <c r="AM12" s="16">
        <f t="shared" si="9"/>
        <v>87.75276884601642</v>
      </c>
      <c r="AN12" s="16">
        <f>'насел.'!AN12+пільги!AM12+субсидії!AN12+'держ.бюджет'!AN12+'місц.-районн.бюджет'!AN12+областной!AN12+інші!AN12</f>
        <v>0</v>
      </c>
      <c r="AO12" s="16">
        <f>'насел.'!AO12+пільги!AN12+субсидії!AO12+'держ.бюджет'!AO12+'місц.-районн.бюджет'!AO12+областной!AO12+інші!AO12</f>
        <v>0</v>
      </c>
      <c r="AP12" s="16">
        <f>'насел.'!AP12+пільги!AO12+субсидії!AP12+'держ.бюджет'!AP12+'місц.-районн.бюджет'!AP12+областной!AP12+інші!AP12</f>
        <v>0</v>
      </c>
      <c r="AQ12" s="16">
        <f>'насел.'!AQ12+пільги!AP12+субсидії!AQ12+'держ.бюджет'!AQ12+'місц.-районн.бюджет'!AQ12+областной!AQ12+інші!AQ12</f>
        <v>0</v>
      </c>
      <c r="AR12" s="16">
        <f>'насел.'!AR12+пільги!AQ12+субсидії!AR12+'держ.бюджет'!AR12+'місц.-районн.бюджет'!AR12+областной!AR12+інші!AR12</f>
        <v>0</v>
      </c>
      <c r="AS12" s="16">
        <f>'насел.'!AS12+пільги!AR12+субсидії!AS12+'держ.бюджет'!AS12+'місц.-районн.бюджет'!AS12+областной!AS12+інші!AS12</f>
        <v>0</v>
      </c>
      <c r="AT12" s="16">
        <f>'насел.'!AT12+пільги!AS12+субсидії!AT12+'держ.бюджет'!AT12+'місц.-районн.бюджет'!AT12+областной!AT12+інші!AT12</f>
        <v>3603.5</v>
      </c>
      <c r="AU12" s="16">
        <f>'насел.'!AU12+пільги!AT12+субсидії!AU12+'держ.бюджет'!AU12+'місц.-районн.бюджет'!AU12+областной!AU12+інші!AU12</f>
        <v>3159.3999999999996</v>
      </c>
      <c r="AV12" s="10">
        <f t="shared" si="10"/>
        <v>87.67587068128208</v>
      </c>
      <c r="AW12" s="16">
        <f>'насел.'!AW12+пільги!AV12+субсидії!AW12+'держ.бюджет'!AW12+'місц.-районн.бюджет'!AW12+областной!AW12+інші!AW12</f>
        <v>444.1</v>
      </c>
      <c r="AX12" s="103">
        <f>'насел.'!AX12+пільги!AW12+субсидії!AX12+'держ.бюджет'!AX12+'місц.-районн.бюджет'!AX12+областной!AX12+інші!AX12</f>
        <v>392.40000000000003</v>
      </c>
      <c r="AY12" s="39">
        <f t="shared" si="13"/>
        <v>3603.5</v>
      </c>
      <c r="AZ12" s="39">
        <f t="shared" si="14"/>
        <v>3159.4</v>
      </c>
      <c r="BA12" s="39">
        <f t="shared" si="15"/>
        <v>444.0999999999999</v>
      </c>
      <c r="BB12" s="39">
        <f t="shared" si="16"/>
        <v>392.4000000000001</v>
      </c>
    </row>
    <row r="13" spans="1:54" ht="34.5" customHeight="1">
      <c r="A13" s="12" t="s">
        <v>10</v>
      </c>
      <c r="B13" s="57" t="s">
        <v>52</v>
      </c>
      <c r="C13" s="16">
        <f>'насел.'!C13+пільги!C13+субсидії!C13+'держ.бюджет'!C13+'місц.-районн.бюджет'!C13+областной!C13+інші!C13</f>
        <v>-418.4</v>
      </c>
      <c r="D13" s="16">
        <f>'насел.'!D13+пільги!D13+субсидії!D13+'держ.бюджет'!D13+'місц.-районн.бюджет'!D13+областной!D13+інші!D13</f>
        <v>544.7</v>
      </c>
      <c r="E13" s="16">
        <f>'насел.'!E13+пільги!E13+субсидії!E13+'держ.бюджет'!E13+'місц.-районн.бюджет'!E13+областной!E13+інші!E13</f>
        <v>592.5</v>
      </c>
      <c r="F13" s="10">
        <f t="shared" si="0"/>
        <v>108.77547273728656</v>
      </c>
      <c r="G13" s="16">
        <f>'насел.'!G13+пільги!G13+субсидії!G13+'держ.бюджет'!G13+'місц.-районн.бюджет'!G13+областной!G13+інші!G13</f>
        <v>513.6</v>
      </c>
      <c r="H13" s="16">
        <f>'насел.'!H13+пільги!H13+субсидії!H13+'держ.бюджет'!H13+'місц.-районн.бюджет'!H13+областной!H13+інші!H13</f>
        <v>486.09999999999997</v>
      </c>
      <c r="I13" s="10">
        <f t="shared" si="1"/>
        <v>94.64563862928348</v>
      </c>
      <c r="J13" s="16">
        <f>'насел.'!J13+пільги!J13+субсидії!J13+'держ.бюджет'!J13+'місц.-районн.бюджет'!J13+областной!J13+інші!J13</f>
        <v>532.7</v>
      </c>
      <c r="K13" s="16">
        <f>'насел.'!K13+пільги!K13+субсидії!K13+'держ.бюджет'!K13+'місц.-районн.бюджет'!K13+областной!K13+інші!K13</f>
        <v>496.20000000000005</v>
      </c>
      <c r="L13" s="10">
        <f t="shared" si="2"/>
        <v>93.14811338464428</v>
      </c>
      <c r="M13" s="10">
        <f>'насел.'!M13+пільги!M13+субсидії!M13+'держ.бюджет'!M13+'місц.-районн.бюджет'!M13+областной!M13+інші!M13</f>
        <v>1591</v>
      </c>
      <c r="N13" s="10">
        <f>'насел.'!N13+пільги!N13+субсидії!N13+'держ.бюджет'!N13+'місц.-районн.бюджет'!N13+областной!N13+інші!N13</f>
        <v>1574.8</v>
      </c>
      <c r="O13" s="10">
        <f t="shared" si="11"/>
        <v>98.98177247014456</v>
      </c>
      <c r="P13" s="16">
        <f>'насел.'!P13+пільги!P13+субсидії!P13+'держ.бюджет'!P13+'місц.-районн.бюджет'!P13+областной!P13+інші!P13</f>
        <v>518.0999999999999</v>
      </c>
      <c r="Q13" s="16">
        <f>'насел.'!Q13+пільги!Q13+субсидії!Q13+'держ.бюджет'!Q13+'місц.-районн.бюджет'!Q13+областной!Q13+інші!Q13</f>
        <v>474.4</v>
      </c>
      <c r="R13" s="16">
        <f t="shared" si="12"/>
        <v>91.5653348774368</v>
      </c>
      <c r="S13" s="16">
        <f>'насел.'!S13+пільги!S13+субсидії!S13+'держ.бюджет'!S13+'місц.-районн.бюджет'!S13+областной!S13+інші!S13</f>
        <v>554.4</v>
      </c>
      <c r="T13" s="16">
        <f>'насел.'!T13+пільги!T13+субсидії!T13+'держ.бюджет'!T13+'місц.-районн.бюджет'!T13+областной!T13+інші!T13</f>
        <v>438.9</v>
      </c>
      <c r="U13" s="10">
        <f t="shared" si="3"/>
        <v>79.16666666666666</v>
      </c>
      <c r="V13" s="16">
        <f>'насел.'!V13+пільги!V13+субсидії!V13+'держ.бюджет'!V13+'місц.-районн.бюджет'!V13+областной!V13+інші!V13</f>
        <v>585.6</v>
      </c>
      <c r="W13" s="16">
        <f>'насел.'!W13+пільги!W13+субсидії!W13+'держ.бюджет'!W13+'місц.-районн.бюджет'!W13+областной!W13+інші!W13</f>
        <v>411.2</v>
      </c>
      <c r="X13" s="10">
        <f t="shared" si="4"/>
        <v>70.21857923497268</v>
      </c>
      <c r="Y13" s="16">
        <f>'насел.'!Y13+пільги!Y13+субсидії!Y13+'держ.бюджет'!Y13+'місц.-районн.бюджет'!Y13+областной!Y13+інші!Y13</f>
        <v>1658.1</v>
      </c>
      <c r="Z13" s="16">
        <f>'насел.'!Z13+пільги!Z13+субсидії!Z13+'держ.бюджет'!Z13+'місц.-районн.бюджет'!Z13+областной!Z13+інші!Z13</f>
        <v>1324.5</v>
      </c>
      <c r="AA13" s="10">
        <f t="shared" si="5"/>
        <v>79.88058621313552</v>
      </c>
      <c r="AB13" s="16">
        <f>'насел.'!AB13+пільги!AB13+субсидії!AB13+'держ.бюджет'!AB13+'місц.-районн.бюджет'!AB13+областной!AB13+інші!AB13</f>
        <v>648.2</v>
      </c>
      <c r="AC13" s="16">
        <f>'насел.'!AC13+пільги!AC13+субсидії!AC13+'держ.бюджет'!AC13+'місц.-районн.бюджет'!AC13+областной!AC13+інші!AC13</f>
        <v>560.4</v>
      </c>
      <c r="AD13" s="10">
        <f t="shared" si="6"/>
        <v>86.45479790188213</v>
      </c>
      <c r="AE13" s="16">
        <f>'насел.'!AE13+пільги!AE13+субсидії!AE13+'держ.бюджет'!AE13+'місц.-районн.бюджет'!AE13+областной!AE13+інші!AE13</f>
        <v>931.7000000000002</v>
      </c>
      <c r="AF13" s="16">
        <f>'насел.'!AF13+пільги!AF13+субсидії!AF13+'держ.бюджет'!AF13+'місц.-районн.бюджет'!AF13+областной!AF13+інші!AF13</f>
        <v>612.4</v>
      </c>
      <c r="AG13" s="10">
        <f t="shared" si="7"/>
        <v>65.72931201030373</v>
      </c>
      <c r="AH13" s="16">
        <f>'насел.'!AH13+пільги!AH13+субсидії!AH13+'держ.бюджет'!AH13+'місц.-районн.бюджет'!AH13+областной!AH13+інші!AH13</f>
        <v>924.2</v>
      </c>
      <c r="AI13" s="16">
        <f>'насел.'!AI13+пільги!AI13+субсидії!AI13+'держ.бюджет'!AI13+'місц.-районн.бюджет'!AI13+областной!AI13+інші!AI13</f>
        <v>746.3</v>
      </c>
      <c r="AJ13" s="10">
        <f t="shared" si="8"/>
        <v>80.75091971434753</v>
      </c>
      <c r="AK13" s="16">
        <f>'насел.'!AK13+пільги!AJ13+субсидії!AK13+'держ.бюджет'!AK13+'місц.-районн.бюджет'!AK13+областной!AK13+інші!AK13</f>
        <v>2504.1</v>
      </c>
      <c r="AL13" s="16">
        <f>'насел.'!AL13+пільги!AK13+субсидії!AL13+'держ.бюджет'!AL13+'місц.-районн.бюджет'!AL13+областной!AL13+інші!AL13</f>
        <v>1919.1000000000001</v>
      </c>
      <c r="AM13" s="16">
        <f t="shared" si="9"/>
        <v>76.6383131664071</v>
      </c>
      <c r="AN13" s="16">
        <f>'насел.'!AN13+пільги!AM13+субсидії!AN13+'держ.бюджет'!AN13+'місц.-районн.бюджет'!AN13+областной!AN13+інші!AN13</f>
        <v>0</v>
      </c>
      <c r="AO13" s="16">
        <f>'насел.'!AO13+пільги!AN13+субсидії!AO13+'держ.бюджет'!AO13+'місц.-районн.бюджет'!AO13+областной!AO13+інші!AO13</f>
        <v>0</v>
      </c>
      <c r="AP13" s="16">
        <f>'насел.'!AP13+пільги!AO13+субсидії!AP13+'держ.бюджет'!AP13+'місц.-районн.бюджет'!AP13+областной!AP13+інші!AP13</f>
        <v>0</v>
      </c>
      <c r="AQ13" s="16">
        <f>'насел.'!AQ13+пільги!AP13+субсидії!AQ13+'держ.бюджет'!AQ13+'місц.-районн.бюджет'!AQ13+областной!AQ13+інші!AQ13</f>
        <v>0</v>
      </c>
      <c r="AR13" s="16">
        <f>'насел.'!AR13+пільги!AQ13+субсидії!AR13+'держ.бюджет'!AR13+'місц.-районн.бюджет'!AR13+областной!AR13+інші!AR13</f>
        <v>0</v>
      </c>
      <c r="AS13" s="16">
        <f>'насел.'!AS13+пільги!AR13+субсидії!AS13+'держ.бюджет'!AS13+'місц.-районн.бюджет'!AS13+областной!AS13+інші!AS13</f>
        <v>0</v>
      </c>
      <c r="AT13" s="16">
        <f>'насел.'!AT13+пільги!AS13+субсидії!AT13+'держ.бюджет'!AT13+'місц.-районн.бюджет'!AT13+областной!AT13+інші!AT13</f>
        <v>5753.2</v>
      </c>
      <c r="AU13" s="16">
        <f>'насел.'!AU13+пільги!AT13+субсидії!AU13+'держ.бюджет'!AU13+'місц.-районн.бюджет'!AU13+областной!AU13+інші!AU13</f>
        <v>4818.4</v>
      </c>
      <c r="AV13" s="10">
        <f t="shared" si="10"/>
        <v>83.75165125495376</v>
      </c>
      <c r="AW13" s="16">
        <f>'насел.'!AW13+пільги!AV13+субсидії!AW13+'держ.бюджет'!AW13+'місц.-районн.бюджет'!AW13+областной!AW13+інші!AW13</f>
        <v>934.8000000000002</v>
      </c>
      <c r="AX13" s="103">
        <f>'насел.'!AX13+пільги!AW13+субсидії!AX13+'держ.бюджет'!AX13+'місц.-районн.бюджет'!AX13+областной!AX13+інші!AX13</f>
        <v>516.4000000000004</v>
      </c>
      <c r="AY13" s="39">
        <f t="shared" si="13"/>
        <v>5753.2</v>
      </c>
      <c r="AZ13" s="39">
        <f t="shared" si="14"/>
        <v>4818.4</v>
      </c>
      <c r="BA13" s="39">
        <f t="shared" si="15"/>
        <v>934.8000000000002</v>
      </c>
      <c r="BB13" s="39">
        <f t="shared" si="16"/>
        <v>516.4000000000005</v>
      </c>
    </row>
    <row r="14" spans="1:54" ht="34.5" customHeight="1">
      <c r="A14" s="12" t="s">
        <v>11</v>
      </c>
      <c r="B14" s="57" t="s">
        <v>88</v>
      </c>
      <c r="C14" s="16">
        <f>'насел.'!C14+пільги!C14+субсидії!C14+'держ.бюджет'!C14+'місц.-районн.бюджет'!C14+областной!C14+інші!C14</f>
        <v>-269.40000000000003</v>
      </c>
      <c r="D14" s="16">
        <f>'насел.'!D14+пільги!D14+субсидії!D14+'держ.бюджет'!D14+'місц.-районн.бюджет'!D14+областной!D14+інші!D14</f>
        <v>154.2</v>
      </c>
      <c r="E14" s="16">
        <f>'насел.'!E14+пільги!E14+субсидії!E14+'держ.бюджет'!E14+'місц.-районн.бюджет'!E14+областной!E14+інші!E14</f>
        <v>139.8</v>
      </c>
      <c r="F14" s="10">
        <f t="shared" si="0"/>
        <v>90.6614785992218</v>
      </c>
      <c r="G14" s="16">
        <f>'насел.'!G14+пільги!G14+субсидії!G14+'держ.бюджет'!G14+'місц.-районн.бюджет'!G14+областной!G14+інші!G14</f>
        <v>155.10000000000002</v>
      </c>
      <c r="H14" s="16">
        <f>'насел.'!H14+пільги!H14+субсидії!H14+'держ.бюджет'!H14+'місц.-районн.бюджет'!H14+областной!H14+інші!H14</f>
        <v>157.5</v>
      </c>
      <c r="I14" s="10">
        <f t="shared" si="1"/>
        <v>101.54738878143132</v>
      </c>
      <c r="J14" s="16">
        <f>'насел.'!J14+пільги!J14+субсидії!J14+'держ.бюджет'!J14+'місц.-районн.бюджет'!J14+областной!J14+інші!J14</f>
        <v>172.1</v>
      </c>
      <c r="K14" s="16">
        <f>'насел.'!K14+пільги!K14+субсидії!K14+'держ.бюджет'!K14+'місц.-районн.бюджет'!K14+областной!K14+інші!K14</f>
        <v>121.80000000000001</v>
      </c>
      <c r="L14" s="10">
        <f t="shared" si="2"/>
        <v>70.7728065078443</v>
      </c>
      <c r="M14" s="10">
        <f>'насел.'!M14+пільги!M14+субсидії!M14+'держ.бюджет'!M14+'місц.-районн.бюджет'!M14+областной!M14+інші!M14</f>
        <v>481.40000000000003</v>
      </c>
      <c r="N14" s="10">
        <f>'насел.'!N14+пільги!N14+субсидії!N14+'держ.бюджет'!N14+'місц.-районн.бюджет'!N14+областной!N14+інші!N14</f>
        <v>419.1</v>
      </c>
      <c r="O14" s="10">
        <f t="shared" si="11"/>
        <v>87.05857914416286</v>
      </c>
      <c r="P14" s="16">
        <f>'насел.'!P14+пільги!P14+субсидії!P14+'держ.бюджет'!P14+'місц.-районн.бюджет'!P14+областной!P14+інші!P14</f>
        <v>181.39999999999998</v>
      </c>
      <c r="Q14" s="16">
        <f>'насел.'!Q14+пільги!Q14+субсидії!Q14+'держ.бюджет'!Q14+'місц.-районн.бюджет'!Q14+областной!Q14+інші!Q14</f>
        <v>118.9</v>
      </c>
      <c r="R14" s="16">
        <f t="shared" si="12"/>
        <v>65.54575523704521</v>
      </c>
      <c r="S14" s="16">
        <f>'насел.'!S14+пільги!S14+субсидії!S14+'держ.бюджет'!S14+'місц.-районн.бюджет'!S14+областной!S14+інші!S14</f>
        <v>161.8</v>
      </c>
      <c r="T14" s="16">
        <f>'насел.'!T14+пільги!T14+субсидії!T14+'держ.бюджет'!T14+'місц.-районн.бюджет'!T14+областной!T14+інші!T14</f>
        <v>111.1</v>
      </c>
      <c r="U14" s="10">
        <f t="shared" si="3"/>
        <v>68.66501854140914</v>
      </c>
      <c r="V14" s="16">
        <f>'насел.'!V14+пільги!V14+субсидії!V14+'держ.бюджет'!V14+'місц.-районн.бюджет'!V14+областной!V14+інші!V14</f>
        <v>202.29999999999998</v>
      </c>
      <c r="W14" s="16">
        <f>'насел.'!W14+пільги!W14+субсидії!W14+'держ.бюджет'!W14+'місц.-районн.бюджет'!W14+областной!W14+інші!W14</f>
        <v>97.80000000000001</v>
      </c>
      <c r="X14" s="10">
        <f t="shared" si="4"/>
        <v>48.34404349975286</v>
      </c>
      <c r="Y14" s="16">
        <f>'насел.'!Y14+пільги!Y14+субсидії!Y14+'держ.бюджет'!Y14+'місц.-районн.бюджет'!Y14+областной!Y14+інші!Y14</f>
        <v>545.5</v>
      </c>
      <c r="Z14" s="16">
        <f>'насел.'!Z14+пільги!Z14+субсидії!Z14+'держ.бюджет'!Z14+'місц.-районн.бюджет'!Z14+областной!Z14+інші!Z14</f>
        <v>327.79999999999995</v>
      </c>
      <c r="AA14" s="10">
        <f t="shared" si="5"/>
        <v>60.09165902841429</v>
      </c>
      <c r="AB14" s="16">
        <f>'насел.'!AB14+пільги!AB14+субсидії!AB14+'держ.бюджет'!AB14+'місц.-районн.бюджет'!AB14+областной!AB14+інші!AB14</f>
        <v>187.9</v>
      </c>
      <c r="AC14" s="16">
        <f>'насел.'!AC14+пільги!AC14+субсидії!AC14+'держ.бюджет'!AC14+'місц.-районн.бюджет'!AC14+областной!AC14+інші!AC14</f>
        <v>163.2</v>
      </c>
      <c r="AD14" s="10">
        <f t="shared" si="6"/>
        <v>86.85470995210217</v>
      </c>
      <c r="AE14" s="16">
        <f>'насел.'!AE14+пільги!AE14+субсидії!AE14+'держ.бюджет'!AE14+'місц.-районн.бюджет'!AE14+областной!AE14+інші!AE14</f>
        <v>232.5</v>
      </c>
      <c r="AF14" s="16">
        <f>'насел.'!AF14+пільги!AF14+субсидії!AF14+'держ.бюджет'!AF14+'місц.-районн.бюджет'!AF14+областной!AF14+інші!AF14</f>
        <v>126.6</v>
      </c>
      <c r="AG14" s="10">
        <f t="shared" si="7"/>
        <v>54.4516129032258</v>
      </c>
      <c r="AH14" s="16">
        <f>'насел.'!AH14+пільги!AH14+субсидії!AH14+'держ.бюджет'!AH14+'місц.-районн.бюджет'!AH14+областной!AH14+інші!AH14</f>
        <v>210.10000000000002</v>
      </c>
      <c r="AI14" s="16">
        <f>'насел.'!AI14+пільги!AI14+субсидії!AI14+'держ.бюджет'!AI14+'місц.-районн.бюджет'!AI14+областной!AI14+інші!AI14</f>
        <v>190</v>
      </c>
      <c r="AJ14" s="10">
        <f t="shared" si="8"/>
        <v>90.43312708234174</v>
      </c>
      <c r="AK14" s="16">
        <f>'насел.'!AK14+пільги!AJ14+субсидії!AK14+'держ.бюджет'!AK14+'місц.-районн.бюджет'!AK14+областной!AK14+інші!AK14</f>
        <v>630.5</v>
      </c>
      <c r="AL14" s="16">
        <f>'насел.'!AL14+пільги!AK14+субсидії!AL14+'держ.бюджет'!AL14+'місц.-районн.бюджет'!AL14+областной!AL14+інші!AL14</f>
        <v>479.79999999999995</v>
      </c>
      <c r="AM14" s="16">
        <f t="shared" si="9"/>
        <v>76.09833465503569</v>
      </c>
      <c r="AN14" s="16">
        <f>'насел.'!AN14+пільги!AM14+субсидії!AN14+'держ.бюджет'!AN14+'місц.-районн.бюджет'!AN14+областной!AN14+інші!AN14</f>
        <v>0</v>
      </c>
      <c r="AO14" s="16">
        <f>'насел.'!AO14+пільги!AN14+субсидії!AO14+'держ.бюджет'!AO14+'місц.-районн.бюджет'!AO14+областной!AO14+інші!AO14</f>
        <v>0</v>
      </c>
      <c r="AP14" s="16">
        <f>'насел.'!AP14+пільги!AO14+субсидії!AP14+'держ.бюджет'!AP14+'місц.-районн.бюджет'!AP14+областной!AP14+інші!AP14</f>
        <v>0</v>
      </c>
      <c r="AQ14" s="16">
        <f>'насел.'!AQ14+пільги!AP14+субсидії!AQ14+'держ.бюджет'!AQ14+'місц.-районн.бюджет'!AQ14+областной!AQ14+інші!AQ14</f>
        <v>0</v>
      </c>
      <c r="AR14" s="16">
        <f>'насел.'!AR14+пільги!AQ14+субсидії!AR14+'держ.бюджет'!AR14+'місц.-районн.бюджет'!AR14+областной!AR14+інші!AR14</f>
        <v>0</v>
      </c>
      <c r="AS14" s="16">
        <f>'насел.'!AS14+пільги!AR14+субсидії!AS14+'держ.бюджет'!AS14+'місц.-районн.бюджет'!AS14+областной!AS14+інші!AS14</f>
        <v>0</v>
      </c>
      <c r="AT14" s="16">
        <f>'насел.'!AT14+пільги!AS14+субсидії!AT14+'держ.бюджет'!AT14+'місц.-районн.бюджет'!AT14+областной!AT14+інші!AT14</f>
        <v>1657.4</v>
      </c>
      <c r="AU14" s="16">
        <f>'насел.'!AU14+пільги!AT14+субсидії!AU14+'держ.бюджет'!AU14+'місц.-районн.бюджет'!AU14+областной!AU14+інші!AU14</f>
        <v>1226.7</v>
      </c>
      <c r="AV14" s="10">
        <f t="shared" si="10"/>
        <v>74.01351514420176</v>
      </c>
      <c r="AW14" s="16">
        <f>'насел.'!AW14+пільги!AV14+субсидії!AW14+'держ.бюджет'!AW14+'місц.-районн.бюджет'!AW14+областной!AW14+інші!AW14</f>
        <v>430.70000000000005</v>
      </c>
      <c r="AX14" s="103">
        <f>'насел.'!AX14+пільги!AW14+субсидії!AX14+'держ.бюджет'!AX14+'місц.-районн.бюджет'!AX14+областной!AX14+інші!AX14</f>
        <v>161.2999999999999</v>
      </c>
      <c r="AY14" s="39">
        <f t="shared" si="13"/>
        <v>1657.4</v>
      </c>
      <c r="AZ14" s="39">
        <f t="shared" si="14"/>
        <v>1226.7</v>
      </c>
      <c r="BA14" s="39">
        <f t="shared" si="15"/>
        <v>430.70000000000005</v>
      </c>
      <c r="BB14" s="39">
        <f t="shared" si="16"/>
        <v>161.29999999999995</v>
      </c>
    </row>
    <row r="15" spans="1:54" ht="34.5" customHeight="1">
      <c r="A15" s="12" t="s">
        <v>12</v>
      </c>
      <c r="B15" s="57" t="s">
        <v>53</v>
      </c>
      <c r="C15" s="16">
        <f>'насел.'!C15+пільги!C15+субсидії!C15+'держ.бюджет'!C15+'місц.-районн.бюджет'!C15+областной!C15+інші!C15</f>
        <v>1271.1</v>
      </c>
      <c r="D15" s="16">
        <f>'насел.'!D15+пільги!D15+субсидії!D15+'держ.бюджет'!D15+'місц.-районн.бюджет'!D15+областной!D15+інші!D15</f>
        <v>1319.6</v>
      </c>
      <c r="E15" s="16">
        <f>'насел.'!E15+пільги!E15+субсидії!E15+'держ.бюджет'!E15+'місц.-районн.бюджет'!E15+областной!E15+інші!E15</f>
        <v>1176.5</v>
      </c>
      <c r="F15" s="10">
        <f t="shared" si="0"/>
        <v>89.1558047893301</v>
      </c>
      <c r="G15" s="16">
        <f>'насел.'!G15+пільги!G15+субсидії!G15+'держ.бюджет'!G15+'місц.-районн.бюджет'!G15+областной!G15+інші!G15</f>
        <v>1264.5</v>
      </c>
      <c r="H15" s="16">
        <f>'насел.'!H15+пільги!H15+субсидії!H15+'держ.бюджет'!H15+'місц.-районн.бюджет'!H15+областной!H15+інші!H15</f>
        <v>1153.5</v>
      </c>
      <c r="I15" s="10">
        <f t="shared" si="1"/>
        <v>91.22182680901541</v>
      </c>
      <c r="J15" s="16">
        <f>'насел.'!J15+пільги!J15+субсидії!J15+'держ.бюджет'!J15+'місц.-районн.бюджет'!J15+областной!J15+інші!J15</f>
        <v>1574.1000000000001</v>
      </c>
      <c r="K15" s="16">
        <f>'насел.'!K15+пільги!K15+субсидії!K15+'держ.бюджет'!K15+'місц.-районн.бюджет'!K15+областной!K15+інші!K15</f>
        <v>1756</v>
      </c>
      <c r="L15" s="10">
        <f t="shared" si="2"/>
        <v>111.55580966901721</v>
      </c>
      <c r="M15" s="10">
        <f>'насел.'!M15+пільги!M15+субсидії!M15+'держ.бюджет'!M15+'місц.-районн.бюджет'!M15+областной!M15+інші!M15</f>
        <v>4158.2</v>
      </c>
      <c r="N15" s="10">
        <f>'насел.'!N15+пільги!N15+субсидії!N15+'держ.бюджет'!N15+'місц.-районн.бюджет'!N15+областной!N15+інші!N15</f>
        <v>4086.000000000001</v>
      </c>
      <c r="O15" s="10">
        <f t="shared" si="11"/>
        <v>98.26367178105913</v>
      </c>
      <c r="P15" s="16">
        <f>'насел.'!P15+пільги!P15+субсидії!P15+'держ.бюджет'!P15+'місц.-районн.бюджет'!P15+областной!P15+інші!P15</f>
        <v>1351</v>
      </c>
      <c r="Q15" s="16">
        <f>'насел.'!Q15+пільги!Q15+субсидії!Q15+'держ.бюджет'!Q15+'місц.-районн.бюджет'!Q15+областной!Q15+інші!Q15</f>
        <v>1191.2</v>
      </c>
      <c r="R15" s="16">
        <f t="shared" si="12"/>
        <v>88.17172464840858</v>
      </c>
      <c r="S15" s="16">
        <f>'насел.'!S15+пільги!S15+субсидії!S15+'держ.бюджет'!S15+'місц.-районн.бюджет'!S15+областной!S15+інші!S15</f>
        <v>1324.5</v>
      </c>
      <c r="T15" s="16">
        <f>'насел.'!T15+пільги!T15+субсидії!T15+'держ.бюджет'!T15+'місц.-районн.бюджет'!T15+областной!T15+інші!T15</f>
        <v>1240.2</v>
      </c>
      <c r="U15" s="10">
        <f t="shared" si="3"/>
        <v>93.63533408833521</v>
      </c>
      <c r="V15" s="16">
        <f>'насел.'!V15+пільги!V15+субсидії!V15+'держ.бюджет'!V15+'місц.-районн.бюджет'!V15+областной!V15+інші!V15</f>
        <v>1527.6</v>
      </c>
      <c r="W15" s="16">
        <f>'насел.'!W15+пільги!W15+субсидії!W15+'держ.бюджет'!W15+'місц.-районн.бюджет'!W15+областной!W15+інші!W15</f>
        <v>1293</v>
      </c>
      <c r="X15" s="10">
        <f t="shared" si="4"/>
        <v>84.64257659073057</v>
      </c>
      <c r="Y15" s="16">
        <f>'насел.'!Y15+пільги!Y15+субсидії!Y15+'держ.бюджет'!Y15+'місц.-районн.бюджет'!Y15+областной!Y15+інші!Y15</f>
        <v>4203.1</v>
      </c>
      <c r="Z15" s="16">
        <f>'насел.'!Z15+пільги!Z15+субсидії!Z15+'держ.бюджет'!Z15+'місц.-районн.бюджет'!Z15+областной!Z15+інші!Z15</f>
        <v>3724.3999999999996</v>
      </c>
      <c r="AA15" s="10">
        <f t="shared" si="5"/>
        <v>88.61078727605813</v>
      </c>
      <c r="AB15" s="16">
        <f>'насел.'!AB15+пільги!AB15+субсидії!AB15+'держ.бюджет'!AB15+'місц.-районн.бюджет'!AB15+областной!AB15+інші!AB15</f>
        <v>1583.2</v>
      </c>
      <c r="AC15" s="16">
        <f>'насел.'!AC15+пільги!AC15+субсидії!AC15+'держ.бюджет'!AC15+'місц.-районн.бюджет'!AC15+областной!AC15+інші!AC15</f>
        <v>1492.6</v>
      </c>
      <c r="AD15" s="10">
        <f t="shared" si="6"/>
        <v>94.27741283476503</v>
      </c>
      <c r="AE15" s="16">
        <f>'насел.'!AE15+пільги!AE15+субсидії!AE15+'держ.бюджет'!AE15+'місц.-районн.бюджет'!AE15+областной!AE15+інші!AE15</f>
        <v>1621.4</v>
      </c>
      <c r="AF15" s="16">
        <f>'насел.'!AF15+пільги!AF15+субсидії!AF15+'держ.бюджет'!AF15+'місц.-районн.бюджет'!AF15+областной!AF15+інші!AF15</f>
        <v>1375.1</v>
      </c>
      <c r="AG15" s="10">
        <f t="shared" si="7"/>
        <v>84.80942395460713</v>
      </c>
      <c r="AH15" s="16">
        <f>'насел.'!AH15+пільги!AH15+субсидії!AH15+'держ.бюджет'!AH15+'місц.-районн.бюджет'!AH15+областной!AH15+інші!AH15</f>
        <v>1656.3</v>
      </c>
      <c r="AI15" s="16">
        <f>'насел.'!AI15+пільги!AI15+субсидії!AI15+'держ.бюджет'!AI15+'місц.-районн.бюджет'!AI15+областной!AI15+інші!AI15</f>
        <v>1716.6999999999998</v>
      </c>
      <c r="AJ15" s="10">
        <f t="shared" si="8"/>
        <v>103.64668236430596</v>
      </c>
      <c r="AK15" s="16">
        <f>'насел.'!AK15+пільги!AJ15+субсидії!AK15+'держ.бюджет'!AK15+'місц.-районн.бюджет'!AK15+областной!AK15+інші!AK15</f>
        <v>4860.900000000001</v>
      </c>
      <c r="AL15" s="16">
        <f>'насел.'!AL15+пільги!AK15+субсидії!AL15+'держ.бюджет'!AL15+'місц.-районн.бюджет'!AL15+областной!AL15+інші!AL15</f>
        <v>4584.400000000001</v>
      </c>
      <c r="AM15" s="16">
        <f t="shared" si="9"/>
        <v>94.31175296755745</v>
      </c>
      <c r="AN15" s="16">
        <f>'насел.'!AN15+пільги!AM15+субсидії!AN15+'держ.бюджет'!AN15+'місц.-районн.бюджет'!AN15+областной!AN15+інші!AN15</f>
        <v>0</v>
      </c>
      <c r="AO15" s="16">
        <f>'насел.'!AO15+пільги!AN15+субсидії!AO15+'держ.бюджет'!AO15+'місц.-районн.бюджет'!AO15+областной!AO15+інші!AO15</f>
        <v>0</v>
      </c>
      <c r="AP15" s="16">
        <f>'насел.'!AP15+пільги!AO15+субсидії!AP15+'держ.бюджет'!AP15+'місц.-районн.бюджет'!AP15+областной!AP15+інші!AP15</f>
        <v>0</v>
      </c>
      <c r="AQ15" s="16">
        <f>'насел.'!AQ15+пільги!AP15+субсидії!AQ15+'держ.бюджет'!AQ15+'місц.-районн.бюджет'!AQ15+областной!AQ15+інші!AQ15</f>
        <v>0</v>
      </c>
      <c r="AR15" s="16">
        <f>'насел.'!AR15+пільги!AQ15+субсидії!AR15+'держ.бюджет'!AR15+'місц.-районн.бюджет'!AR15+областной!AR15+інші!AR15</f>
        <v>0</v>
      </c>
      <c r="AS15" s="16">
        <f>'насел.'!AS15+пільги!AR15+субсидії!AS15+'держ.бюджет'!AS15+'місц.-районн.бюджет'!AS15+областной!AS15+інші!AS15</f>
        <v>0</v>
      </c>
      <c r="AT15" s="16">
        <f>'насел.'!AT15+пільги!AS15+субсидії!AT15+'держ.бюджет'!AT15+'місц.-районн.бюджет'!AT15+областной!AT15+інші!AT15</f>
        <v>13222.199999999997</v>
      </c>
      <c r="AU15" s="16">
        <f>'насел.'!AU15+пільги!AT15+субсидії!AU15+'держ.бюджет'!AU15+'місц.-районн.бюджет'!AU15+областной!AU15+інші!AU15</f>
        <v>12394.8</v>
      </c>
      <c r="AV15" s="10">
        <f t="shared" si="10"/>
        <v>93.74234242410493</v>
      </c>
      <c r="AW15" s="16">
        <f>'насел.'!AW15+пільги!AV15+субсидії!AW15+'держ.бюджет'!AW15+'місц.-районн.бюджет'!AW15+областной!AW15+інші!AW15</f>
        <v>827.3999999999999</v>
      </c>
      <c r="AX15" s="103">
        <f>'насел.'!AX15+пільги!AW15+субсидії!AX15+'держ.бюджет'!AX15+'місц.-районн.бюджет'!AX15+областной!AX15+інші!AX15</f>
        <v>2098.500000000001</v>
      </c>
      <c r="AY15" s="39">
        <f t="shared" si="13"/>
        <v>13222.199999999999</v>
      </c>
      <c r="AZ15" s="39">
        <f t="shared" si="14"/>
        <v>12394.8</v>
      </c>
      <c r="BA15" s="39">
        <f t="shared" si="15"/>
        <v>827.3999999999996</v>
      </c>
      <c r="BB15" s="39">
        <f t="shared" si="16"/>
        <v>2098.5</v>
      </c>
    </row>
    <row r="16" spans="1:54" ht="34.5" customHeight="1">
      <c r="A16" s="12" t="s">
        <v>13</v>
      </c>
      <c r="B16" s="57" t="s">
        <v>54</v>
      </c>
      <c r="C16" s="16">
        <f>'насел.'!C16+пільги!C16+субсидії!C16+'держ.бюджет'!C16+'місц.-районн.бюджет'!C16+областной!C16+інші!C16</f>
        <v>-18.7</v>
      </c>
      <c r="D16" s="16">
        <f>'насел.'!D16+пільги!D16+субсидії!D16+'держ.бюджет'!D16+'місц.-районн.бюджет'!D16+областной!D16+інші!D16</f>
        <v>42.4</v>
      </c>
      <c r="E16" s="16">
        <f>'насел.'!E16+пільги!E16+субсидії!E16+'держ.бюджет'!E16+'місц.-районн.бюджет'!E16+областной!E16+інші!E16</f>
        <v>24.2</v>
      </c>
      <c r="F16" s="10">
        <f t="shared" si="0"/>
        <v>57.07547169811321</v>
      </c>
      <c r="G16" s="16">
        <f>'насел.'!G16+пільги!G16+субсидії!G16+'держ.бюджет'!G16+'місц.-районн.бюджет'!G16+областной!G16+інші!G16</f>
        <v>42.3</v>
      </c>
      <c r="H16" s="16">
        <f>'насел.'!H16+пільги!H16+субсидії!H16+'держ.бюджет'!H16+'місц.-районн.бюджет'!H16+областной!H16+інші!H16</f>
        <v>30.6</v>
      </c>
      <c r="I16" s="10">
        <f t="shared" si="1"/>
        <v>72.3404255319149</v>
      </c>
      <c r="J16" s="16">
        <f>'насел.'!J16+пільги!J16+субсидії!J16+'держ.бюджет'!J16+'місц.-районн.бюджет'!J16+областной!J16+інші!J16</f>
        <v>35.3</v>
      </c>
      <c r="K16" s="16">
        <f>'насел.'!K16+пільги!K16+субсидії!K16+'держ.бюджет'!K16+'місц.-районн.бюджет'!K16+областной!K16+інші!K16</f>
        <v>30.899999999999995</v>
      </c>
      <c r="L16" s="10">
        <f t="shared" si="2"/>
        <v>87.53541076487251</v>
      </c>
      <c r="M16" s="10">
        <f>'насел.'!M16+пільги!M16+субсидії!M16+'держ.бюджет'!M16+'місц.-районн.бюджет'!M16+областной!M16+інші!M16</f>
        <v>120</v>
      </c>
      <c r="N16" s="10">
        <f>'насел.'!N16+пільги!N16+субсидії!N16+'держ.бюджет'!N16+'місц.-районн.бюджет'!N16+областной!N16+інші!N16</f>
        <v>85.7</v>
      </c>
      <c r="O16" s="10">
        <f t="shared" si="11"/>
        <v>71.41666666666667</v>
      </c>
      <c r="P16" s="16">
        <f>'насел.'!P16+пільги!P16+субсидії!P16+'держ.бюджет'!P16+'місц.-районн.бюджет'!P16+областной!P16+інші!P16</f>
        <v>38.8</v>
      </c>
      <c r="Q16" s="16">
        <f>'насел.'!Q16+пільги!Q16+субсидії!Q16+'держ.бюджет'!Q16+'місц.-районн.бюджет'!Q16+областной!Q16+інші!Q16</f>
        <v>34.7</v>
      </c>
      <c r="R16" s="16">
        <f t="shared" si="12"/>
        <v>89.43298969072167</v>
      </c>
      <c r="S16" s="16">
        <f>'насел.'!S16+пільги!S16+субсидії!S16+'держ.бюджет'!S16+'місц.-районн.бюджет'!S16+областной!S16+інші!S16</f>
        <v>40.800000000000004</v>
      </c>
      <c r="T16" s="16">
        <f>'насел.'!T16+пільги!T16+субсидії!T16+'держ.бюджет'!T16+'місц.-районн.бюджет'!T16+областной!T16+інші!T16</f>
        <v>37.4</v>
      </c>
      <c r="U16" s="10">
        <f t="shared" si="3"/>
        <v>91.66666666666666</v>
      </c>
      <c r="V16" s="16">
        <f>'насел.'!V16+пільги!V16+субсидії!V16+'держ.бюджет'!V16+'місц.-районн.бюджет'!V16+областной!V16+інші!V16</f>
        <v>50.6</v>
      </c>
      <c r="W16" s="16">
        <f>'насел.'!W16+пільги!W16+субсидії!W16+'держ.бюджет'!W16+'місц.-районн.бюджет'!W16+областной!W16+інші!W16</f>
        <v>38.4</v>
      </c>
      <c r="X16" s="10">
        <f t="shared" si="4"/>
        <v>75.8893280632411</v>
      </c>
      <c r="Y16" s="16">
        <f>'насел.'!Y16+пільги!Y16+субсидії!Y16+'держ.бюджет'!Y16+'місц.-районн.бюджет'!Y16+областной!Y16+інші!Y16</f>
        <v>130.20000000000005</v>
      </c>
      <c r="Z16" s="16">
        <f>'насел.'!Z16+пільги!Z16+субсидії!Z16+'держ.бюджет'!Z16+'місц.-районн.бюджет'!Z16+областной!Z16+інші!Z16</f>
        <v>110.5</v>
      </c>
      <c r="AA16" s="10">
        <f t="shared" si="5"/>
        <v>84.86943164362516</v>
      </c>
      <c r="AB16" s="16">
        <f>'насел.'!AB16+пільги!AB16+субсидії!AB16+'держ.бюджет'!AB16+'місц.-районн.бюджет'!AB16+областной!AB16+інші!AB16</f>
        <v>57.300000000000004</v>
      </c>
      <c r="AC16" s="16">
        <f>'насел.'!AC16+пільги!AC16+субсидії!AC16+'держ.бюджет'!AC16+'місц.-районн.бюджет'!AC16+областной!AC16+інші!AC16</f>
        <v>49.5</v>
      </c>
      <c r="AD16" s="10">
        <f t="shared" si="6"/>
        <v>86.38743455497382</v>
      </c>
      <c r="AE16" s="16">
        <f>'насел.'!AE16+пільги!AE16+субсидії!AE16+'держ.бюджет'!AE16+'місц.-районн.бюджет'!AE16+областной!AE16+інші!AE16</f>
        <v>86.2</v>
      </c>
      <c r="AF16" s="16">
        <f>'насел.'!AF16+пільги!AF16+субсидії!AF16+'держ.бюджет'!AF16+'місц.-районн.бюджет'!AF16+областной!AF16+інші!AF16</f>
        <v>51.900000000000006</v>
      </c>
      <c r="AG16" s="10">
        <f t="shared" si="7"/>
        <v>60.20881670533643</v>
      </c>
      <c r="AH16" s="16">
        <f>'насел.'!AH16+пільги!AH16+субсидії!AH16+'держ.бюджет'!AH16+'місц.-районн.бюджет'!AH16+областной!AH16+інші!AH16</f>
        <v>103.19999999999999</v>
      </c>
      <c r="AI16" s="16">
        <f>'насел.'!AI16+пільги!AI16+субсидії!AI16+'держ.бюджет'!AI16+'місц.-районн.бюджет'!AI16+областной!AI16+інші!AI16</f>
        <v>83.19999999999999</v>
      </c>
      <c r="AJ16" s="10">
        <f t="shared" si="8"/>
        <v>80.62015503875969</v>
      </c>
      <c r="AK16" s="16">
        <f>'насел.'!AK16+пільги!AJ16+субсидії!AK16+'держ.бюджет'!AK16+'місц.-районн.бюджет'!AK16+областной!AK16+інші!AK16</f>
        <v>246.70000000000002</v>
      </c>
      <c r="AL16" s="16">
        <f>'насел.'!AL16+пільги!AK16+субсидії!AL16+'держ.бюджет'!AL16+'місц.-районн.бюджет'!AL16+областной!AL16+інші!AL16</f>
        <v>184.6</v>
      </c>
      <c r="AM16" s="16">
        <f t="shared" si="9"/>
        <v>74.82772598297527</v>
      </c>
      <c r="AN16" s="16">
        <f>'насел.'!AN16+пільги!AM16+субсидії!AN16+'держ.бюджет'!AN16+'місц.-районн.бюджет'!AN16+областной!AN16+інші!AN16</f>
        <v>0</v>
      </c>
      <c r="AO16" s="16">
        <f>'насел.'!AO16+пільги!AN16+субсидії!AO16+'держ.бюджет'!AO16+'місц.-районн.бюджет'!AO16+областной!AO16+інші!AO16</f>
        <v>0</v>
      </c>
      <c r="AP16" s="16">
        <f>'насел.'!AP16+пільги!AO16+субсидії!AP16+'держ.бюджет'!AP16+'місц.-районн.бюджет'!AP16+областной!AP16+інші!AP16</f>
        <v>0</v>
      </c>
      <c r="AQ16" s="16">
        <f>'насел.'!AQ16+пільги!AP16+субсидії!AQ16+'держ.бюджет'!AQ16+'місц.-районн.бюджет'!AQ16+областной!AQ16+інші!AQ16</f>
        <v>0</v>
      </c>
      <c r="AR16" s="16">
        <f>'насел.'!AR16+пільги!AQ16+субсидії!AR16+'держ.бюджет'!AR16+'місц.-районн.бюджет'!AR16+областной!AR16+інші!AR16</f>
        <v>0</v>
      </c>
      <c r="AS16" s="16">
        <f>'насел.'!AS16+пільги!AR16+субсидії!AS16+'держ.бюджет'!AS16+'місц.-районн.бюджет'!AS16+областной!AS16+інші!AS16</f>
        <v>0</v>
      </c>
      <c r="AT16" s="16">
        <f>'насел.'!AT16+пільги!AS16+субсидії!AT16+'держ.бюджет'!AT16+'місц.-районн.бюджет'!AT16+областной!AT16+інші!AT16</f>
        <v>496.90000000000003</v>
      </c>
      <c r="AU16" s="16">
        <f>'насел.'!AU16+пільги!AT16+субсидії!AU16+'держ.бюджет'!AU16+'місц.-районн.бюджет'!AU16+областной!AU16+інші!AU16</f>
        <v>380.8</v>
      </c>
      <c r="AV16" s="10">
        <f t="shared" si="10"/>
        <v>76.63513785469914</v>
      </c>
      <c r="AW16" s="16">
        <f>'насел.'!AW16+пільги!AV16+субсидії!AW16+'держ.бюджет'!AW16+'місц.-районн.бюджет'!AW16+областной!AW16+інші!AW16</f>
        <v>116.10000000000005</v>
      </c>
      <c r="AX16" s="103">
        <f>'насел.'!AX16+пільги!AW16+субсидії!AX16+'держ.бюджет'!AX16+'місц.-районн.бюджет'!AX16+областной!AX16+інші!AX16</f>
        <v>97.40000000000005</v>
      </c>
      <c r="AY16" s="39">
        <f t="shared" si="13"/>
        <v>496.9</v>
      </c>
      <c r="AZ16" s="39">
        <f t="shared" si="14"/>
        <v>380.8</v>
      </c>
      <c r="BA16" s="39">
        <f t="shared" si="15"/>
        <v>116.09999999999997</v>
      </c>
      <c r="BB16" s="39">
        <f t="shared" si="16"/>
        <v>97.39999999999998</v>
      </c>
    </row>
    <row r="17" spans="1:54" ht="34.5" customHeight="1">
      <c r="A17" s="12" t="s">
        <v>14</v>
      </c>
      <c r="B17" s="61" t="s">
        <v>89</v>
      </c>
      <c r="C17" s="16">
        <f>'насел.'!C17+пільги!C17+субсидії!C17+'держ.бюджет'!C17+'місц.-районн.бюджет'!C17+областной!C17+інші!C17</f>
        <v>4635</v>
      </c>
      <c r="D17" s="16">
        <f>'насел.'!D17+пільги!D17+субсидії!D17+'держ.бюджет'!D17+'місц.-районн.бюджет'!D17+областной!D17+інші!D17</f>
        <v>1018.4000000000001</v>
      </c>
      <c r="E17" s="16">
        <f>'насел.'!E17+пільги!E17+субсидії!E17+'держ.бюджет'!E17+'місц.-районн.бюджет'!E17+областной!E17+інші!E17</f>
        <v>1013.4000000000001</v>
      </c>
      <c r="F17" s="10">
        <f t="shared" si="0"/>
        <v>99.50903377847604</v>
      </c>
      <c r="G17" s="16">
        <f>'насел.'!G17+пільги!G17+субсидії!G17+'держ.бюджет'!G17+'місц.-районн.бюджет'!G17+областной!G17+інші!G17</f>
        <v>951.6000000000001</v>
      </c>
      <c r="H17" s="16">
        <f>'насел.'!H17+пільги!H17+субсидії!H17+'держ.бюджет'!H17+'місц.-районн.бюджет'!H17+областной!H17+інші!H17</f>
        <v>1046.2</v>
      </c>
      <c r="I17" s="10">
        <f t="shared" si="1"/>
        <v>109.94115174443041</v>
      </c>
      <c r="J17" s="16">
        <f>'насел.'!J17+пільги!J17+субсидії!J17+'держ.бюджет'!J17+'місц.-районн.бюджет'!J17+областной!J17+інші!J17</f>
        <v>926.6999999999998</v>
      </c>
      <c r="K17" s="16">
        <f>'насел.'!K17+пільги!K17+субсидії!K17+'держ.бюджет'!K17+'місц.-районн.бюджет'!K17+областной!K17+інші!K17</f>
        <v>908.1999999999999</v>
      </c>
      <c r="L17" s="10">
        <f t="shared" si="2"/>
        <v>98.00366893277221</v>
      </c>
      <c r="M17" s="10">
        <f>'насел.'!M17+пільги!M17+субсидії!M17+'держ.бюджет'!M17+'місц.-районн.бюджет'!M17+областной!M17+інші!M17</f>
        <v>2896.7</v>
      </c>
      <c r="N17" s="10">
        <f>'насел.'!N17+пільги!N17+субсидії!N17+'держ.бюджет'!N17+'місц.-районн.бюджет'!N17+областной!N17+інші!N17</f>
        <v>2967.8</v>
      </c>
      <c r="O17" s="10">
        <f t="shared" si="11"/>
        <v>102.4545172092381</v>
      </c>
      <c r="P17" s="16">
        <f>'насел.'!P17+пільги!P17+субсидії!P17+'держ.бюджет'!P17+'місц.-районн.бюджет'!P17+областной!P17+інші!P17</f>
        <v>954.9000000000001</v>
      </c>
      <c r="Q17" s="16">
        <f>'насел.'!Q17+пільги!Q17+субсидії!Q17+'держ.бюджет'!Q17+'місц.-районн.бюджет'!Q17+областной!Q17+інші!Q17</f>
        <v>794.7000000000002</v>
      </c>
      <c r="R17" s="16">
        <f t="shared" si="12"/>
        <v>83.22337417530632</v>
      </c>
      <c r="S17" s="16">
        <f>'насел.'!S17+пільги!S17+субсидії!S17+'держ.бюджет'!S17+'місц.-районн.бюджет'!S17+областной!S17+інші!S17</f>
        <v>947.7</v>
      </c>
      <c r="T17" s="16">
        <f>'насел.'!T17+пільги!T17+субсидії!T17+'держ.бюджет'!T17+'місц.-районн.бюджет'!T17+областной!T17+інші!T17</f>
        <v>816.4000000000001</v>
      </c>
      <c r="U17" s="10">
        <f t="shared" si="3"/>
        <v>86.14540466392319</v>
      </c>
      <c r="V17" s="16">
        <f>'насел.'!V17+пільги!V17+субсидії!V17+'держ.бюджет'!V17+'місц.-районн.бюджет'!V17+областной!V17+інші!V17</f>
        <v>914.1</v>
      </c>
      <c r="W17" s="16">
        <f>'насел.'!W17+пільги!W17+субсидії!W17+'держ.бюджет'!W17+'місц.-районн.бюджет'!W17+областной!W17+інші!W17</f>
        <v>824.5000000000001</v>
      </c>
      <c r="X17" s="10">
        <f t="shared" si="4"/>
        <v>90.19800897057215</v>
      </c>
      <c r="Y17" s="16">
        <f>'насел.'!Y17+пільги!Y17+субсидії!Y17+'держ.бюджет'!Y17+'місц.-районн.бюджет'!Y17+областной!Y17+інші!Y17</f>
        <v>2816.7</v>
      </c>
      <c r="Z17" s="16">
        <f>'насел.'!Z17+пільги!Z17+субсидії!Z17+'держ.бюджет'!Z17+'місц.-районн.бюджет'!Z17+областной!Z17+інші!Z17</f>
        <v>2435.6000000000004</v>
      </c>
      <c r="AA17" s="10">
        <f t="shared" si="5"/>
        <v>86.4699826037562</v>
      </c>
      <c r="AB17" s="16">
        <f>'насел.'!AB17+пільги!AB17+субсидії!AB17+'держ.бюджет'!AB17+'місц.-районн.бюджет'!AB17+областной!AB17+інші!AB17</f>
        <v>840.5</v>
      </c>
      <c r="AC17" s="16">
        <f>'насел.'!AC17+пільги!AC17+субсидії!AC17+'держ.бюджет'!AC17+'місц.-районн.бюджет'!AC17+областной!AC17+інші!AC17</f>
        <v>932.6999999999999</v>
      </c>
      <c r="AD17" s="10">
        <f t="shared" si="6"/>
        <v>110.96966091612134</v>
      </c>
      <c r="AE17" s="16">
        <f>'насел.'!AE17+пільги!AE17+субсидії!AE17+'держ.бюджет'!AE17+'місц.-районн.бюджет'!AE17+областной!AE17+інші!AE17</f>
        <v>915.8</v>
      </c>
      <c r="AF17" s="16">
        <f>'насел.'!AF17+пільги!AF17+субсидії!AF17+'держ.бюджет'!AF17+'місц.-районн.бюджет'!AF17+областной!AF17+інші!AF17</f>
        <v>839.9</v>
      </c>
      <c r="AG17" s="10">
        <f t="shared" si="7"/>
        <v>91.71216422799738</v>
      </c>
      <c r="AH17" s="16">
        <f>'насел.'!AH17+пільги!AH17+субсидії!AH17+'держ.бюджет'!AH17+'місц.-районн.бюджет'!AH17+областной!AH17+інші!AH17</f>
        <v>1146</v>
      </c>
      <c r="AI17" s="16">
        <f>'насел.'!AI17+пільги!AI17+субсидії!AI17+'держ.бюджет'!AI17+'місц.-районн.бюджет'!AI17+областной!AI17+інші!AI17</f>
        <v>861.2</v>
      </c>
      <c r="AJ17" s="10">
        <f t="shared" si="8"/>
        <v>75.14834205933683</v>
      </c>
      <c r="AK17" s="16">
        <f>'насел.'!AK17+пільги!AJ17+субсидії!AK17+'держ.бюджет'!AK17+'місц.-районн.бюджет'!AK17+областной!AK17+інші!AK17</f>
        <v>2902.2999999999997</v>
      </c>
      <c r="AL17" s="16">
        <f>'насел.'!AL17+пільги!AK17+субсидії!AL17+'держ.бюджет'!AL17+'місц.-районн.бюджет'!AL17+областной!AL17+інші!AL17</f>
        <v>2633.7999999999997</v>
      </c>
      <c r="AM17" s="16">
        <f t="shared" si="9"/>
        <v>90.74871653516176</v>
      </c>
      <c r="AN17" s="16">
        <f>'насел.'!AN17+пільги!AM17+субсидії!AN17+'держ.бюджет'!AN17+'місц.-районн.бюджет'!AN17+областной!AN17+інші!AN17</f>
        <v>0</v>
      </c>
      <c r="AO17" s="16">
        <f>'насел.'!AO17+пільги!AN17+субсидії!AO17+'держ.бюджет'!AO17+'місц.-районн.бюджет'!AO17+областной!AO17+інші!AO17</f>
        <v>0</v>
      </c>
      <c r="AP17" s="16">
        <f>'насел.'!AP17+пільги!AO17+субсидії!AP17+'держ.бюджет'!AP17+'місц.-районн.бюджет'!AP17+областной!AP17+інші!AP17</f>
        <v>0</v>
      </c>
      <c r="AQ17" s="16">
        <f>'насел.'!AQ17+пільги!AP17+субсидії!AQ17+'держ.бюджет'!AQ17+'місц.-районн.бюджет'!AQ17+областной!AQ17+інші!AQ17</f>
        <v>0</v>
      </c>
      <c r="AR17" s="16">
        <f>'насел.'!AR17+пільги!AQ17+субсидії!AR17+'держ.бюджет'!AR17+'місц.-районн.бюджет'!AR17+областной!AR17+інші!AR17</f>
        <v>0</v>
      </c>
      <c r="AS17" s="16">
        <f>'насел.'!AS17+пільги!AR17+субсидії!AS17+'держ.бюджет'!AS17+'місц.-районн.бюджет'!AS17+областной!AS17+інші!AS17</f>
        <v>0</v>
      </c>
      <c r="AT17" s="16">
        <f>'насел.'!AT17+пільги!AS17+субсидії!AT17+'держ.бюджет'!AT17+'місц.-районн.бюджет'!AT17+областной!AT17+інші!AT17</f>
        <v>8615.7</v>
      </c>
      <c r="AU17" s="16">
        <f>'насел.'!AU17+пільги!AT17+субсидії!AU17+'держ.бюджет'!AU17+'місц.-районн.бюджет'!AU17+областной!AU17+інші!AU17</f>
        <v>8037.200000000001</v>
      </c>
      <c r="AV17" s="10">
        <f t="shared" si="10"/>
        <v>93.28551365530369</v>
      </c>
      <c r="AW17" s="16">
        <f>'насел.'!AW17+пільги!AV17+субсидії!AW17+'держ.бюджет'!AW17+'місц.-районн.бюджет'!AW17+областной!AW17+інші!AW17</f>
        <v>578.5000000000002</v>
      </c>
      <c r="AX17" s="103">
        <f>'насел.'!AX17+пільги!AW17+субсидії!AX17+'держ.бюджет'!AX17+'місц.-районн.бюджет'!AX17+областной!AX17+інші!AX17</f>
        <v>5213.499999999999</v>
      </c>
      <c r="AY17" s="39">
        <f t="shared" si="13"/>
        <v>8615.7</v>
      </c>
      <c r="AZ17" s="39">
        <f t="shared" si="14"/>
        <v>8037.2</v>
      </c>
      <c r="BA17" s="39">
        <f t="shared" si="15"/>
        <v>578.5000000000009</v>
      </c>
      <c r="BB17" s="39">
        <f t="shared" si="16"/>
        <v>5213.500000000001</v>
      </c>
    </row>
    <row r="18" spans="1:54" ht="34.5" customHeight="1">
      <c r="A18" s="12" t="s">
        <v>15</v>
      </c>
      <c r="B18" s="61" t="s">
        <v>55</v>
      </c>
      <c r="C18" s="16">
        <f>'насел.'!C18+пільги!C18+субсидії!C18+'держ.бюджет'!C18+'місц.-районн.бюджет'!C18+областной!C18+інші!C18</f>
        <v>419.70000000000005</v>
      </c>
      <c r="D18" s="16">
        <f>'насел.'!D18+пільги!D18+субсидії!D18+'держ.бюджет'!D18+'місц.-районн.бюджет'!D18+областной!D18+інші!D18</f>
        <v>280</v>
      </c>
      <c r="E18" s="16">
        <f>'насел.'!E18+пільги!E18+субсидії!E18+'держ.бюджет'!E18+'місц.-районн.бюджет'!E18+областной!E18+інші!E18</f>
        <v>284.20000000000005</v>
      </c>
      <c r="F18" s="10">
        <f t="shared" si="0"/>
        <v>101.50000000000001</v>
      </c>
      <c r="G18" s="16">
        <f>'насел.'!G18+пільги!G18+субсидії!G18+'держ.бюджет'!G18+'місц.-районн.бюджет'!G18+областной!G18+інші!G18</f>
        <v>248.8</v>
      </c>
      <c r="H18" s="16">
        <f>'насел.'!H18+пільги!H18+субсидії!H18+'держ.бюджет'!H18+'місц.-районн.бюджет'!H18+областной!H18+інші!H18</f>
        <v>284</v>
      </c>
      <c r="I18" s="10">
        <f t="shared" si="1"/>
        <v>114.14790996784565</v>
      </c>
      <c r="J18" s="16">
        <f>'насел.'!J18+пільги!J18+субсидії!J18+'держ.бюджет'!J18+'місц.-районн.бюджет'!J18+областной!J18+інші!J18</f>
        <v>244.10000000000002</v>
      </c>
      <c r="K18" s="16">
        <f>'насел.'!K18+пільги!K18+субсидії!K18+'держ.бюджет'!K18+'місц.-районн.бюджет'!K18+областной!K18+інші!K18</f>
        <v>187</v>
      </c>
      <c r="L18" s="10">
        <f t="shared" si="2"/>
        <v>76.6079475624744</v>
      </c>
      <c r="M18" s="10">
        <f>'насел.'!M18+пільги!M18+субсидії!M18+'держ.бюджет'!M18+'місц.-районн.бюджет'!M18+областной!M18+інші!M18</f>
        <v>772.9000000000001</v>
      </c>
      <c r="N18" s="10">
        <f>'насел.'!N18+пільги!N18+субсидії!N18+'держ.бюджет'!N18+'місц.-районн.бюджет'!N18+областной!N18+інші!N18</f>
        <v>755.2</v>
      </c>
      <c r="O18" s="10">
        <f t="shared" si="11"/>
        <v>97.70992366412213</v>
      </c>
      <c r="P18" s="16">
        <f>'насел.'!P18+пільги!P18+субсидії!P18+'держ.бюджет'!P18+'місц.-районн.бюджет'!P18+областной!P18+інші!P18</f>
        <v>232.00000000000003</v>
      </c>
      <c r="Q18" s="16">
        <f>'насел.'!Q18+пільги!Q18+субсидії!Q18+'держ.бюджет'!Q18+'місц.-районн.бюджет'!Q18+областной!Q18+інші!Q18</f>
        <v>190.2</v>
      </c>
      <c r="R18" s="16">
        <f t="shared" si="12"/>
        <v>81.98275862068965</v>
      </c>
      <c r="S18" s="16">
        <f>'насел.'!S18+пільги!S18+субсидії!S18+'держ.бюджет'!S18+'місц.-районн.бюджет'!S18+областной!S18+інші!S18</f>
        <v>201.1</v>
      </c>
      <c r="T18" s="16">
        <f>'насел.'!T18+пільги!T18+субсидії!T18+'держ.бюджет'!T18+'місц.-районн.бюджет'!T18+областной!T18+інші!T18</f>
        <v>525.5</v>
      </c>
      <c r="U18" s="10">
        <f t="shared" si="3"/>
        <v>261.31277971158624</v>
      </c>
      <c r="V18" s="16">
        <f>'насел.'!V18+пільги!V18+субсидії!V18+'держ.бюджет'!V18+'місц.-районн.бюджет'!V18+областной!V18+інші!V18</f>
        <v>257.1</v>
      </c>
      <c r="W18" s="16">
        <f>'насел.'!W18+пільги!W18+субсидії!W18+'держ.бюджет'!W18+'місц.-районн.бюджет'!W18+областной!W18+інші!W18</f>
        <v>175.60000000000002</v>
      </c>
      <c r="X18" s="10">
        <f t="shared" si="4"/>
        <v>68.30027226760016</v>
      </c>
      <c r="Y18" s="16">
        <f>'насел.'!Y18+пільги!Y18+субсидії!Y18+'держ.бюджет'!Y18+'місц.-районн.бюджет'!Y18+областной!Y18+інші!Y18</f>
        <v>690.1999999999999</v>
      </c>
      <c r="Z18" s="16">
        <f>'насел.'!Z18+пільги!Z18+субсидії!Z18+'держ.бюджет'!Z18+'місц.-районн.бюджет'!Z18+областной!Z18+інші!Z18</f>
        <v>891.2999999999998</v>
      </c>
      <c r="AA18" s="10">
        <f t="shared" si="5"/>
        <v>129.1364821790785</v>
      </c>
      <c r="AB18" s="16">
        <f>'насел.'!AB18+пільги!AB18+субсидії!AB18+'держ.бюджет'!AB18+'місц.-районн.бюджет'!AB18+областной!AB18+інші!AB18</f>
        <v>233.50000000000003</v>
      </c>
      <c r="AC18" s="16">
        <f>'насел.'!AC18+пільги!AC18+субсидії!AC18+'держ.бюджет'!AC18+'місц.-районн.бюджет'!AC18+областной!AC18+інші!AC18</f>
        <v>257.90000000000003</v>
      </c>
      <c r="AD18" s="10">
        <f t="shared" si="6"/>
        <v>110.44967880085652</v>
      </c>
      <c r="AE18" s="16">
        <f>'насел.'!AE18+пільги!AE18+субсидії!AE18+'держ.бюджет'!AE18+'місц.-районн.бюджет'!AE18+областной!AE18+інші!AE18</f>
        <v>218.10000000000002</v>
      </c>
      <c r="AF18" s="16">
        <f>'насел.'!AF18+пільги!AF18+субсидії!AF18+'держ.бюджет'!AF18+'місц.-районн.бюджет'!AF18+областной!AF18+інші!AF18</f>
        <v>186.9</v>
      </c>
      <c r="AG18" s="10">
        <f t="shared" si="7"/>
        <v>85.69463548830811</v>
      </c>
      <c r="AH18" s="16">
        <f>'насел.'!AH18+пільги!AH18+субсидії!AH18+'держ.бюджет'!AH18+'місц.-районн.бюджет'!AH18+областной!AH18+інші!AH18</f>
        <v>279.6</v>
      </c>
      <c r="AI18" s="16">
        <f>'насел.'!AI18+пільги!AI18+субсидії!AI18+'держ.бюджет'!AI18+'місц.-районн.бюджет'!AI18+областной!AI18+інші!AI18</f>
        <v>252.59999999999997</v>
      </c>
      <c r="AJ18" s="10">
        <f t="shared" si="8"/>
        <v>90.34334763948496</v>
      </c>
      <c r="AK18" s="16">
        <f>'насел.'!AK18+пільги!AJ18+субсидії!AK18+'держ.бюджет'!AK18+'місц.-районн.бюджет'!AK18+областной!AK18+інші!AK18</f>
        <v>731.2</v>
      </c>
      <c r="AL18" s="16">
        <f>'насел.'!AL18+пільги!AK18+субсидії!AL18+'держ.бюджет'!AL18+'місц.-районн.бюджет'!AL18+областной!AL18+інші!AL18</f>
        <v>697.4</v>
      </c>
      <c r="AM18" s="16">
        <f t="shared" si="9"/>
        <v>95.37746170678336</v>
      </c>
      <c r="AN18" s="16">
        <f>'насел.'!AN18+пільги!AM18+субсидії!AN18+'держ.бюджет'!AN18+'місц.-районн.бюджет'!AN18+областной!AN18+інші!AN18</f>
        <v>0</v>
      </c>
      <c r="AO18" s="16">
        <f>'насел.'!AO18+пільги!AN18+субсидії!AO18+'держ.бюджет'!AO18+'місц.-районн.бюджет'!AO18+областной!AO18+інші!AO18</f>
        <v>0</v>
      </c>
      <c r="AP18" s="16">
        <f>'насел.'!AP18+пільги!AO18+субсидії!AP18+'держ.бюджет'!AP18+'місц.-районн.бюджет'!AP18+областной!AP18+інші!AP18</f>
        <v>0</v>
      </c>
      <c r="AQ18" s="16">
        <f>'насел.'!AQ18+пільги!AP18+субсидії!AQ18+'держ.бюджет'!AQ18+'місц.-районн.бюджет'!AQ18+областной!AQ18+інші!AQ18</f>
        <v>0</v>
      </c>
      <c r="AR18" s="16">
        <f>'насел.'!AR18+пільги!AQ18+субсидії!AR18+'держ.бюджет'!AR18+'місц.-районн.бюджет'!AR18+областной!AR18+інші!AR18</f>
        <v>0</v>
      </c>
      <c r="AS18" s="16">
        <f>'насел.'!AS18+пільги!AR18+субсидії!AS18+'держ.бюджет'!AS18+'місц.-районн.бюджет'!AS18+областной!AS18+інші!AS18</f>
        <v>0</v>
      </c>
      <c r="AT18" s="16">
        <f>'насел.'!AT18+пільги!AS18+субсидії!AT18+'держ.бюджет'!AT18+'місц.-районн.бюджет'!AT18+областной!AT18+інші!AT18</f>
        <v>2194.2999999999997</v>
      </c>
      <c r="AU18" s="16">
        <f>'насел.'!AU18+пільги!AT18+субсидії!AU18+'держ.бюджет'!AU18+'місц.-районн.бюджет'!AU18+областной!AU18+інші!AU18</f>
        <v>2343.9</v>
      </c>
      <c r="AV18" s="10">
        <f t="shared" si="10"/>
        <v>106.81766394750036</v>
      </c>
      <c r="AW18" s="16">
        <f>'насел.'!AW18+пільги!AV18+субсидії!AW18+'держ.бюджет'!AW18+'місц.-районн.бюджет'!AW18+областной!AW18+інші!AW18</f>
        <v>-149.60000000000005</v>
      </c>
      <c r="AX18" s="103">
        <f>'насел.'!AX18+пільги!AW18+субсидії!AX18+'держ.бюджет'!AX18+'місц.-районн.бюджет'!AX18+областной!AX18+інші!AX18</f>
        <v>270.1000000000001</v>
      </c>
      <c r="AY18" s="39">
        <f t="shared" si="13"/>
        <v>2194.2999999999997</v>
      </c>
      <c r="AZ18" s="39">
        <f t="shared" si="14"/>
        <v>2343.9</v>
      </c>
      <c r="BA18" s="39">
        <f t="shared" si="15"/>
        <v>-149.60000000000036</v>
      </c>
      <c r="BB18" s="39">
        <f t="shared" si="16"/>
        <v>270.0999999999999</v>
      </c>
    </row>
    <row r="19" spans="1:54" ht="34.5" customHeight="1">
      <c r="A19" s="12" t="s">
        <v>16</v>
      </c>
      <c r="B19" s="57" t="s">
        <v>56</v>
      </c>
      <c r="C19" s="16">
        <f>'насел.'!C19+пільги!C19+субсидії!C19+'держ.бюджет'!C19+'місц.-районн.бюджет'!C19+областной!C19+інші!C19</f>
        <v>1165.6999999999998</v>
      </c>
      <c r="D19" s="16">
        <f>'насел.'!D19+пільги!D19+субсидії!D19+'держ.бюджет'!D19+'місц.-районн.бюджет'!D19+областной!D19+інші!D19</f>
        <v>1022.1</v>
      </c>
      <c r="E19" s="16">
        <f>'насел.'!E19+пільги!E19+субсидії!E19+'держ.бюджет'!E19+'місц.-районн.бюджет'!E19+областной!E19+інші!E19</f>
        <v>674.7</v>
      </c>
      <c r="F19" s="10">
        <f t="shared" si="0"/>
        <v>66.0111535074846</v>
      </c>
      <c r="G19" s="16">
        <f>'насел.'!G19+пільги!G19+субсидії!G19+'держ.бюджет'!G19+'місц.-районн.бюджет'!G19+областной!G19+інші!G19</f>
        <v>1011.7</v>
      </c>
      <c r="H19" s="16">
        <f>'насел.'!H19+пільги!H19+субсидії!H19+'держ.бюджет'!H19+'місц.-районн.бюджет'!H19+областной!H19+інші!H19</f>
        <v>1016.6000000000001</v>
      </c>
      <c r="I19" s="10">
        <f t="shared" si="1"/>
        <v>100.48433330038552</v>
      </c>
      <c r="J19" s="16">
        <f>'насел.'!J19+пільги!J19+субсидії!J19+'держ.бюджет'!J19+'місц.-районн.бюджет'!J19+областной!J19+інші!J19</f>
        <v>972.4000000000001</v>
      </c>
      <c r="K19" s="16">
        <f>'насел.'!K19+пільги!K19+субсидії!K19+'держ.бюджет'!K19+'місц.-районн.бюджет'!K19+областной!K19+інші!K19</f>
        <v>885.1</v>
      </c>
      <c r="L19" s="10">
        <f t="shared" si="2"/>
        <v>91.02221308103661</v>
      </c>
      <c r="M19" s="10">
        <f>'насел.'!M19+пільги!M19+субсидії!M19+'держ.бюджет'!M19+'місц.-районн.бюджет'!M19+областной!M19+інші!M19</f>
        <v>3006.2</v>
      </c>
      <c r="N19" s="10">
        <f>'насел.'!N19+пільги!N19+субсидії!N19+'держ.бюджет'!N19+'місц.-районн.бюджет'!N19+областной!N19+інші!N19</f>
        <v>2576.4</v>
      </c>
      <c r="O19" s="10">
        <f t="shared" si="11"/>
        <v>85.70288071319274</v>
      </c>
      <c r="P19" s="16">
        <f>'насел.'!P19+пільги!P19+субсидії!P19+'держ.бюджет'!P19+'місц.-районн.бюджет'!P19+областной!P19+інші!P19</f>
        <v>974.8</v>
      </c>
      <c r="Q19" s="16">
        <f>'насел.'!Q19+пільги!Q19+субсидії!Q19+'держ.бюджет'!Q19+'місц.-районн.бюджет'!Q19+областной!Q19+інші!Q19</f>
        <v>861.9000000000001</v>
      </c>
      <c r="R19" s="16">
        <f t="shared" si="12"/>
        <v>88.41813705375463</v>
      </c>
      <c r="S19" s="16">
        <f>'насел.'!S19+пільги!S19+субсидії!S19+'держ.бюджет'!S19+'місц.-районн.бюджет'!S19+областной!S19+інші!S19</f>
        <v>1198.7000000000003</v>
      </c>
      <c r="T19" s="16">
        <f>'насел.'!T19+пільги!T19+субсидії!T19+'держ.бюджет'!T19+'місц.-районн.бюджет'!T19+областной!T19+інші!T19</f>
        <v>871.4999999999999</v>
      </c>
      <c r="U19" s="10">
        <f t="shared" si="3"/>
        <v>72.70376240927669</v>
      </c>
      <c r="V19" s="16">
        <f>'насел.'!V19+пільги!V19+субсидії!V19+'держ.бюджет'!V19+'місц.-районн.бюджет'!V19+областной!V19+інші!V19</f>
        <v>1333.3</v>
      </c>
      <c r="W19" s="16">
        <f>'насел.'!W19+пільги!W19+субсидії!W19+'держ.бюджет'!W19+'місц.-районн.бюджет'!W19+областной!W19+інші!W19</f>
        <v>1135.1</v>
      </c>
      <c r="X19" s="10">
        <f t="shared" si="4"/>
        <v>85.13462836570915</v>
      </c>
      <c r="Y19" s="16">
        <f>'насел.'!Y19+пільги!Y19+субсидії!Y19+'держ.бюджет'!Y19+'місц.-районн.бюджет'!Y19+областной!Y19+інші!Y19</f>
        <v>3506.8</v>
      </c>
      <c r="Z19" s="16">
        <f>'насел.'!Z19+пільги!Z19+субсидії!Z19+'держ.бюджет'!Z19+'місц.-районн.бюджет'!Z19+областной!Z19+інші!Z19</f>
        <v>2868.5</v>
      </c>
      <c r="AA19" s="10">
        <f t="shared" si="5"/>
        <v>81.79822059997718</v>
      </c>
      <c r="AB19" s="16">
        <f>'насел.'!AB19+пільги!AB19+субсидії!AB19+'держ.бюджет'!AB19+'місц.-районн.бюджет'!AB19+областной!AB19+інші!AB19</f>
        <v>1460.1000000000001</v>
      </c>
      <c r="AC19" s="16">
        <f>'насел.'!AC19+пільги!AC19+субсидії!AC19+'держ.бюджет'!AC19+'місц.-районн.бюджет'!AC19+областной!AC19+інші!AC19</f>
        <v>1104.4</v>
      </c>
      <c r="AD19" s="10">
        <f t="shared" si="6"/>
        <v>75.63865488665161</v>
      </c>
      <c r="AE19" s="16">
        <f>'насел.'!AE19+пільги!AE19+субсидії!AE19+'держ.бюджет'!AE19+'місц.-районн.бюджет'!AE19+областной!AE19+інші!AE19</f>
        <v>1427.4</v>
      </c>
      <c r="AF19" s="16">
        <f>'насел.'!AF19+пільги!AF19+субсидії!AF19+'держ.бюджет'!AF19+'місц.-районн.бюджет'!AF19+областной!AF19+інші!AF19</f>
        <v>1150.2</v>
      </c>
      <c r="AG19" s="10">
        <f t="shared" si="7"/>
        <v>80.58007566204287</v>
      </c>
      <c r="AH19" s="16">
        <f>'насел.'!AH19+пільги!AH19+субсидії!AH19+'держ.бюджет'!AH19+'місц.-районн.бюджет'!AH19+областной!AH19+інші!AH19</f>
        <v>1402.6</v>
      </c>
      <c r="AI19" s="16">
        <f>'насел.'!AI19+пільги!AI19+субсидії!AI19+'держ.бюджет'!AI19+'місц.-районн.бюджет'!AI19+областной!AI19+інші!AI19</f>
        <v>1474.1999999999998</v>
      </c>
      <c r="AJ19" s="10">
        <f t="shared" si="8"/>
        <v>105.10480536147155</v>
      </c>
      <c r="AK19" s="16">
        <f>'насел.'!AK19+пільги!AJ19+субсидії!AK19+'держ.бюджет'!AK19+'місц.-районн.бюджет'!AK19+областной!AK19+інші!AK19</f>
        <v>4290.1</v>
      </c>
      <c r="AL19" s="16">
        <f>'насел.'!AL19+пільги!AK19+субсидії!AL19+'держ.бюджет'!AL19+'місц.-районн.бюджет'!AL19+областной!AL19+інші!AL19</f>
        <v>3728.7999999999997</v>
      </c>
      <c r="AM19" s="16">
        <f t="shared" si="9"/>
        <v>86.91638889536372</v>
      </c>
      <c r="AN19" s="16">
        <f>'насел.'!AN19+пільги!AM19+субсидії!AN19+'держ.бюджет'!AN19+'місц.-районн.бюджет'!AN19+областной!AN19+інші!AN19</f>
        <v>0</v>
      </c>
      <c r="AO19" s="16">
        <f>'насел.'!AO19+пільги!AN19+субсидії!AO19+'держ.бюджет'!AO19+'місц.-районн.бюджет'!AO19+областной!AO19+інші!AO19</f>
        <v>0</v>
      </c>
      <c r="AP19" s="16">
        <f>'насел.'!AP19+пільги!AO19+субсидії!AP19+'держ.бюджет'!AP19+'місц.-районн.бюджет'!AP19+областной!AP19+інші!AP19</f>
        <v>0</v>
      </c>
      <c r="AQ19" s="16">
        <f>'насел.'!AQ19+пільги!AP19+субсидії!AQ19+'держ.бюджет'!AQ19+'місц.-районн.бюджет'!AQ19+областной!AQ19+інші!AQ19</f>
        <v>0</v>
      </c>
      <c r="AR19" s="16">
        <f>'насел.'!AR19+пільги!AQ19+субсидії!AR19+'держ.бюджет'!AR19+'місц.-районн.бюджет'!AR19+областной!AR19+інші!AR19</f>
        <v>0</v>
      </c>
      <c r="AS19" s="16">
        <f>'насел.'!AS19+пільги!AR19+субсидії!AS19+'держ.бюджет'!AS19+'місц.-районн.бюджет'!AS19+областной!AS19+інші!AS19</f>
        <v>0</v>
      </c>
      <c r="AT19" s="16">
        <f>'насел.'!AT19+пільги!AS19+субсидії!AT19+'держ.бюджет'!AT19+'місц.-районн.бюджет'!AT19+областной!AT19+інші!AT19</f>
        <v>10803.099999999999</v>
      </c>
      <c r="AU19" s="16">
        <f>'насел.'!AU19+пільги!AT19+субсидії!AU19+'держ.бюджет'!AU19+'місц.-районн.бюджет'!AU19+областной!AU19+інші!AU19</f>
        <v>9173.7</v>
      </c>
      <c r="AV19" s="10">
        <f t="shared" si="10"/>
        <v>84.91729225870354</v>
      </c>
      <c r="AW19" s="16">
        <f>'насел.'!AW19+пільги!AV19+субсидії!AW19+'держ.бюджет'!AW19+'місц.-районн.бюджет'!AW19+областной!AW19+інші!AW19</f>
        <v>1629.3999999999999</v>
      </c>
      <c r="AX19" s="103">
        <f>'насел.'!AX19+пільги!AW19+субсидії!AX19+'держ.бюджет'!AX19+'місц.-районн.бюджет'!AX19+областной!AX19+інші!AX19</f>
        <v>2795.0999999999995</v>
      </c>
      <c r="AY19" s="39">
        <f t="shared" si="13"/>
        <v>10803.100000000002</v>
      </c>
      <c r="AZ19" s="39">
        <f t="shared" si="14"/>
        <v>9173.699999999999</v>
      </c>
      <c r="BA19" s="39">
        <f t="shared" si="15"/>
        <v>1629.4000000000033</v>
      </c>
      <c r="BB19" s="39">
        <f t="shared" si="16"/>
        <v>2795.100000000004</v>
      </c>
    </row>
    <row r="20" spans="1:54" ht="34.5" customHeight="1">
      <c r="A20" s="12" t="s">
        <v>17</v>
      </c>
      <c r="B20" s="61" t="s">
        <v>57</v>
      </c>
      <c r="C20" s="16">
        <f>'насел.'!C20+пільги!C20+субсидії!C20+'держ.бюджет'!C20+'місц.-районн.бюджет'!C20+областной!C20+інші!C20</f>
        <v>414.59999999999997</v>
      </c>
      <c r="D20" s="157">
        <f>'насел.'!D20+пільги!D20+субсидії!D20+'держ.бюджет'!D20+'місц.-районн.бюджет'!D20+областной!D20+інші!D20</f>
        <v>242.9</v>
      </c>
      <c r="E20" s="157">
        <f>'насел.'!E20+пільги!E20+субсидії!E20+'держ.бюджет'!E20+'місц.-районн.бюджет'!E20+областной!E20+інші!E20</f>
        <v>253.1</v>
      </c>
      <c r="F20" s="158">
        <f t="shared" si="0"/>
        <v>104.19925895430218</v>
      </c>
      <c r="G20" s="157">
        <f>'насел.'!G20+пільги!G20+субсидії!G20+'держ.бюджет'!G20+'місц.-районн.бюджет'!G20+областной!G20+інші!G20</f>
        <v>224.59999999999997</v>
      </c>
      <c r="H20" s="157">
        <f>'насел.'!H20+пільги!H20+субсидії!H20+'держ.бюджет'!H20+'місц.-районн.бюджет'!H20+областной!H20+інші!H20</f>
        <v>247.10000000000002</v>
      </c>
      <c r="I20" s="158">
        <f t="shared" si="1"/>
        <v>110.0178094390027</v>
      </c>
      <c r="J20" s="16">
        <f>'насел.'!J20+пільги!J20+субсидії!J20+'держ.бюджет'!J20+'місц.-районн.бюджет'!J20+областной!J20+інші!J20</f>
        <v>242</v>
      </c>
      <c r="K20" s="16">
        <f>'насел.'!K20+пільги!K20+субсидії!K20+'держ.бюджет'!K20+'місц.-районн.бюджет'!K20+областной!K20+інші!K20</f>
        <v>235.29999999999998</v>
      </c>
      <c r="L20" s="158">
        <f t="shared" si="2"/>
        <v>97.23140495867769</v>
      </c>
      <c r="M20" s="158">
        <f>'насел.'!M20+пільги!M20+субсидії!M20+'держ.бюджет'!M20+'місц.-районн.бюджет'!M20+областной!M20+інші!M20</f>
        <v>709.5000000000001</v>
      </c>
      <c r="N20" s="158">
        <f>'насел.'!N20+пільги!N20+субсидії!N20+'держ.бюджет'!N20+'місц.-районн.бюджет'!N20+областной!N20+інші!N20</f>
        <v>735.5</v>
      </c>
      <c r="O20" s="158">
        <f t="shared" si="11"/>
        <v>103.66455250176179</v>
      </c>
      <c r="P20" s="157">
        <f>'насел.'!P20+пільги!P20+субсидії!P20+'держ.бюджет'!P20+'місц.-районн.бюджет'!P20+областной!P20+інші!P20</f>
        <v>287.29999999999995</v>
      </c>
      <c r="Q20" s="157">
        <f>'насел.'!Q20+пільги!Q20+субсидії!Q20+'держ.бюджет'!Q20+'місц.-районн.бюджет'!Q20+областной!Q20+інші!Q20</f>
        <v>220.5</v>
      </c>
      <c r="R20" s="16">
        <f t="shared" si="12"/>
        <v>76.74904281239124</v>
      </c>
      <c r="S20" s="157">
        <f>'насел.'!S20+пільги!S20+субсидії!S20+'держ.бюджет'!S20+'місц.-районн.бюджет'!S20+областной!S20+інші!S20</f>
        <v>336.6000000000001</v>
      </c>
      <c r="T20" s="157">
        <f>'насел.'!T20+пільги!T20+субсидії!T20+'держ.бюджет'!T20+'місц.-районн.бюджет'!T20+областной!T20+інші!T20</f>
        <v>267.3</v>
      </c>
      <c r="U20" s="158">
        <f t="shared" si="3"/>
        <v>79.41176470588233</v>
      </c>
      <c r="V20" s="157">
        <f>'насел.'!V20+пільги!V20+субсидії!V20+'держ.бюджет'!V20+'місц.-районн.бюджет'!V20+областной!V20+інші!V20</f>
        <v>320.20000000000005</v>
      </c>
      <c r="W20" s="157">
        <f>'насел.'!W20+пільги!W20+субсидії!W20+'держ.бюджет'!W20+'місц.-районн.бюджет'!W20+областной!W20+інші!W20</f>
        <v>260.3</v>
      </c>
      <c r="X20" s="158">
        <f t="shared" si="4"/>
        <v>81.29294191130543</v>
      </c>
      <c r="Y20" s="157">
        <f>'насел.'!Y20+пільги!Y20+субсидії!Y20+'держ.бюджет'!Y20+'місц.-районн.бюджет'!Y20+областной!Y20+інші!Y20</f>
        <v>944.1</v>
      </c>
      <c r="Z20" s="157">
        <f>'насел.'!Z20+пільги!Z20+субсидії!Z20+'держ.бюджет'!Z20+'місц.-районн.бюджет'!Z20+областной!Z20+інші!Z20</f>
        <v>748.0999999999999</v>
      </c>
      <c r="AA20" s="158">
        <f t="shared" si="5"/>
        <v>79.23948734244253</v>
      </c>
      <c r="AB20" s="157">
        <f>'насел.'!AB20+пільги!AB20+субсидії!AB20+'держ.бюджет'!AB20+'місц.-районн.бюджет'!AB20+областной!AB20+інші!AB20</f>
        <v>349.09999999999997</v>
      </c>
      <c r="AC20" s="157">
        <f>'насел.'!AC20+пільги!AC20+субсидії!AC20+'держ.бюджет'!AC20+'місц.-районн.бюджет'!AC20+областной!AC20+інші!AC20</f>
        <v>347.6</v>
      </c>
      <c r="AD20" s="158">
        <f t="shared" si="6"/>
        <v>99.57032368948727</v>
      </c>
      <c r="AE20" s="157">
        <f>'насел.'!AE20+пільги!AE20+субсидії!AE20+'держ.бюджет'!AE20+'місц.-районн.бюджет'!AE20+областной!AE20+інші!AE20</f>
        <v>368.4</v>
      </c>
      <c r="AF20" s="157">
        <f>'насел.'!AF20+пільги!AF20+субсидії!AF20+'держ.бюджет'!AF20+'місц.-районн.бюджет'!AF20+областной!AF20+інші!AF20</f>
        <v>217.6</v>
      </c>
      <c r="AG20" s="10">
        <f t="shared" si="7"/>
        <v>59.06623235613464</v>
      </c>
      <c r="AH20" s="16">
        <f>'насел.'!AH20+пільги!AH20+субсидії!AH20+'держ.бюджет'!AH20+'місц.-районн.бюджет'!AH20+областной!AH20+інші!AH20</f>
        <v>277.8</v>
      </c>
      <c r="AI20" s="16">
        <f>'насел.'!AI20+пільги!AI20+субсидії!AI20+'держ.бюджет'!AI20+'місц.-районн.бюджет'!AI20+областной!AI20+інші!AI20</f>
        <v>357</v>
      </c>
      <c r="AJ20" s="10">
        <f t="shared" si="8"/>
        <v>128.5097192224622</v>
      </c>
      <c r="AK20" s="157">
        <f>'насел.'!AK20+пільги!AJ20+субсидії!AK20+'держ.бюджет'!AK20+'місц.-районн.бюджет'!AK20+областной!AK20+інші!AK20</f>
        <v>995.3</v>
      </c>
      <c r="AL20" s="157">
        <f>'насел.'!AL20+пільги!AK20+субсидії!AL20+'держ.бюджет'!AL20+'місц.-районн.бюджет'!AL20+областной!AL20+інші!AL20</f>
        <v>922.2</v>
      </c>
      <c r="AM20" s="157">
        <f t="shared" si="9"/>
        <v>92.65548075956998</v>
      </c>
      <c r="AN20" s="157">
        <f>'насел.'!AN20+пільги!AM20+субсидії!AN20+'держ.бюджет'!AN20+'місц.-районн.бюджет'!AN20+областной!AN20+інші!AN20</f>
        <v>0</v>
      </c>
      <c r="AO20" s="157">
        <f>'насел.'!AO20+пільги!AN20+субсидії!AO20+'держ.бюджет'!AO20+'місц.-районн.бюджет'!AO20+областной!AO20+інші!AO20</f>
        <v>0</v>
      </c>
      <c r="AP20" s="157">
        <f>'насел.'!AP20+пільги!AO20+субсидії!AP20+'держ.бюджет'!AP20+'місц.-районн.бюджет'!AP20+областной!AP20+інші!AP20</f>
        <v>0</v>
      </c>
      <c r="AQ20" s="157">
        <f>'насел.'!AQ20+пільги!AP20+субсидії!AQ20+'держ.бюджет'!AQ20+'місц.-районн.бюджет'!AQ20+областной!AQ20+інші!AQ20</f>
        <v>0</v>
      </c>
      <c r="AR20" s="157">
        <f>'насел.'!AR20+пільги!AQ20+субсидії!AR20+'держ.бюджет'!AR20+'місц.-районн.бюджет'!AR20+областной!AR20+інші!AR20</f>
        <v>0</v>
      </c>
      <c r="AS20" s="157">
        <f>'насел.'!AS20+пільги!AR20+субсидії!AS20+'держ.бюджет'!AS20+'місц.-районн.бюджет'!AS20+областной!AS20+інші!AS20</f>
        <v>0</v>
      </c>
      <c r="AT20" s="16">
        <f>'насел.'!AT20+пільги!AS20+субсидії!AT20+'держ.бюджет'!AT20+'місц.-районн.бюджет'!AT20+областной!AT20+інші!AT20</f>
        <v>2648.9000000000005</v>
      </c>
      <c r="AU20" s="16">
        <f>'насел.'!AU20+пільги!AT20+субсидії!AU20+'держ.бюджет'!AU20+'місц.-районн.бюджет'!AU20+областной!AU20+інші!AU20</f>
        <v>2405.7999999999997</v>
      </c>
      <c r="AV20" s="10">
        <f t="shared" si="10"/>
        <v>90.82260560987578</v>
      </c>
      <c r="AW20" s="16">
        <f>'насел.'!AW20+пільги!AV20+субсидії!AW20+'держ.бюджет'!AW20+'місц.-районн.бюджет'!AW20+областной!AW20+інші!AW20</f>
        <v>243.0999999999999</v>
      </c>
      <c r="AX20" s="103">
        <f>'насел.'!AX20+пільги!AW20+субсидії!AX20+'держ.бюджет'!AX20+'місц.-районн.бюджет'!AX20+областной!AX20+інші!AX20</f>
        <v>657.6999999999997</v>
      </c>
      <c r="AY20" s="39">
        <f t="shared" si="13"/>
        <v>2648.9</v>
      </c>
      <c r="AZ20" s="39">
        <f t="shared" si="14"/>
        <v>2405.7999999999997</v>
      </c>
      <c r="BA20" s="39">
        <f t="shared" si="15"/>
        <v>243.10000000000036</v>
      </c>
      <c r="BB20" s="39">
        <f t="shared" si="16"/>
        <v>657.7000000000003</v>
      </c>
    </row>
    <row r="21" spans="1:54" s="46" customFormat="1" ht="34.5" customHeight="1">
      <c r="A21" s="12" t="s">
        <v>18</v>
      </c>
      <c r="B21" s="61" t="s">
        <v>58</v>
      </c>
      <c r="C21" s="16">
        <f>'насел.'!C21+пільги!C21+субсидії!C21+'держ.бюджет'!C21+'місц.-районн.бюджет'!C21+областной!C21+інші!C21</f>
        <v>77.60000000000001</v>
      </c>
      <c r="D21" s="16">
        <f>'насел.'!D21+пільги!D21+субсидії!D21+'держ.бюджет'!D21+'місц.-районн.бюджет'!D21+областной!D21+інші!D21</f>
        <v>61.199999999999996</v>
      </c>
      <c r="E21" s="16">
        <f>'насел.'!E21+пільги!E21+субсидії!E21+'держ.бюджет'!E21+'місц.-районн.бюджет'!E21+областной!E21+інші!E21</f>
        <v>47.699999999999996</v>
      </c>
      <c r="F21" s="10">
        <f t="shared" si="0"/>
        <v>77.94117647058823</v>
      </c>
      <c r="G21" s="16">
        <f>'насел.'!G21+пільги!G21+субсидії!G21+'держ.бюджет'!G21+'місц.-районн.бюджет'!G21+областной!G21+інші!G21</f>
        <v>-10.5</v>
      </c>
      <c r="H21" s="16">
        <f>'насел.'!H21+пільги!H21+субсидії!H21+'держ.бюджет'!H21+'місц.-районн.бюджет'!H21+областной!H21+інші!H21</f>
        <v>54.3</v>
      </c>
      <c r="I21" s="10">
        <f t="shared" si="1"/>
        <v>-517.1428571428571</v>
      </c>
      <c r="J21" s="16">
        <f>'насел.'!J21+пільги!J21+субсидії!J21+'держ.бюджет'!J21+'місц.-районн.бюджет'!J21+областной!J21+інші!J21</f>
        <v>24.000000000000004</v>
      </c>
      <c r="K21" s="16">
        <f>'насел.'!K21+пільги!K21+субсидії!K21+'держ.бюджет'!K21+'місц.-районн.бюджет'!K21+областной!K21+інші!K21</f>
        <v>26.500000000000004</v>
      </c>
      <c r="L21" s="10">
        <f t="shared" si="2"/>
        <v>110.41666666666667</v>
      </c>
      <c r="M21" s="10">
        <f>'насел.'!M21+пільги!M21+субсидії!M21+'держ.бюджет'!M21+'місц.-районн.бюджет'!M21+областной!M21+інші!M21</f>
        <v>74.7</v>
      </c>
      <c r="N21" s="10">
        <f>'насел.'!N21+пільги!N21+субсидії!N21+'держ.бюджет'!N21+'місц.-районн.бюджет'!N21+областной!N21+інші!N21</f>
        <v>128.5</v>
      </c>
      <c r="O21" s="10">
        <f t="shared" si="11"/>
        <v>172.0214190093708</v>
      </c>
      <c r="P21" s="16">
        <f>'насел.'!P21+пільги!P21+субсидії!P21+'держ.бюджет'!P21+'місц.-районн.бюджет'!P21+областной!P21+інші!P21</f>
        <v>26.9</v>
      </c>
      <c r="Q21" s="16">
        <f>'насел.'!Q21+пільги!Q21+субсидії!Q21+'держ.бюджет'!Q21+'місц.-районн.бюджет'!Q21+областной!Q21+інші!Q21</f>
        <v>30.4</v>
      </c>
      <c r="R21" s="16">
        <f t="shared" si="12"/>
        <v>113.01115241635688</v>
      </c>
      <c r="S21" s="16">
        <f>'насел.'!S21+пільги!S21+субсидії!S21+'держ.бюджет'!S21+'місц.-районн.бюджет'!S21+областной!S21+інші!S21</f>
        <v>35.4</v>
      </c>
      <c r="T21" s="16">
        <f>'насел.'!T21+пільги!T21+субсидії!T21+'держ.бюджет'!T21+'місц.-районн.бюджет'!T21+областной!T21+інші!T21</f>
        <v>29.6</v>
      </c>
      <c r="U21" s="10">
        <f t="shared" si="3"/>
        <v>83.61581920903956</v>
      </c>
      <c r="V21" s="16">
        <f>'насел.'!V21+пільги!V21+субсидії!V21+'держ.бюджет'!V21+'місц.-районн.бюджет'!V21+областной!V21+інші!V21</f>
        <v>32.800000000000004</v>
      </c>
      <c r="W21" s="16">
        <f>'насел.'!W21+пільги!W21+субсидії!W21+'держ.бюджет'!W21+'місц.-районн.бюджет'!W21+областной!W21+інші!W21</f>
        <v>30.3</v>
      </c>
      <c r="X21" s="10">
        <f t="shared" si="4"/>
        <v>92.3780487804878</v>
      </c>
      <c r="Y21" s="16">
        <f>'насел.'!Y21+пільги!Y21+субсидії!Y21+'держ.бюджет'!Y21+'місц.-районн.бюджет'!Y21+областной!Y21+інші!Y21</f>
        <v>95.10000000000001</v>
      </c>
      <c r="Z21" s="16">
        <f>'насел.'!Z21+пільги!Z21+субсидії!Z21+'держ.бюджет'!Z21+'місц.-районн.бюджет'!Z21+областной!Z21+інші!Z21</f>
        <v>90.3</v>
      </c>
      <c r="AA21" s="10">
        <f t="shared" si="5"/>
        <v>94.9526813880126</v>
      </c>
      <c r="AB21" s="16">
        <f>'насел.'!AB21+пільги!AB21+субсидії!AB21+'держ.бюджет'!AB21+'місц.-районн.бюджет'!AB21+областной!AB21+інші!AB21</f>
        <v>47</v>
      </c>
      <c r="AC21" s="16">
        <f>'насел.'!AC21+пільги!AC21+субсидії!AC21+'держ.бюджет'!AC21+'місц.-районн.бюджет'!AC21+областной!AC21+інші!AC21</f>
        <v>38.1</v>
      </c>
      <c r="AD21" s="10">
        <f t="shared" si="6"/>
        <v>81.06382978723404</v>
      </c>
      <c r="AE21" s="16">
        <f>'насел.'!AE21+пільги!AE21+субсидії!AE21+'держ.бюджет'!AE21+'місц.-районн.бюджет'!AE21+областной!AE21+інші!AE21</f>
        <v>31.200000000000003</v>
      </c>
      <c r="AF21" s="16">
        <f>'насел.'!AF21+пільги!AF21+субсидії!AF21+'держ.бюджет'!AF21+'місц.-районн.бюджет'!AF21+областной!AF21+інші!AF21</f>
        <v>28.300000000000004</v>
      </c>
      <c r="AG21" s="10">
        <f t="shared" si="7"/>
        <v>90.70512820512822</v>
      </c>
      <c r="AH21" s="16">
        <f>'насел.'!AH21+пільги!AH21+субсидії!AH21+'держ.бюджет'!AH21+'місц.-районн.бюджет'!AH21+областной!AH21+інші!AH21</f>
        <v>27.099999999999998</v>
      </c>
      <c r="AI21" s="16">
        <f>'насел.'!AI21+пільги!AI21+субсидії!AI21+'держ.бюджет'!AI21+'місц.-районн.бюджет'!AI21+областной!AI21+інші!AI21</f>
        <v>42.6</v>
      </c>
      <c r="AJ21" s="10">
        <f t="shared" si="8"/>
        <v>157.19557195571957</v>
      </c>
      <c r="AK21" s="16">
        <f>'насел.'!AK21+пільги!AJ21+субсидії!AK21+'держ.бюджет'!AK21+'місц.-районн.бюджет'!AK21+областной!AK21+інші!AK21</f>
        <v>105.30000000000001</v>
      </c>
      <c r="AL21" s="16">
        <f>'насел.'!AL21+пільги!AK21+субсидії!AL21+'держ.бюджет'!AL21+'місц.-районн.бюджет'!AL21+областной!AL21+інші!AL21</f>
        <v>109.00000000000001</v>
      </c>
      <c r="AM21" s="16">
        <f t="shared" si="9"/>
        <v>103.51377018043686</v>
      </c>
      <c r="AN21" s="16">
        <f>'насел.'!AN21+пільги!AM21+субсидії!AN21+'держ.бюджет'!AN21+'місц.-районн.бюджет'!AN21+областной!AN21+інші!AN21</f>
        <v>0</v>
      </c>
      <c r="AO21" s="16">
        <f>'насел.'!AO21+пільги!AN21+субсидії!AO21+'держ.бюджет'!AO21+'місц.-районн.бюджет'!AO21+областной!AO21+інші!AO21</f>
        <v>0</v>
      </c>
      <c r="AP21" s="16">
        <f>'насел.'!AP21+пільги!AO21+субсидії!AP21+'держ.бюджет'!AP21+'місц.-районн.бюджет'!AP21+областной!AP21+інші!AP21</f>
        <v>0</v>
      </c>
      <c r="AQ21" s="16">
        <f>'насел.'!AQ21+пільги!AP21+субсидії!AQ21+'держ.бюджет'!AQ21+'місц.-районн.бюджет'!AQ21+областной!AQ21+інші!AQ21</f>
        <v>0</v>
      </c>
      <c r="AR21" s="16">
        <f>'насел.'!AR21+пільги!AQ21+субсидії!AR21+'держ.бюджет'!AR21+'місц.-районн.бюджет'!AR21+областной!AR21+інші!AR21</f>
        <v>0</v>
      </c>
      <c r="AS21" s="16">
        <f>'насел.'!AS21+пільги!AR21+субсидії!AS21+'держ.бюджет'!AS21+'місц.-районн.бюджет'!AS21+областной!AS21+інші!AS21</f>
        <v>0</v>
      </c>
      <c r="AT21" s="16">
        <f>'насел.'!AT21+пільги!AS21+субсидії!AT21+'держ.бюджет'!AT21+'місц.-районн.бюджет'!AT21+областной!AT21+інші!AT21</f>
        <v>275.09999999999997</v>
      </c>
      <c r="AU21" s="16">
        <f>'насел.'!AU21+пільги!AT21+субсидії!AU21+'держ.бюджет'!AU21+'місц.-районн.бюджет'!AU21+областной!AU21+інші!AU21</f>
        <v>327.79999999999995</v>
      </c>
      <c r="AV21" s="10">
        <f t="shared" si="10"/>
        <v>119.15667030170847</v>
      </c>
      <c r="AW21" s="16">
        <f>'насел.'!AW21+пільги!AV21+субсидії!AW21+'держ.бюджет'!AW21+'місц.-районн.бюджет'!AW21+областной!AW21+інші!AW21</f>
        <v>-52.70000000000002</v>
      </c>
      <c r="AX21" s="103">
        <f>'насел.'!AX21+пільги!AW21+субсидії!AX21+'держ.бюджет'!AX21+'місц.-районн.бюджет'!AX21+областной!AX21+інші!AX21</f>
        <v>24.900000000000002</v>
      </c>
      <c r="AY21" s="39">
        <f t="shared" si="13"/>
        <v>275.1</v>
      </c>
      <c r="AZ21" s="39">
        <f t="shared" si="14"/>
        <v>327.80000000000007</v>
      </c>
      <c r="BA21" s="39">
        <f t="shared" si="15"/>
        <v>-52.700000000000045</v>
      </c>
      <c r="BB21" s="39">
        <f t="shared" si="16"/>
        <v>24.899999999999977</v>
      </c>
    </row>
    <row r="22" spans="1:54" ht="34.5" customHeight="1">
      <c r="A22" s="12" t="s">
        <v>19</v>
      </c>
      <c r="B22" s="61" t="s">
        <v>41</v>
      </c>
      <c r="C22" s="16">
        <f>'насел.'!C22+пільги!C22+субсидії!C22+'держ.бюджет'!C22+'місц.-районн.бюджет'!C22+областной!C22+інші!C22</f>
        <v>-204.7</v>
      </c>
      <c r="D22" s="16">
        <f>'насел.'!D22+пільги!D22+субсидії!D22+'держ.бюджет'!D22+'місц.-районн.бюджет'!D22+областной!D22+інші!D22</f>
        <v>209.00000000000003</v>
      </c>
      <c r="E22" s="16">
        <f>'насел.'!E22+пільги!E22+субсидії!E22+'держ.бюджет'!E22+'місц.-районн.бюджет'!E22+областной!E22+інші!E22</f>
        <v>271.70000000000005</v>
      </c>
      <c r="F22" s="10">
        <f t="shared" si="0"/>
        <v>130</v>
      </c>
      <c r="G22" s="16">
        <f>'насел.'!G22+пільги!G22+субсидії!G22+'держ.бюджет'!G22+'місц.-районн.бюджет'!G22+областной!G22+інші!G22</f>
        <v>232.40000000000003</v>
      </c>
      <c r="H22" s="16">
        <f>'насел.'!H22+пільги!H22+субсидії!H22+'держ.бюджет'!H22+'місц.-районн.бюджет'!H22+областной!H22+інші!H22</f>
        <v>255.10000000000002</v>
      </c>
      <c r="I22" s="10">
        <f t="shared" si="1"/>
        <v>109.76764199655766</v>
      </c>
      <c r="J22" s="16">
        <f>'насел.'!J22+пільги!J22+субсидії!J22+'держ.бюджет'!J22+'місц.-районн.бюджет'!J22+областной!J22+інші!J22</f>
        <v>196.2</v>
      </c>
      <c r="K22" s="16">
        <f>'насел.'!K22+пільги!K22+субсидії!K22+'держ.бюджет'!K22+'місц.-районн.бюджет'!K22+областной!K22+інші!K22</f>
        <v>159.79999999999998</v>
      </c>
      <c r="L22" s="10">
        <f t="shared" si="2"/>
        <v>81.44750254841998</v>
      </c>
      <c r="M22" s="10">
        <f>'насел.'!M22+пільги!M22+субсидії!M22+'держ.бюджет'!M22+'місц.-районн.бюджет'!M22+областной!M22+інші!M22</f>
        <v>637.6</v>
      </c>
      <c r="N22" s="10">
        <f>'насел.'!N22+пільги!N22+субсидії!N22+'держ.бюджет'!N22+'місц.-районн.бюджет'!N22+областной!N22+інші!N22</f>
        <v>686.5999999999999</v>
      </c>
      <c r="O22" s="10">
        <f t="shared" si="11"/>
        <v>107.68506900878292</v>
      </c>
      <c r="P22" s="16">
        <f>'насел.'!P22+пільги!P22+субсидії!P22+'держ.бюджет'!P22+'місц.-районн.бюджет'!P22+областной!P22+інші!P22</f>
        <v>106</v>
      </c>
      <c r="Q22" s="16">
        <f>'насел.'!Q22+пільги!Q22+субсидії!Q22+'держ.бюджет'!Q22+'місц.-районн.бюджет'!Q22+областной!Q22+інші!Q22</f>
        <v>124.9</v>
      </c>
      <c r="R22" s="16">
        <f t="shared" si="12"/>
        <v>117.83018867924528</v>
      </c>
      <c r="S22" s="16">
        <f>'насел.'!S22+пільги!S22+субсидії!S22+'держ.бюджет'!S22+'місц.-районн.бюджет'!S22+областной!S22+інші!S22</f>
        <v>264.7</v>
      </c>
      <c r="T22" s="16">
        <f>'насел.'!T22+пільги!T22+субсидії!T22+'держ.бюджет'!T22+'місц.-районн.бюджет'!T22+областной!T22+інші!T22</f>
        <v>239.89999999999998</v>
      </c>
      <c r="U22" s="10">
        <f t="shared" si="3"/>
        <v>90.63090290895353</v>
      </c>
      <c r="V22" s="16">
        <f>'насел.'!V22+пільги!V22+субсидії!V22+'держ.бюджет'!V22+'місц.-районн.бюджет'!V22+областной!V22+інші!V22</f>
        <v>273.1</v>
      </c>
      <c r="W22" s="16">
        <f>'насел.'!W22+пільги!W22+субсидії!W22+'держ.бюджет'!W22+'місц.-районн.бюджет'!W22+областной!W22+інші!W22</f>
        <v>236.7</v>
      </c>
      <c r="X22" s="10">
        <f t="shared" si="4"/>
        <v>86.67154888319295</v>
      </c>
      <c r="Y22" s="16">
        <f>'насел.'!Y22+пільги!Y22+субсидії!Y22+'держ.бюджет'!Y22+'місц.-районн.бюджет'!Y22+областной!Y22+інші!Y22</f>
        <v>643.8000000000001</v>
      </c>
      <c r="Z22" s="16">
        <f>'насел.'!Z22+пільги!Z22+субсидії!Z22+'держ.бюджет'!Z22+'місц.-районн.бюджет'!Z22+областной!Z22+інші!Z22</f>
        <v>601.5</v>
      </c>
      <c r="AA22" s="10">
        <f t="shared" si="5"/>
        <v>93.4296365330848</v>
      </c>
      <c r="AB22" s="16">
        <f>'насел.'!AB22+пільги!AB22+субсидії!AB22+'держ.бюджет'!AB22+'місц.-районн.бюджет'!AB22+областной!AB22+інші!AB22</f>
        <v>226.39999999999998</v>
      </c>
      <c r="AC22" s="16">
        <f>'насел.'!AC22+пільги!AC22+субсидії!AC22+'держ.бюджет'!AC22+'місц.-районн.бюджет'!AC22+областной!AC22+інші!AC22</f>
        <v>193.39999999999998</v>
      </c>
      <c r="AD22" s="10">
        <f t="shared" si="6"/>
        <v>85.42402826855124</v>
      </c>
      <c r="AE22" s="16">
        <f>'насел.'!AE22+пільги!AE22+субсидії!AE22+'держ.бюджет'!AE22+'місц.-районн.бюджет'!AE22+областной!AE22+інші!AE22</f>
        <v>302.7</v>
      </c>
      <c r="AF22" s="16">
        <f>'насел.'!AF22+пільги!AF22+субсидії!AF22+'держ.бюджет'!AF22+'місц.-районн.бюджет'!AF22+областной!AF22+інші!AF22</f>
        <v>291.7</v>
      </c>
      <c r="AG22" s="10">
        <f t="shared" si="7"/>
        <v>96.36603898249092</v>
      </c>
      <c r="AH22" s="16">
        <f>'насел.'!AH22+пільги!AH22+субсидії!AH22+'держ.бюджет'!AH22+'місц.-районн.бюджет'!AH22+областной!AH22+інші!AH22</f>
        <v>257</v>
      </c>
      <c r="AI22" s="16">
        <f>'насел.'!AI22+пільги!AI22+субсидії!AI22+'держ.бюджет'!AI22+'місц.-районн.бюджет'!AI22+областной!AI22+інші!AI22</f>
        <v>246.3</v>
      </c>
      <c r="AJ22" s="10">
        <f t="shared" si="8"/>
        <v>95.83657587548639</v>
      </c>
      <c r="AK22" s="16">
        <f>'насел.'!AK22+пільги!AJ22+субсидії!AK22+'держ.бюджет'!AK22+'місц.-районн.бюджет'!AK22+областной!AK22+інші!AK22</f>
        <v>786.1000000000001</v>
      </c>
      <c r="AL22" s="16">
        <f>'насел.'!AL22+пільги!AK22+субсидії!AL22+'держ.бюджет'!AL22+'місц.-районн.бюджет'!AL22+областной!AL22+інші!AL22</f>
        <v>731.3999999999999</v>
      </c>
      <c r="AM22" s="16">
        <f t="shared" si="9"/>
        <v>93.04159776109906</v>
      </c>
      <c r="AN22" s="16">
        <f>'насел.'!AN22+пільги!AM22+субсидії!AN22+'держ.бюджет'!AN22+'місц.-районн.бюджет'!AN22+областной!AN22+інші!AN22</f>
        <v>0</v>
      </c>
      <c r="AO22" s="16">
        <f>'насел.'!AO22+пільги!AN22+субсидії!AO22+'держ.бюджет'!AO22+'місц.-районн.бюджет'!AO22+областной!AO22+інші!AO22</f>
        <v>0</v>
      </c>
      <c r="AP22" s="16">
        <f>'насел.'!AP22+пільги!AO22+субсидії!AP22+'держ.бюджет'!AP22+'місц.-районн.бюджет'!AP22+областной!AP22+інші!AP22</f>
        <v>0</v>
      </c>
      <c r="AQ22" s="16">
        <f>'насел.'!AQ22+пільги!AP22+субсидії!AQ22+'держ.бюджет'!AQ22+'місц.-районн.бюджет'!AQ22+областной!AQ22+інші!AQ22</f>
        <v>0</v>
      </c>
      <c r="AR22" s="16">
        <f>'насел.'!AR22+пільги!AQ22+субсидії!AR22+'держ.бюджет'!AR22+'місц.-районн.бюджет'!AR22+областной!AR22+інші!AR22</f>
        <v>0</v>
      </c>
      <c r="AS22" s="16">
        <f>'насел.'!AS22+пільги!AR22+субсидії!AS22+'держ.бюджет'!AS22+'місц.-районн.бюджет'!AS22+областной!AS22+інші!AS22</f>
        <v>0</v>
      </c>
      <c r="AT22" s="16">
        <f>'насел.'!AT22+пільги!AS22+субсидії!AT22+'держ.бюджет'!AT22+'місц.-районн.бюджет'!AT22+областной!AT22+інші!AT22</f>
        <v>2067.5</v>
      </c>
      <c r="AU22" s="16">
        <f>'насел.'!AU22+пільги!AT22+субсидії!AU22+'держ.бюджет'!AU22+'місц.-районн.бюджет'!AU22+областной!AU22+інші!AU22</f>
        <v>2019.5</v>
      </c>
      <c r="AV22" s="10">
        <f t="shared" si="10"/>
        <v>97.67835550181378</v>
      </c>
      <c r="AW22" s="16">
        <f>'насел.'!AW22+пільги!AV22+субсидії!AW22+'держ.бюджет'!AW22+'місц.-районн.бюджет'!AW22+областной!AW22+інші!AW22</f>
        <v>48.000000000000085</v>
      </c>
      <c r="AX22" s="103">
        <f>'насел.'!AX22+пільги!AW22+субсидії!AX22+'держ.бюджет'!AX22+'місц.-районн.бюджет'!AX22+областной!AX22+інші!AX22</f>
        <v>-156.69999999999973</v>
      </c>
      <c r="AY22" s="39">
        <f t="shared" si="13"/>
        <v>2067.5</v>
      </c>
      <c r="AZ22" s="39">
        <f t="shared" si="14"/>
        <v>2019.5</v>
      </c>
      <c r="BA22" s="39">
        <f t="shared" si="15"/>
        <v>48</v>
      </c>
      <c r="BB22" s="39">
        <f t="shared" si="16"/>
        <v>-156.70000000000005</v>
      </c>
    </row>
    <row r="23" spans="1:54" ht="34.5" customHeight="1">
      <c r="A23" s="12" t="s">
        <v>20</v>
      </c>
      <c r="B23" s="61" t="s">
        <v>90</v>
      </c>
      <c r="C23" s="16">
        <f>'насел.'!C23+пільги!C23+субсидії!C23+'держ.бюджет'!C23+'місц.-районн.бюджет'!C23+областной!C23+інші!C23</f>
        <v>-25.4</v>
      </c>
      <c r="D23" s="16">
        <f>'насел.'!D23+пільги!D23+субсидії!D23+'держ.бюджет'!D23+'місц.-районн.бюджет'!D23+областной!D23+інші!D23</f>
        <v>36</v>
      </c>
      <c r="E23" s="16">
        <f>'насел.'!E23+пільги!E23+субсидії!E23+'держ.бюджет'!E23+'місц.-районн.бюджет'!E23+областной!E23+інші!E23</f>
        <v>22.099999999999994</v>
      </c>
      <c r="F23" s="10">
        <f t="shared" si="0"/>
        <v>61.38888888888887</v>
      </c>
      <c r="G23" s="16">
        <f>'насел.'!G23+пільги!G23+субсидії!G23+'держ.бюджет'!G23+'місц.-районн.бюджет'!G23+областной!G23+інші!G23</f>
        <v>35.2</v>
      </c>
      <c r="H23" s="16">
        <f>'насел.'!H23+пільги!H23+субсидії!H23+'держ.бюджет'!H23+'місц.-районн.бюджет'!H23+областной!H23+інші!H23</f>
        <v>29.9</v>
      </c>
      <c r="I23" s="10">
        <f t="shared" si="1"/>
        <v>84.94318181818181</v>
      </c>
      <c r="J23" s="16">
        <f>'насел.'!J23+пільги!J23+субсидії!J23+'держ.бюджет'!J23+'місц.-районн.бюджет'!J23+областной!J23+інші!J23</f>
        <v>31.299999999999997</v>
      </c>
      <c r="K23" s="16">
        <f>'насел.'!K23+пільги!K23+субсидії!K23+'держ.бюджет'!K23+'місц.-районн.бюджет'!K23+областной!K23+інші!K23</f>
        <v>24.599999999999998</v>
      </c>
      <c r="L23" s="10">
        <f t="shared" si="2"/>
        <v>78.59424920127796</v>
      </c>
      <c r="M23" s="10">
        <f>'насел.'!M23+пільги!M23+субсидії!M23+'держ.бюджет'!M23+'місц.-районн.бюджет'!M23+областной!M23+інші!M23</f>
        <v>102.5</v>
      </c>
      <c r="N23" s="10">
        <f>'насел.'!N23+пільги!N23+субсидії!N23+'держ.бюджет'!N23+'місц.-районн.бюджет'!N23+областной!N23+інші!N23</f>
        <v>76.6</v>
      </c>
      <c r="O23" s="10">
        <f t="shared" si="11"/>
        <v>74.73170731707317</v>
      </c>
      <c r="P23" s="16">
        <f>'насел.'!P23+пільги!P23+субсидії!P23+'держ.бюджет'!P23+'місц.-районн.бюджет'!P23+областной!P23+інші!P23</f>
        <v>34.3</v>
      </c>
      <c r="Q23" s="16">
        <f>'насел.'!Q23+пільги!Q23+субсидії!Q23+'держ.бюджет'!Q23+'місц.-районн.бюджет'!Q23+областной!Q23+інші!Q23</f>
        <v>27.400000000000002</v>
      </c>
      <c r="R23" s="16">
        <f t="shared" si="12"/>
        <v>79.88338192419826</v>
      </c>
      <c r="S23" s="16">
        <f>'насел.'!S23+пільги!S23+субсидії!S23+'держ.бюджет'!S23+'місц.-районн.бюджет'!S23+областной!S23+інші!S23</f>
        <v>37.800000000000004</v>
      </c>
      <c r="T23" s="16">
        <f>'насел.'!T23+пільги!T23+субсидії!T23+'держ.бюджет'!T23+'місц.-районн.бюджет'!T23+областной!T23+інші!T23</f>
        <v>32.4</v>
      </c>
      <c r="U23" s="10">
        <f t="shared" si="3"/>
        <v>85.7142857142857</v>
      </c>
      <c r="V23" s="16">
        <f>'насел.'!V23+пільги!V23+субсидії!V23+'держ.бюджет'!V23+'місц.-районн.бюджет'!V23+областной!V23+інші!V23</f>
        <v>38.70000000000001</v>
      </c>
      <c r="W23" s="16">
        <f>'насел.'!W23+пільги!W23+субсидії!W23+'держ.бюджет'!W23+'місц.-районн.бюджет'!W23+областной!W23+інші!W23</f>
        <v>32.2</v>
      </c>
      <c r="X23" s="10">
        <f t="shared" si="4"/>
        <v>83.20413436692505</v>
      </c>
      <c r="Y23" s="16">
        <f>'насел.'!Y23+пільги!Y23+субсидії!Y23+'держ.бюджет'!Y23+'місц.-районн.бюджет'!Y23+областной!Y23+інші!Y23</f>
        <v>110.8</v>
      </c>
      <c r="Z23" s="16">
        <f>'насел.'!Z23+пільги!Z23+субсидії!Z23+'держ.бюджет'!Z23+'місц.-районн.бюджет'!Z23+областной!Z23+інші!Z23</f>
        <v>92</v>
      </c>
      <c r="AA23" s="10">
        <f t="shared" si="5"/>
        <v>83.03249097472924</v>
      </c>
      <c r="AB23" s="16">
        <f>'насел.'!AB23+пільги!AB23+субсидії!AB23+'держ.бюджет'!AB23+'місц.-районн.бюджет'!AB23+областной!AB23+інші!AB23</f>
        <v>40</v>
      </c>
      <c r="AC23" s="16">
        <f>'насел.'!AC23+пільги!AC23+субсидії!AC23+'держ.бюджет'!AC23+'місц.-районн.бюджет'!AC23+областной!AC23+інші!AC23</f>
        <v>36</v>
      </c>
      <c r="AD23" s="10">
        <f t="shared" si="6"/>
        <v>90</v>
      </c>
      <c r="AE23" s="16">
        <f>'насел.'!AE23+пільги!AE23+субсидії!AE23+'держ.бюджет'!AE23+'місц.-районн.бюджет'!AE23+областной!AE23+інші!AE23</f>
        <v>41.9</v>
      </c>
      <c r="AF23" s="16">
        <f>'насел.'!AF23+пільги!AF23+субсидії!AF23+'держ.бюджет'!AF23+'місц.-районн.бюджет'!AF23+областной!AF23+інші!AF23</f>
        <v>31.8</v>
      </c>
      <c r="AG23" s="10">
        <f t="shared" si="7"/>
        <v>75.89498806682577</v>
      </c>
      <c r="AH23" s="16">
        <f>'насел.'!AH23+пільги!AH23+субсидії!AH23+'держ.бюджет'!AH23+'місц.-районн.бюджет'!AH23+областной!AH23+інші!AH23</f>
        <v>41.1</v>
      </c>
      <c r="AI23" s="16">
        <f>'насел.'!AI23+пільги!AI23+субсидії!AI23+'держ.бюджет'!AI23+'місц.-районн.бюджет'!AI23+областной!AI23+інші!AI23</f>
        <v>42.199999999999996</v>
      </c>
      <c r="AJ23" s="10">
        <f t="shared" si="8"/>
        <v>102.67639902676397</v>
      </c>
      <c r="AK23" s="16">
        <f>'насел.'!AK23+пільги!AJ23+субсидії!AK23+'держ.бюджет'!AK23+'місц.-районн.бюджет'!AK23+областной!AK23+інші!AK23</f>
        <v>122.99999999999999</v>
      </c>
      <c r="AL23" s="16">
        <f>'насел.'!AL23+пільги!AK23+субсидії!AL23+'держ.бюджет'!AL23+'місц.-районн.бюджет'!AL23+областной!AL23+інші!AL23</f>
        <v>110</v>
      </c>
      <c r="AM23" s="16">
        <f t="shared" si="9"/>
        <v>89.4308943089431</v>
      </c>
      <c r="AN23" s="16">
        <f>'насел.'!AN23+пільги!AM23+субсидії!AN23+'держ.бюджет'!AN23+'місц.-районн.бюджет'!AN23+областной!AN23+інші!AN23</f>
        <v>0</v>
      </c>
      <c r="AO23" s="16">
        <f>'насел.'!AO23+пільги!AN23+субсидії!AO23+'держ.бюджет'!AO23+'місц.-районн.бюджет'!AO23+областной!AO23+інші!AO23</f>
        <v>0</v>
      </c>
      <c r="AP23" s="16">
        <f>'насел.'!AP23+пільги!AO23+субсидії!AP23+'держ.бюджет'!AP23+'місц.-районн.бюджет'!AP23+областной!AP23+інші!AP23</f>
        <v>0</v>
      </c>
      <c r="AQ23" s="16">
        <f>'насел.'!AQ23+пільги!AP23+субсидії!AQ23+'держ.бюджет'!AQ23+'місц.-районн.бюджет'!AQ23+областной!AQ23+інші!AQ23</f>
        <v>0</v>
      </c>
      <c r="AR23" s="16">
        <f>'насел.'!AR23+пільги!AQ23+субсидії!AR23+'держ.бюджет'!AR23+'місц.-районн.бюджет'!AR23+областной!AR23+інші!AR23</f>
        <v>0</v>
      </c>
      <c r="AS23" s="16">
        <f>'насел.'!AS23+пільги!AR23+субсидії!AS23+'держ.бюджет'!AS23+'місц.-районн.бюджет'!AS23+областной!AS23+інші!AS23</f>
        <v>0</v>
      </c>
      <c r="AT23" s="16">
        <f>'насел.'!AT23+пільги!AS23+субсидії!AT23+'держ.бюджет'!AT23+'місц.-районн.бюджет'!AT23+областной!AT23+інші!AT23</f>
        <v>336.29999999999995</v>
      </c>
      <c r="AU23" s="16">
        <f>'насел.'!AU23+пільги!AT23+субсидії!AU23+'держ.бюджет'!AU23+'місц.-районн.бюджет'!AU23+областной!AU23+інші!AU23</f>
        <v>278.59999999999997</v>
      </c>
      <c r="AV23" s="10">
        <f t="shared" si="10"/>
        <v>82.84269997026465</v>
      </c>
      <c r="AW23" s="16">
        <f>'насел.'!AW23+пільги!AV23+субсидії!AW23+'держ.бюджет'!AW23+'місц.-районн.бюджет'!AW23+областной!AW23+інші!AW23</f>
        <v>57.70000000000002</v>
      </c>
      <c r="AX23" s="103">
        <f>'насел.'!AX23+пільги!AW23+субсидії!AX23+'держ.бюджет'!AX23+'місц.-районн.бюджет'!AX23+областной!AX23+інші!AX23</f>
        <v>32.300000000000026</v>
      </c>
      <c r="AY23" s="39">
        <f t="shared" si="13"/>
        <v>336.30000000000007</v>
      </c>
      <c r="AZ23" s="39">
        <f t="shared" si="14"/>
        <v>278.6</v>
      </c>
      <c r="BA23" s="39">
        <f t="shared" si="15"/>
        <v>57.700000000000045</v>
      </c>
      <c r="BB23" s="39">
        <f t="shared" si="16"/>
        <v>32.30000000000007</v>
      </c>
    </row>
    <row r="24" spans="1:54" ht="34.5" customHeight="1">
      <c r="A24" s="12" t="s">
        <v>21</v>
      </c>
      <c r="B24" s="61" t="s">
        <v>40</v>
      </c>
      <c r="C24" s="16">
        <f>'насел.'!C24+пільги!C24+субсидії!C24+'держ.бюджет'!C24+'місц.-районн.бюджет'!C24+областной!C24+інші!C24</f>
        <v>932.4</v>
      </c>
      <c r="D24" s="16">
        <f>'насел.'!D24+пільги!D24+субсидії!D24+'держ.бюджет'!D24+'місц.-районн.бюджет'!D24+областной!D24+інші!D24</f>
        <v>1583.8999999999999</v>
      </c>
      <c r="E24" s="16">
        <f>'насел.'!E24+пільги!E24+субсидії!E24+'держ.бюджет'!E24+'місц.-районн.бюджет'!E24+областной!E24+інші!E24</f>
        <v>1916.5</v>
      </c>
      <c r="F24" s="10">
        <f t="shared" si="0"/>
        <v>120.99880042932006</v>
      </c>
      <c r="G24" s="16">
        <f>'насел.'!G24+пільги!G24+субсидії!G24+'держ.бюджет'!G24+'місц.-районн.бюджет'!G24+областной!G24+інші!G24</f>
        <v>1634.3</v>
      </c>
      <c r="H24" s="16">
        <f>'насел.'!H24+пільги!H24+субсидії!H24+'держ.бюджет'!H24+'місц.-районн.бюджет'!H24+областной!H24+інші!H24</f>
        <v>1719.0000000000002</v>
      </c>
      <c r="I24" s="10">
        <f t="shared" si="1"/>
        <v>105.18264700483388</v>
      </c>
      <c r="J24" s="16">
        <f>'насел.'!J24+пільги!J24+субсидії!J24+'держ.бюджет'!J24+'місц.-районн.бюджет'!J24+областной!J24+інші!J24</f>
        <v>1595.5999999999997</v>
      </c>
      <c r="K24" s="16">
        <f>'насел.'!K24+пільги!K24+субсидії!K24+'держ.бюджет'!K24+'місц.-районн.бюджет'!K24+областной!K24+інші!K24</f>
        <v>1467.6999999999998</v>
      </c>
      <c r="L24" s="10">
        <f t="shared" si="2"/>
        <v>91.98420656806218</v>
      </c>
      <c r="M24" s="10">
        <f>'насел.'!M24+пільги!M24+субсидії!M24+'держ.бюджет'!M24+'місц.-районн.бюджет'!M24+областной!M24+інші!M24</f>
        <v>4813.8</v>
      </c>
      <c r="N24" s="10">
        <f>'насел.'!N24+пільги!N24+субсидії!N24+'держ.бюджет'!N24+'місц.-районн.бюджет'!N24+областной!N24+інші!N24</f>
        <v>5103.2</v>
      </c>
      <c r="O24" s="10">
        <f t="shared" si="11"/>
        <v>106.01188250446631</v>
      </c>
      <c r="P24" s="16">
        <f>'насел.'!P24+пільги!P24+субсидії!P24+'держ.бюджет'!P24+'місц.-районн.бюджет'!P24+областной!P24+інші!P24</f>
        <v>1613.3999999999999</v>
      </c>
      <c r="Q24" s="16">
        <f>'насел.'!Q24+пільги!Q24+субсидії!Q24+'держ.бюджет'!Q24+'місц.-районн.бюджет'!Q24+областной!Q24+інші!Q24</f>
        <v>1334.6000000000001</v>
      </c>
      <c r="R24" s="16">
        <f t="shared" si="12"/>
        <v>82.71972232552376</v>
      </c>
      <c r="S24" s="16">
        <f>'насел.'!S24+пільги!S24+субсидії!S24+'держ.бюджет'!S24+'місц.-районн.бюджет'!S24+областной!S24+інші!S24</f>
        <v>2189.4</v>
      </c>
      <c r="T24" s="16">
        <f>'насел.'!T24+пільги!T24+субсидії!T24+'держ.бюджет'!T24+'місц.-районн.бюджет'!T24+областной!T24+інші!T24</f>
        <v>1641.2</v>
      </c>
      <c r="U24" s="10">
        <f t="shared" si="3"/>
        <v>74.96117657805792</v>
      </c>
      <c r="V24" s="16">
        <f>'насел.'!V24+пільги!V24+субсидії!V24+'держ.бюджет'!V24+'місц.-районн.бюджет'!V24+областной!V24+інші!V24</f>
        <v>2520.4999999999995</v>
      </c>
      <c r="W24" s="16">
        <f>'насел.'!W24+пільги!W24+субсидії!W24+'держ.бюджет'!W24+'місц.-районн.бюджет'!W24+областной!W24+інші!W24</f>
        <v>1769.2</v>
      </c>
      <c r="X24" s="10">
        <f t="shared" si="4"/>
        <v>70.19242213846461</v>
      </c>
      <c r="Y24" s="16">
        <f>'насел.'!Y24+пільги!Y24+субсидії!Y24+'держ.бюджет'!Y24+'місц.-районн.бюджет'!Y24+областной!Y24+інші!Y24</f>
        <v>6323.299999999999</v>
      </c>
      <c r="Z24" s="16">
        <f>'насел.'!Z24+пільги!Z24+субсидії!Z24+'держ.бюджет'!Z24+'місц.-районн.бюджет'!Z24+областной!Z24+інші!Z24</f>
        <v>4745</v>
      </c>
      <c r="AA24" s="10">
        <f t="shared" si="5"/>
        <v>75.0399316812424</v>
      </c>
      <c r="AB24" s="16">
        <f>'насел.'!AB24+пільги!AB24+субсидії!AB24+'держ.бюджет'!AB24+'місц.-районн.бюджет'!AB24+областной!AB24+інші!AB24</f>
        <v>2422.7000000000003</v>
      </c>
      <c r="AC24" s="16">
        <f>'насел.'!AC24+пільги!AC24+субсидії!AC24+'держ.бюджет'!AC24+'місц.-районн.бюджет'!AC24+областной!AC24+інші!AC24</f>
        <v>2099.9</v>
      </c>
      <c r="AD24" s="10">
        <f t="shared" si="6"/>
        <v>86.67602261939157</v>
      </c>
      <c r="AE24" s="16">
        <f>'насел.'!AE24+пільги!AE24+субсидії!AE24+'держ.бюджет'!AE24+'місц.-районн.бюджет'!AE24+областной!AE24+інші!AE24</f>
        <v>2294.6000000000004</v>
      </c>
      <c r="AF24" s="16">
        <f>'насел.'!AF24+пільги!AF24+субсидії!AF24+'держ.бюджет'!AF24+'місц.-районн.бюджет'!AF24+областной!AF24+інші!AF24</f>
        <v>2055.5</v>
      </c>
      <c r="AG24" s="10">
        <f t="shared" si="7"/>
        <v>89.57988320404426</v>
      </c>
      <c r="AH24" s="16">
        <f>'насел.'!AH24+пільги!AH24+субсидії!AH24+'держ.бюджет'!AH24+'місц.-районн.бюджет'!AH24+областной!AH24+інші!AH24</f>
        <v>2369.2</v>
      </c>
      <c r="AI24" s="16">
        <f>'насел.'!AI24+пільги!AI24+субсидії!AI24+'держ.бюджет'!AI24+'місц.-районн.бюджет'!AI24+областной!AI24+інші!AI24</f>
        <v>2237.3</v>
      </c>
      <c r="AJ24" s="10">
        <f t="shared" si="8"/>
        <v>94.43271990545334</v>
      </c>
      <c r="AK24" s="16">
        <f>'насел.'!AK24+пільги!AJ24+субсидії!AK24+'держ.бюджет'!AK24+'місц.-районн.бюджет'!AK24+областной!AK24+інші!AK24</f>
        <v>7086.499999999998</v>
      </c>
      <c r="AL24" s="16">
        <f>'насел.'!AL24+пільги!AK24+субсидії!AL24+'держ.бюджет'!AL24+'місц.-районн.бюджет'!AL24+областной!AL24+інші!AL24</f>
        <v>6392.700000000001</v>
      </c>
      <c r="AM24" s="16">
        <f t="shared" si="9"/>
        <v>90.20955337613776</v>
      </c>
      <c r="AN24" s="16">
        <f>'насел.'!AN24+пільги!AM24+субсидії!AN24+'держ.бюджет'!AN24+'місц.-районн.бюджет'!AN24+областной!AN24+інші!AN24</f>
        <v>0</v>
      </c>
      <c r="AO24" s="16">
        <f>'насел.'!AO24+пільги!AN24+субсидії!AO24+'держ.бюджет'!AO24+'місц.-районн.бюджет'!AO24+областной!AO24+інші!AO24</f>
        <v>0</v>
      </c>
      <c r="AP24" s="16">
        <f>'насел.'!AP24+пільги!AO24+субсидії!AP24+'держ.бюджет'!AP24+'місц.-районн.бюджет'!AP24+областной!AP24+інші!AP24</f>
        <v>0</v>
      </c>
      <c r="AQ24" s="16">
        <f>'насел.'!AQ24+пільги!AP24+субсидії!AQ24+'держ.бюджет'!AQ24+'місц.-районн.бюджет'!AQ24+областной!AQ24+інші!AQ24</f>
        <v>0</v>
      </c>
      <c r="AR24" s="16">
        <f>'насел.'!AR24+пільги!AQ24+субсидії!AR24+'держ.бюджет'!AR24+'місц.-районн.бюджет'!AR24+областной!AR24+інші!AR24</f>
        <v>0</v>
      </c>
      <c r="AS24" s="16">
        <f>'насел.'!AS24+пільги!AR24+субсидії!AS24+'держ.бюджет'!AS24+'місц.-районн.бюджет'!AS24+областной!AS24+інші!AS24</f>
        <v>0</v>
      </c>
      <c r="AT24" s="16">
        <f>'насел.'!AT24+пільги!AS24+субсидії!AT24+'держ.бюджет'!AT24+'місц.-районн.бюджет'!AT24+областной!AT24+інші!AT24</f>
        <v>18223.600000000002</v>
      </c>
      <c r="AU24" s="16">
        <f>'насел.'!AU24+пільги!AT24+субсидії!AU24+'держ.бюджет'!AU24+'місц.-районн.бюджет'!AU24+областной!AU24+інші!AU24</f>
        <v>16240.900000000001</v>
      </c>
      <c r="AV24" s="10">
        <f t="shared" si="10"/>
        <v>89.12015189095457</v>
      </c>
      <c r="AW24" s="16">
        <f>'насел.'!AW24+пільги!AV24+субсидії!AW24+'держ.бюджет'!AW24+'місц.-районн.бюджет'!AW24+областной!AW24+інші!AW24</f>
        <v>1982.6999999999994</v>
      </c>
      <c r="AX24" s="103">
        <f>'насел.'!AX24+пільги!AW24+субсидії!AX24+'держ.бюджет'!AX24+'місц.-районн.бюджет'!AX24+областной!AX24+інші!AX24</f>
        <v>2915.1000000000004</v>
      </c>
      <c r="AY24" s="39">
        <f t="shared" si="13"/>
        <v>18223.600000000002</v>
      </c>
      <c r="AZ24" s="39">
        <f t="shared" si="14"/>
        <v>16240.900000000001</v>
      </c>
      <c r="BA24" s="39">
        <f t="shared" si="15"/>
        <v>1982.7000000000007</v>
      </c>
      <c r="BB24" s="39">
        <f t="shared" si="16"/>
        <v>2915.100000000002</v>
      </c>
    </row>
    <row r="25" spans="1:54" ht="34.5" customHeight="1">
      <c r="A25" s="12" t="s">
        <v>22</v>
      </c>
      <c r="B25" s="57" t="s">
        <v>43</v>
      </c>
      <c r="C25" s="16">
        <f>'насел.'!C25+пільги!C25+субсидії!C25+'держ.бюджет'!C25+'місц.-районн.бюджет'!C25+областной!C25+інші!C25</f>
        <v>-77.10000000000001</v>
      </c>
      <c r="D25" s="16">
        <f>'насел.'!D25+пільги!D25+субсидії!D25+'держ.бюджет'!D25+'місц.-районн.бюджет'!D25+областной!D25+інші!D25</f>
        <v>465.99999999999994</v>
      </c>
      <c r="E25" s="16">
        <f>'насел.'!E25+пільги!E25+субсидії!E25+'держ.бюджет'!E25+'місц.-районн.бюджет'!E25+областной!E25+інші!E25</f>
        <v>327.8</v>
      </c>
      <c r="F25" s="10">
        <f t="shared" si="0"/>
        <v>70.34334763948499</v>
      </c>
      <c r="G25" s="16">
        <f>'насел.'!G25+пільги!G25+субсидії!G25+'держ.бюджет'!G25+'місц.-районн.бюджет'!G25+областной!G25+інші!G25</f>
        <v>426.9</v>
      </c>
      <c r="H25" s="16">
        <f>'насел.'!H25+пільги!H25+субсидії!H25+'держ.бюджет'!H25+'місц.-районн.бюджет'!H25+областной!H25+інші!H25</f>
        <v>546.4</v>
      </c>
      <c r="I25" s="10">
        <f t="shared" si="1"/>
        <v>127.99250409932068</v>
      </c>
      <c r="J25" s="16">
        <f>'насел.'!J25+пільги!J25+субсидії!J25+'держ.бюджет'!J25+'місц.-районн.бюджет'!J25+областной!J25+інші!J25</f>
        <v>430.29999999999995</v>
      </c>
      <c r="K25" s="16">
        <f>'насел.'!K25+пільги!K25+субсидії!K25+'держ.бюджет'!K25+'місц.-районн.бюджет'!K25+областной!K25+інші!K25</f>
        <v>375.7</v>
      </c>
      <c r="L25" s="10">
        <f>K25/J25*100</f>
        <v>87.31117824773415</v>
      </c>
      <c r="M25" s="10">
        <f>'насел.'!M25+пільги!M25+субсидії!M25+'держ.бюджет'!M25+'місц.-районн.бюджет'!M25+областной!M25+інші!M25</f>
        <v>1323.1999999999998</v>
      </c>
      <c r="N25" s="10">
        <f>'насел.'!N25+пільги!N25+субсидії!N25+'держ.бюджет'!N25+'місц.-районн.бюджет'!N25+областной!N25+інші!N25</f>
        <v>1249.9</v>
      </c>
      <c r="O25" s="10">
        <f t="shared" si="11"/>
        <v>94.46039903264814</v>
      </c>
      <c r="P25" s="16">
        <f>'насел.'!P25+пільги!P25+субсидії!P25+'держ.бюджет'!P25+'місц.-районн.бюджет'!P25+областной!P25+інші!P25</f>
        <v>432.19999999999993</v>
      </c>
      <c r="Q25" s="16">
        <f>'насел.'!Q25+пільги!Q25+субсидії!Q25+'держ.бюджет'!Q25+'місц.-районн.бюджет'!Q25+областной!Q25+інші!Q25</f>
        <v>374.9</v>
      </c>
      <c r="R25" s="16">
        <f t="shared" si="12"/>
        <v>86.74224895881537</v>
      </c>
      <c r="S25" s="16">
        <f>'насел.'!S25+пільги!S25+субсидії!S25+'держ.бюджет'!S25+'місц.-районн.бюджет'!S25+областной!S25+інші!S25</f>
        <v>418.00000000000006</v>
      </c>
      <c r="T25" s="16">
        <f>'насел.'!T25+пільги!T25+субсидії!T25+'держ.бюджет'!T25+'місц.-районн.бюджет'!T25+областной!T25+інші!T25</f>
        <v>392.59999999999997</v>
      </c>
      <c r="U25" s="10">
        <f t="shared" si="3"/>
        <v>93.92344497607652</v>
      </c>
      <c r="V25" s="16">
        <f>'насел.'!V25+пільги!V25+субсидії!V25+'держ.бюджет'!V25+'місц.-районн.бюджет'!V25+областной!V25+інші!V25</f>
        <v>450.9</v>
      </c>
      <c r="W25" s="16">
        <f>'насел.'!W25+пільги!W25+субсидії!W25+'держ.бюджет'!W25+'місц.-районн.бюджет'!W25+областной!W25+інші!W25</f>
        <v>352.90000000000003</v>
      </c>
      <c r="X25" s="10">
        <f t="shared" si="4"/>
        <v>78.26569084054114</v>
      </c>
      <c r="Y25" s="16">
        <f>'насел.'!Y25+пільги!Y25+субсидії!Y25+'держ.бюджет'!Y25+'місц.-районн.бюджет'!Y25+областной!Y25+інші!Y25</f>
        <v>1301.1</v>
      </c>
      <c r="Z25" s="16">
        <f>'насел.'!Z25+пільги!Z25+субсидії!Z25+'держ.бюджет'!Z25+'місц.-районн.бюджет'!Z25+областной!Z25+інші!Z25</f>
        <v>1120.4</v>
      </c>
      <c r="AA25" s="10">
        <f t="shared" si="5"/>
        <v>86.1117515948044</v>
      </c>
      <c r="AB25" s="16">
        <f>'насел.'!AB25+пільги!AB25+субсидії!AB25+'держ.бюджет'!AB25+'місц.-районн.бюджет'!AB25+областной!AB25+інші!AB25</f>
        <v>442</v>
      </c>
      <c r="AC25" s="16">
        <f>'насел.'!AC25+пільги!AC25+субсидії!AC25+'держ.бюджет'!AC25+'місц.-районн.бюджет'!AC25+областной!AC25+інші!AC25</f>
        <v>436.2</v>
      </c>
      <c r="AD25" s="10">
        <f t="shared" si="6"/>
        <v>98.68778280542986</v>
      </c>
      <c r="AE25" s="16">
        <f>'насел.'!AE25+пільги!AE25+субсидії!AE25+'держ.бюджет'!AE25+'місц.-районн.бюджет'!AE25+областной!AE25+інші!AE25</f>
        <v>455.1</v>
      </c>
      <c r="AF25" s="16">
        <f>'насел.'!AF25+пільги!AF25+субсидії!AF25+'держ.бюджет'!AF25+'місц.-районн.бюджет'!AF25+областной!AF25+інші!AF25</f>
        <v>390.5</v>
      </c>
      <c r="AG25" s="10">
        <f t="shared" si="7"/>
        <v>85.80531751263459</v>
      </c>
      <c r="AH25" s="16">
        <f>'насел.'!AH25+пільги!AH25+субсидії!AH25+'держ.бюджет'!AH25+'місц.-районн.бюджет'!AH25+областной!AH25+інші!AH25</f>
        <v>442.80000000000007</v>
      </c>
      <c r="AI25" s="16">
        <f>'насел.'!AI25+пільги!AI25+субсидії!AI25+'держ.бюджет'!AI25+'місц.-районн.бюджет'!AI25+областной!AI25+інші!AI25</f>
        <v>427.59999999999997</v>
      </c>
      <c r="AJ25" s="10">
        <f t="shared" si="8"/>
        <v>96.56729900632337</v>
      </c>
      <c r="AK25" s="16">
        <f>'насел.'!AK25+пільги!AJ25+субсидії!AK25+'держ.бюджет'!AK25+'місц.-районн.бюджет'!AK25+областной!AK25+інші!AK25</f>
        <v>1339.8999999999999</v>
      </c>
      <c r="AL25" s="16">
        <f>'насел.'!AL25+пільги!AK25+субсидії!AL25+'держ.бюджет'!AL25+'місц.-районн.бюджет'!AL25+областной!AL25+інші!AL25</f>
        <v>1254.3000000000002</v>
      </c>
      <c r="AM25" s="16">
        <f t="shared" si="9"/>
        <v>93.61146354205539</v>
      </c>
      <c r="AN25" s="16">
        <f>'насел.'!AN25+пільги!AM25+субсидії!AN25+'держ.бюджет'!AN25+'місц.-районн.бюджет'!AN25+областной!AN25+інші!AN25</f>
        <v>0</v>
      </c>
      <c r="AO25" s="16">
        <f>'насел.'!AO25+пільги!AN25+субсидії!AO25+'держ.бюджет'!AO25+'місц.-районн.бюджет'!AO25+областной!AO25+інші!AO25</f>
        <v>0</v>
      </c>
      <c r="AP25" s="16">
        <f>'насел.'!AP25+пільги!AO25+субсидії!AP25+'держ.бюджет'!AP25+'місц.-районн.бюджет'!AP25+областной!AP25+інші!AP25</f>
        <v>0</v>
      </c>
      <c r="AQ25" s="16">
        <f>'насел.'!AQ25+пільги!AP25+субсидії!AQ25+'держ.бюджет'!AQ25+'місц.-районн.бюджет'!AQ25+областной!AQ25+інші!AQ25</f>
        <v>0</v>
      </c>
      <c r="AR25" s="16">
        <f>'насел.'!AR25+пільги!AQ25+субсидії!AR25+'держ.бюджет'!AR25+'місц.-районн.бюджет'!AR25+областной!AR25+інші!AR25</f>
        <v>0</v>
      </c>
      <c r="AS25" s="16">
        <f>'насел.'!AS25+пільги!AR25+субсидії!AS25+'держ.бюджет'!AS25+'місц.-районн.бюджет'!AS25+областной!AS25+інші!AS25</f>
        <v>0</v>
      </c>
      <c r="AT25" s="16">
        <f>'насел.'!AT25+пільги!AS25+субсидії!AT25+'держ.бюджет'!AT25+'місц.-районн.бюджет'!AT25+областной!AT25+інші!AT25</f>
        <v>3964.2</v>
      </c>
      <c r="AU25" s="16">
        <f>'насел.'!AU25+пільги!AT25+субсидії!AU25+'держ.бюджет'!AU25+'місц.-районн.бюджет'!AU25+областной!AU25+інші!AU25</f>
        <v>3624.6</v>
      </c>
      <c r="AV25" s="10">
        <f t="shared" si="10"/>
        <v>91.43332828817921</v>
      </c>
      <c r="AW25" s="16">
        <f>'насел.'!AW25+пільги!AV25+субсидії!AW25+'держ.бюджет'!AW25+'місц.-районн.бюджет'!AW25+областной!AW25+інші!AW25</f>
        <v>339.59999999999985</v>
      </c>
      <c r="AX25" s="103">
        <f>'насел.'!AX25+пільги!AW25+субсидії!AX25+'держ.бюджет'!AX25+'місц.-районн.бюджет'!AX25+областной!AX25+інші!AX25</f>
        <v>262.49999999999966</v>
      </c>
      <c r="AY25" s="39">
        <f t="shared" si="13"/>
        <v>3964.2</v>
      </c>
      <c r="AZ25" s="39">
        <f t="shared" si="14"/>
        <v>3624.6</v>
      </c>
      <c r="BA25" s="39">
        <f t="shared" si="15"/>
        <v>339.5999999999999</v>
      </c>
      <c r="BB25" s="39">
        <f t="shared" si="16"/>
        <v>262.5</v>
      </c>
    </row>
    <row r="26" spans="1:54" ht="34.5" customHeight="1">
      <c r="A26" s="12" t="s">
        <v>23</v>
      </c>
      <c r="B26" s="61" t="s">
        <v>91</v>
      </c>
      <c r="C26" s="16">
        <f>'насел.'!C26+пільги!C26+субсидії!C26+'держ.бюджет'!C26+'місц.-районн.бюджет'!C26+областной!C26+інші!C26</f>
        <v>154.90000000000003</v>
      </c>
      <c r="D26" s="16">
        <f>'насел.'!D26+пільги!D26+субсидії!D26+'держ.бюджет'!D26+'місц.-районн.бюджет'!D26+областной!D26+інші!D26</f>
        <v>43.900000000000006</v>
      </c>
      <c r="E26" s="16">
        <f>'насел.'!E26+пільги!E26+субсидії!E26+'держ.бюджет'!E26+'місц.-районн.бюджет'!E26+областной!E26+інші!E26</f>
        <v>35.9</v>
      </c>
      <c r="F26" s="10">
        <f t="shared" si="0"/>
        <v>81.7767653758542</v>
      </c>
      <c r="G26" s="16">
        <f>'насел.'!G26+пільги!G26+субсидії!G26+'держ.бюджет'!G26+'місц.-районн.бюджет'!G26+областной!G26+інші!G26</f>
        <v>35.699999999999996</v>
      </c>
      <c r="H26" s="16">
        <f>'насел.'!H26+пільги!H26+субсидії!H26+'держ.бюджет'!H26+'місц.-районн.бюджет'!H26+областной!H26+інші!H26</f>
        <v>30.9</v>
      </c>
      <c r="I26" s="10">
        <f t="shared" si="1"/>
        <v>86.5546218487395</v>
      </c>
      <c r="J26" s="16">
        <f>'насел.'!J26+пільги!J26+субсидії!J26+'держ.бюджет'!J26+'місц.-районн.бюджет'!J26+областной!J26+інші!J26</f>
        <v>37</v>
      </c>
      <c r="K26" s="16">
        <f>'насел.'!K26+пільги!K26+субсидії!K26+'держ.бюджет'!K26+'місц.-районн.бюджет'!K26+областной!K26+інші!K26</f>
        <v>31.599999999999998</v>
      </c>
      <c r="L26" s="10">
        <f>K26/J26*100</f>
        <v>85.4054054054054</v>
      </c>
      <c r="M26" s="10">
        <f>'насел.'!M26+пільги!M26+субсидії!M26+'держ.бюджет'!M26+'місц.-районн.бюджет'!M26+областной!M26+інші!M26</f>
        <v>116.6</v>
      </c>
      <c r="N26" s="10">
        <f>'насел.'!N26+пільги!N26+субсидії!N26+'держ.бюджет'!N26+'місц.-районн.бюджет'!N26+областной!N26+інші!N26</f>
        <v>98.4</v>
      </c>
      <c r="O26" s="10">
        <f t="shared" si="11"/>
        <v>84.39108061749572</v>
      </c>
      <c r="P26" s="16">
        <f>'насел.'!P26+пільги!P26+субсидії!P26+'держ.бюджет'!P26+'місц.-районн.бюджет'!P26+областной!P26+інші!P26</f>
        <v>23.700000000000003</v>
      </c>
      <c r="Q26" s="16">
        <f>'насел.'!Q26+пільги!Q26+субсидії!Q26+'держ.бюджет'!Q26+'місц.-районн.бюджет'!Q26+областной!Q26+інші!Q26</f>
        <v>26.700000000000003</v>
      </c>
      <c r="R26" s="16">
        <f t="shared" si="12"/>
        <v>112.65822784810126</v>
      </c>
      <c r="S26" s="16">
        <f>'насел.'!S26+пільги!S26+субсидії!S26+'держ.бюджет'!S26+'місц.-районн.бюджет'!S26+областной!S26+інші!S26</f>
        <v>34.1</v>
      </c>
      <c r="T26" s="16">
        <f>'насел.'!T26+пільги!T26+субсидії!T26+'держ.бюджет'!T26+'місц.-районн.бюджет'!T26+областной!T26+інші!T26</f>
        <v>31.5</v>
      </c>
      <c r="U26" s="10">
        <f t="shared" si="3"/>
        <v>92.37536656891496</v>
      </c>
      <c r="V26" s="16">
        <f>'насел.'!V26+пільги!V26+субсидії!V26+'держ.бюджет'!V26+'місц.-районн.бюджет'!V26+областной!V26+інші!V26</f>
        <v>30</v>
      </c>
      <c r="W26" s="16">
        <f>'насел.'!W26+пільги!W26+субсидії!W26+'держ.бюджет'!W26+'місц.-районн.бюджет'!W26+областной!W26+інші!W26</f>
        <v>27.8</v>
      </c>
      <c r="X26" s="10">
        <f t="shared" si="4"/>
        <v>92.66666666666666</v>
      </c>
      <c r="Y26" s="16">
        <f>'насел.'!Y26+пільги!Y26+субсидії!Y26+'держ.бюджет'!Y26+'місц.-районн.бюджет'!Y26+областной!Y26+інші!Y26</f>
        <v>87.8</v>
      </c>
      <c r="Z26" s="16">
        <f>'насел.'!Z26+пільги!Z26+субсидії!Z26+'держ.бюджет'!Z26+'місц.-районн.бюджет'!Z26+областной!Z26+інші!Z26</f>
        <v>86.00000000000001</v>
      </c>
      <c r="AA26" s="10">
        <f t="shared" si="5"/>
        <v>97.94988610478363</v>
      </c>
      <c r="AB26" s="16">
        <f>'насел.'!AB26+пільги!AB26+субсидії!AB26+'держ.бюджет'!AB26+'місц.-районн.бюджет'!AB26+областной!AB26+інші!AB26</f>
        <v>31.099999999999998</v>
      </c>
      <c r="AC26" s="16">
        <f>'насел.'!AC26+пільги!AC26+субсидії!AC26+'держ.бюджет'!AC26+'місц.-районн.бюджет'!AC26+областной!AC26+інші!AC26</f>
        <v>30.6</v>
      </c>
      <c r="AD26" s="10">
        <f t="shared" si="6"/>
        <v>98.39228295819937</v>
      </c>
      <c r="AE26" s="16">
        <f>'насел.'!AE26+пільги!AE26+субсидії!AE26+'держ.бюджет'!AE26+'місц.-районн.бюджет'!AE26+областной!AE26+інші!AE26</f>
        <v>29.900000000000002</v>
      </c>
      <c r="AF26" s="16">
        <f>'насел.'!AF26+пільги!AF26+субсидії!AF26+'держ.бюджет'!AF26+'місц.-районн.бюджет'!AF26+областной!AF26+інші!AF26</f>
        <v>25</v>
      </c>
      <c r="AG26" s="10">
        <f t="shared" si="7"/>
        <v>83.61204013377926</v>
      </c>
      <c r="AH26" s="16">
        <f>'насел.'!AH26+пільги!AH26+субсидії!AH26+'держ.бюджет'!AH26+'місц.-районн.бюджет'!AH26+областной!AH26+інші!AH26</f>
        <v>32.300000000000004</v>
      </c>
      <c r="AI26" s="16">
        <f>'насел.'!AI26+пільги!AI26+субсидії!AI26+'держ.бюджет'!AI26+'місц.-районн.бюджет'!AI26+областной!AI26+інші!AI26</f>
        <v>35.300000000000004</v>
      </c>
      <c r="AJ26" s="10">
        <f t="shared" si="8"/>
        <v>109.28792569659443</v>
      </c>
      <c r="AK26" s="16">
        <f>'насел.'!AK26+пільги!AJ26+субсидії!AK26+'держ.бюджет'!AK26+'місц.-районн.бюджет'!AK26+областной!AK26+інші!AK26</f>
        <v>93.3</v>
      </c>
      <c r="AL26" s="16">
        <f>'насел.'!AL26+пільги!AK26+субсидії!AL26+'держ.бюджет'!AL26+'місц.-районн.бюджет'!AL26+областной!AL26+інші!AL26</f>
        <v>90.89999999999999</v>
      </c>
      <c r="AM26" s="16">
        <f t="shared" si="9"/>
        <v>97.42765273311896</v>
      </c>
      <c r="AN26" s="16">
        <f>'насел.'!AN26+пільги!AM26+субсидії!AN26+'держ.бюджет'!AN26+'місц.-районн.бюджет'!AN26+областной!AN26+інші!AN26</f>
        <v>0</v>
      </c>
      <c r="AO26" s="16">
        <f>'насел.'!AO26+пільги!AN26+субсидії!AO26+'держ.бюджет'!AO26+'місц.-районн.бюджет'!AO26+областной!AO26+інші!AO26</f>
        <v>0</v>
      </c>
      <c r="AP26" s="16">
        <f>'насел.'!AP26+пільги!AO26+субсидії!AP26+'держ.бюджет'!AP26+'місц.-районн.бюджет'!AP26+областной!AP26+інші!AP26</f>
        <v>0</v>
      </c>
      <c r="AQ26" s="16">
        <f>'насел.'!AQ26+пільги!AP26+субсидії!AQ26+'держ.бюджет'!AQ26+'місц.-районн.бюджет'!AQ26+областной!AQ26+інші!AQ26</f>
        <v>0</v>
      </c>
      <c r="AR26" s="16">
        <f>'насел.'!AR26+пільги!AQ26+субсидії!AR26+'держ.бюджет'!AR26+'місц.-районн.бюджет'!AR26+областной!AR26+інші!AR26</f>
        <v>0</v>
      </c>
      <c r="AS26" s="16">
        <f>'насел.'!AS26+пільги!AR26+субсидії!AS26+'держ.бюджет'!AS26+'місц.-районн.бюджет'!AS26+областной!AS26+інші!AS26</f>
        <v>0</v>
      </c>
      <c r="AT26" s="16">
        <f>'насел.'!AT26+пільги!AS26+субсидії!AT26+'держ.бюджет'!AT26+'місц.-районн.бюджет'!AT26+областной!AT26+інші!AT26</f>
        <v>297.7</v>
      </c>
      <c r="AU26" s="16">
        <f>'насел.'!AU26+пільги!AT26+субсидії!AU26+'держ.бюджет'!AU26+'місц.-районн.бюджет'!AU26+областной!AU26+інші!AU26</f>
        <v>275.3</v>
      </c>
      <c r="AV26" s="10">
        <f t="shared" si="10"/>
        <v>92.47564662411824</v>
      </c>
      <c r="AW26" s="16">
        <f>'насел.'!AW26+пільги!AV26+субсидії!AW26+'держ.бюджет'!AW26+'місц.-районн.бюджет'!AW26+областной!AW26+інші!AW26</f>
        <v>22.399999999999995</v>
      </c>
      <c r="AX26" s="103">
        <f>'насел.'!AX26+пільги!AW26+субсидії!AX26+'держ.бюджет'!AX26+'місц.-районн.бюджет'!AX26+областной!AX26+інші!AX26</f>
        <v>177.3</v>
      </c>
      <c r="AY26" s="39">
        <f t="shared" si="13"/>
        <v>297.7</v>
      </c>
      <c r="AZ26" s="39">
        <f t="shared" si="14"/>
        <v>275.3</v>
      </c>
      <c r="BA26" s="39">
        <f t="shared" si="15"/>
        <v>22.399999999999977</v>
      </c>
      <c r="BB26" s="39">
        <f t="shared" si="16"/>
        <v>177.3</v>
      </c>
    </row>
    <row r="27" spans="1:54" ht="34.5" customHeight="1">
      <c r="A27" s="12" t="s">
        <v>24</v>
      </c>
      <c r="B27" s="61" t="s">
        <v>59</v>
      </c>
      <c r="C27" s="16">
        <f>'насел.'!C27+пільги!C27+субсидії!C27+'держ.бюджет'!C27+'місц.-районн.бюджет'!C27+областной!C27+інші!C27</f>
        <v>-707.5000000000001</v>
      </c>
      <c r="D27" s="16">
        <f>'насел.'!D27+пільги!D27+субсидії!D27+'держ.бюджет'!D27+'місц.-районн.бюджет'!D27+областной!D27+інші!D27</f>
        <v>901.2</v>
      </c>
      <c r="E27" s="16">
        <f>'насел.'!E27+пільги!E27+субсидії!E27+'держ.бюджет'!E27+'місц.-районн.бюджет'!E27+областной!E27+інші!E27</f>
        <v>896.0999999999999</v>
      </c>
      <c r="F27" s="10">
        <f t="shared" si="0"/>
        <v>99.43408788282288</v>
      </c>
      <c r="G27" s="16">
        <f>'насел.'!G27+пільги!G27+субсидії!G27+'держ.бюджет'!G27+'місц.-районн.бюджет'!G27+областной!G27+інші!G27</f>
        <v>645.5000000000001</v>
      </c>
      <c r="H27" s="16">
        <f>'насел.'!H27+пільги!H27+субсидії!H27+'держ.бюджет'!H27+'місц.-районн.бюджет'!H27+областной!H27+інші!H27</f>
        <v>941.9000000000001</v>
      </c>
      <c r="I27" s="10">
        <f t="shared" si="1"/>
        <v>145.91789310611927</v>
      </c>
      <c r="J27" s="16">
        <f>'насел.'!J27+пільги!J27+субсидії!J27+'держ.бюджет'!J27+'місц.-районн.бюджет'!J27+областной!J27+інші!J27</f>
        <v>629.1999999999999</v>
      </c>
      <c r="K27" s="16">
        <f>'насел.'!K27+пільги!K27+субсидії!K27+'держ.бюджет'!K27+'місц.-районн.бюджет'!K27+областной!K27+інші!K27</f>
        <v>451.4</v>
      </c>
      <c r="L27" s="10">
        <f>K27/J27*100</f>
        <v>71.7418944691672</v>
      </c>
      <c r="M27" s="10">
        <f>'насел.'!M27+пільги!M27+субсидії!M27+'держ.бюджет'!M27+'місц.-районн.бюджет'!M27+областной!M27+інші!M27</f>
        <v>2175.9</v>
      </c>
      <c r="N27" s="10">
        <f>'насел.'!N27+пільги!N27+субсидії!N27+'держ.бюджет'!N27+'місц.-районн.бюджет'!N27+областной!N27+інші!N27</f>
        <v>2289.4</v>
      </c>
      <c r="O27" s="10">
        <f t="shared" si="11"/>
        <v>105.21623236361965</v>
      </c>
      <c r="P27" s="16">
        <f>'насел.'!P27+пільги!P27+субсидії!P27+'держ.бюджет'!P27+'місц.-районн.бюджет'!P27+областной!P27+інші!P27</f>
        <v>601.4</v>
      </c>
      <c r="Q27" s="16">
        <f>'насел.'!Q27+пільги!Q27+субсидії!Q27+'держ.бюджет'!Q27+'місц.-районн.бюджет'!Q27+областной!Q27+інші!Q27</f>
        <v>388</v>
      </c>
      <c r="R27" s="16">
        <f t="shared" si="12"/>
        <v>64.51612903225806</v>
      </c>
      <c r="S27" s="16">
        <f>'насел.'!S27+пільги!S27+субсидії!S27+'держ.бюджет'!S27+'місц.-районн.бюджет'!S27+областной!S27+інші!S27</f>
        <v>479.99999999999994</v>
      </c>
      <c r="T27" s="16">
        <f>'насел.'!T27+пільги!T27+субсидії!T27+'держ.бюджет'!T27+'місц.-районн.бюджет'!T27+областной!T27+інші!T27</f>
        <v>482.59999999999997</v>
      </c>
      <c r="U27" s="10">
        <f t="shared" si="3"/>
        <v>100.54166666666666</v>
      </c>
      <c r="V27" s="16">
        <f>'насел.'!V27+пільги!V27+субсидії!V27+'держ.бюджет'!V27+'місц.-районн.бюджет'!V27+областной!V27+інші!V27</f>
        <v>610.1</v>
      </c>
      <c r="W27" s="16">
        <f>'насел.'!W27+пільги!W27+субсидії!W27+'держ.бюджет'!W27+'місц.-районн.бюджет'!W27+областной!W27+інші!W27</f>
        <v>379.7</v>
      </c>
      <c r="X27" s="10">
        <f t="shared" si="4"/>
        <v>62.23569906572693</v>
      </c>
      <c r="Y27" s="16">
        <f>'насел.'!Y27+пільги!Y27+субсидії!Y27+'держ.бюджет'!Y27+'місц.-районн.бюджет'!Y27+областной!Y27+інші!Y27</f>
        <v>1691.5000000000002</v>
      </c>
      <c r="Z27" s="16">
        <f>'насел.'!Z27+пільги!Z27+субсидії!Z27+'держ.бюджет'!Z27+'місц.-районн.бюджет'!Z27+областной!Z27+інші!Z27</f>
        <v>1250.2999999999997</v>
      </c>
      <c r="AA27" s="10">
        <f t="shared" si="5"/>
        <v>73.91664203369788</v>
      </c>
      <c r="AB27" s="16">
        <f>'насел.'!AB27+пільги!AB27+субсидії!AB27+'держ.бюджет'!AB27+'місц.-районн.бюджет'!AB27+областной!AB27+інші!AB27</f>
        <v>607.8</v>
      </c>
      <c r="AC27" s="16">
        <f>'насел.'!AC27+пільги!AC27+субсидії!AC27+'держ.бюджет'!AC27+'місц.-районн.бюджет'!AC27+областной!AC27+інші!AC27</f>
        <v>509.8</v>
      </c>
      <c r="AD27" s="10">
        <f t="shared" si="6"/>
        <v>83.87627509049031</v>
      </c>
      <c r="AE27" s="16">
        <f>'насел.'!AE27+пільги!AE27+субсидії!AE27+'держ.бюджет'!AE27+'місц.-районн.бюджет'!AE27+областной!AE27+інші!AE27</f>
        <v>672.4</v>
      </c>
      <c r="AF27" s="16">
        <f>'насел.'!AF27+пільги!AF27+субсидії!AF27+'держ.бюджет'!AF27+'місц.-районн.бюджет'!AF27+областной!AF27+інші!AF27</f>
        <v>579.9</v>
      </c>
      <c r="AG27" s="10">
        <f t="shared" si="7"/>
        <v>86.24330755502677</v>
      </c>
      <c r="AH27" s="16">
        <f>'насел.'!AH27+пільги!AH27+субсидії!AH27+'держ.бюджет'!AH27+'місц.-районн.бюджет'!AH27+областной!AH27+інші!AH27</f>
        <v>668.1</v>
      </c>
      <c r="AI27" s="16">
        <f>'насел.'!AI27+пільги!AI27+субсидії!AI27+'держ.бюджет'!AI27+'місц.-районн.бюджет'!AI27+областной!AI27+інші!AI27</f>
        <v>733.1</v>
      </c>
      <c r="AJ27" s="10">
        <f t="shared" si="8"/>
        <v>109.72908247268374</v>
      </c>
      <c r="AK27" s="16">
        <f>'насел.'!AK27+пільги!AJ27+субсидії!AK27+'держ.бюджет'!AK27+'місц.-районн.бюджет'!AK27+областной!AK27+інші!AK27</f>
        <v>1948.3</v>
      </c>
      <c r="AL27" s="16">
        <f>'насел.'!AL27+пільги!AK27+субсидії!AL27+'держ.бюджет'!AL27+'місц.-районн.бюджет'!AL27+областной!AL27+інші!AL27</f>
        <v>1822.8</v>
      </c>
      <c r="AM27" s="16">
        <f t="shared" si="9"/>
        <v>93.55848688600318</v>
      </c>
      <c r="AN27" s="16">
        <f>'насел.'!AN27+пільги!AM27+субсидії!AN27+'держ.бюджет'!AN27+'місц.-районн.бюджет'!AN27+областной!AN27+інші!AN27</f>
        <v>0</v>
      </c>
      <c r="AO27" s="16">
        <f>'насел.'!AO27+пільги!AN27+субсидії!AO27+'держ.бюджет'!AO27+'місц.-районн.бюджет'!AO27+областной!AO27+інші!AO27</f>
        <v>0</v>
      </c>
      <c r="AP27" s="16">
        <f>'насел.'!AP27+пільги!AO27+субсидії!AP27+'держ.бюджет'!AP27+'місц.-районн.бюджет'!AP27+областной!AP27+інші!AP27</f>
        <v>0</v>
      </c>
      <c r="AQ27" s="16">
        <f>'насел.'!AQ27+пільги!AP27+субсидії!AQ27+'держ.бюджет'!AQ27+'місц.-районн.бюджет'!AQ27+областной!AQ27+інші!AQ27</f>
        <v>0</v>
      </c>
      <c r="AR27" s="16">
        <f>'насел.'!AR27+пільги!AQ27+субсидії!AR27+'держ.бюджет'!AR27+'місц.-районн.бюджет'!AR27+областной!AR27+інші!AR27</f>
        <v>0</v>
      </c>
      <c r="AS27" s="16">
        <f>'насел.'!AS27+пільги!AR27+субсидії!AS27+'держ.бюджет'!AS27+'місц.-районн.бюджет'!AS27+областной!AS27+інші!AS27</f>
        <v>0</v>
      </c>
      <c r="AT27" s="16">
        <f>'насел.'!AT27+пільги!AS27+субсидії!AT27+'держ.бюджет'!AT27+'місц.-районн.бюджет'!AT27+областной!AT27+інші!AT27</f>
        <v>5815.7</v>
      </c>
      <c r="AU27" s="16">
        <f>'насел.'!AU27+пільги!AT27+субсидії!AU27+'держ.бюджет'!AU27+'місц.-районн.бюджет'!AU27+областной!AU27+інші!AU27</f>
        <v>5362.499999999999</v>
      </c>
      <c r="AV27" s="10">
        <f t="shared" si="10"/>
        <v>92.20730092680157</v>
      </c>
      <c r="AW27" s="16">
        <f>'насел.'!AW27+пільги!AV27+субсидії!AW27+'держ.бюджет'!AW27+'місц.-районн.бюджет'!AW27+областной!AW27+інші!AW27</f>
        <v>453.1999999999997</v>
      </c>
      <c r="AX27" s="103">
        <f>'насел.'!AX27+пільги!AW27+субсидії!AX27+'держ.бюджет'!AX27+'місц.-районн.бюджет'!AX27+областной!AX27+інші!AX27</f>
        <v>-254.3000000000002</v>
      </c>
      <c r="AY27" s="39">
        <f t="shared" si="13"/>
        <v>5815.7</v>
      </c>
      <c r="AZ27" s="39">
        <f t="shared" si="14"/>
        <v>5362.5</v>
      </c>
      <c r="BA27" s="39">
        <f t="shared" si="15"/>
        <v>453.1999999999998</v>
      </c>
      <c r="BB27" s="39">
        <f t="shared" si="16"/>
        <v>-254.30000000000018</v>
      </c>
    </row>
    <row r="28" spans="1:54" ht="34.5" customHeight="1">
      <c r="A28" s="12" t="s">
        <v>25</v>
      </c>
      <c r="B28" s="113" t="s">
        <v>92</v>
      </c>
      <c r="C28" s="16">
        <f>'насел.'!C28+пільги!C28+субсидії!C28+'держ.бюджет'!C28+'місц.-районн.бюджет'!C28+областной!C28+інші!C28</f>
        <v>190.3</v>
      </c>
      <c r="D28" s="16">
        <f>'насел.'!D28+пільги!D28+субсидії!D28+'держ.бюджет'!D28+'місц.-районн.бюджет'!D28+областной!D28+інші!D28</f>
        <v>329.4</v>
      </c>
      <c r="E28" s="16">
        <f>'насел.'!E28+пільги!E28+субсидії!E28+'держ.бюджет'!E28+'місц.-районн.бюджет'!E28+областной!E28+інші!E28</f>
        <v>226.1</v>
      </c>
      <c r="F28" s="10">
        <f t="shared" si="0"/>
        <v>68.63995142683667</v>
      </c>
      <c r="G28" s="16">
        <f>'насел.'!G28+пільги!G28+субсидії!G28+'держ.бюджет'!G28+'місц.-районн.бюджет'!G28+областной!G28+інші!G28</f>
        <v>370.79999999999995</v>
      </c>
      <c r="H28" s="16">
        <f>'насел.'!H28+пільги!H28+субсидії!H28+'держ.бюджет'!H28+'місц.-районн.бюджет'!H28+областной!H28+інші!H28</f>
        <v>293.9</v>
      </c>
      <c r="I28" s="10">
        <f t="shared" si="1"/>
        <v>79.26105717367854</v>
      </c>
      <c r="J28" s="16">
        <f>'насел.'!J28+пільги!J28+субсидії!J28+'держ.бюджет'!J28+'місц.-районн.бюджет'!J28+областной!J28+інші!J28</f>
        <v>366.09999999999997</v>
      </c>
      <c r="K28" s="16">
        <f>'насел.'!K28+пільги!K28+субсидії!K28+'держ.бюджет'!K28+'місц.-районн.бюджет'!K28+областной!K28+інші!K28</f>
        <v>426.4000000000001</v>
      </c>
      <c r="L28" s="75">
        <f>K28/J28*100</f>
        <v>116.47090958754443</v>
      </c>
      <c r="M28" s="10">
        <f>'насел.'!M28+пільги!M28+субсидії!M28+'держ.бюджет'!M28+'місц.-районн.бюджет'!M28+областной!M28+інші!M28</f>
        <v>1066.3</v>
      </c>
      <c r="N28" s="10">
        <f>'насел.'!N28+пільги!N28+субсидії!N28+'держ.бюджет'!N28+'місц.-районн.бюджет'!N28+областной!N28+інші!N28</f>
        <v>946.4</v>
      </c>
      <c r="O28" s="10">
        <f t="shared" si="11"/>
        <v>88.7555097064616</v>
      </c>
      <c r="P28" s="16">
        <f>'насел.'!P28+пільги!P28+субсидії!P28+'держ.бюджет'!P28+'місц.-районн.бюджет'!P28+областной!P28+інші!P28</f>
        <v>376.6</v>
      </c>
      <c r="Q28" s="16">
        <f>'насел.'!Q28+пільги!Q28+субсидії!Q28+'держ.бюджет'!Q28+'місц.-районн.бюджет'!Q28+областной!Q28+інші!Q28</f>
        <v>378.20000000000005</v>
      </c>
      <c r="R28" s="16">
        <f t="shared" si="12"/>
        <v>100.42485395645247</v>
      </c>
      <c r="S28" s="16">
        <f>'насел.'!S28+пільги!S28+субсидії!S28+'держ.бюджет'!S28+'місц.-районн.бюджет'!S28+областной!S28+інші!S28</f>
        <v>416.70000000000005</v>
      </c>
      <c r="T28" s="16">
        <f>'насел.'!T28+пільги!T28+субсидії!T28+'держ.бюджет'!T28+'місц.-районн.бюджет'!T28+областной!T28+інші!T28</f>
        <v>377.80000000000007</v>
      </c>
      <c r="U28" s="10">
        <f t="shared" si="3"/>
        <v>90.66474682025438</v>
      </c>
      <c r="V28" s="16">
        <f>'насел.'!V28+пільги!V28+субсидії!V28+'держ.бюджет'!V28+'місц.-районн.бюджет'!V28+областной!V28+інші!V28</f>
        <v>413.1</v>
      </c>
      <c r="W28" s="16">
        <f>'насел.'!W28+пільги!W28+субсидії!W28+'держ.бюджет'!W28+'місц.-районн.бюджет'!W28+областной!W28+інші!W28</f>
        <v>364.5</v>
      </c>
      <c r="X28" s="10">
        <f t="shared" si="4"/>
        <v>88.23529411764706</v>
      </c>
      <c r="Y28" s="16">
        <f>'насел.'!Y28+пільги!Y28+субсидії!Y28+'держ.бюджет'!Y28+'місц.-районн.бюджет'!Y28+областной!Y28+інші!Y28</f>
        <v>1206.4</v>
      </c>
      <c r="Z28" s="16">
        <f>'насел.'!Z28+пільги!Z28+субсидії!Z28+'держ.бюджет'!Z28+'місц.-районн.бюджет'!Z28+областной!Z28+інші!Z28</f>
        <v>1120.5</v>
      </c>
      <c r="AA28" s="10">
        <f t="shared" si="5"/>
        <v>92.87964190981431</v>
      </c>
      <c r="AB28" s="16">
        <f>'насел.'!AB28+пільги!AB28+субсидії!AB28+'держ.бюджет'!AB28+'місц.-районн.бюджет'!AB28+областной!AB28+інші!AB28</f>
        <v>384.2</v>
      </c>
      <c r="AC28" s="16">
        <f>'насел.'!AC28+пільги!AC28+субсидії!AC28+'держ.бюджет'!AC28+'місц.-районн.бюджет'!AC28+областной!AC28+інші!AC28</f>
        <v>416.2</v>
      </c>
      <c r="AD28" s="10">
        <f t="shared" si="6"/>
        <v>108.32899531494013</v>
      </c>
      <c r="AE28" s="16">
        <f>'насел.'!AE28+пільги!AE28+субсидії!AE28+'держ.бюджет'!AE28+'місц.-районн.бюджет'!AE28+областной!AE28+інші!AE28</f>
        <v>393.69999999999993</v>
      </c>
      <c r="AF28" s="16">
        <f>'насел.'!AF28+пільги!AF28+субсидії!AF28+'держ.бюджет'!AF28+'місц.-районн.бюджет'!AF28+областной!AF28+інші!AF28</f>
        <v>299.9</v>
      </c>
      <c r="AG28" s="10">
        <f t="shared" si="7"/>
        <v>76.1747523495047</v>
      </c>
      <c r="AH28" s="16">
        <f>'насел.'!AH28+пільги!AH28+субсидії!AH28+'держ.бюджет'!AH28+'місц.-районн.бюджет'!AH28+областной!AH28+інші!AH28</f>
        <v>368</v>
      </c>
      <c r="AI28" s="16">
        <f>'насел.'!AI28+пільги!AI28+субсидії!AI28+'держ.бюджет'!AI28+'місц.-районн.бюджет'!AI28+областной!AI28+інші!AI28</f>
        <v>417.90000000000003</v>
      </c>
      <c r="AJ28" s="10">
        <f t="shared" si="8"/>
        <v>113.55978260869566</v>
      </c>
      <c r="AK28" s="16">
        <f>'насел.'!AK28+пільги!AJ28+субсидії!AK28+'держ.бюджет'!AK28+'місц.-районн.бюджет'!AK28+областной!AK28+інші!AK28</f>
        <v>1145.8999999999999</v>
      </c>
      <c r="AL28" s="16">
        <f>'насел.'!AL28+пільги!AK28+субсидії!AL28+'держ.бюджет'!AL28+'місц.-районн.бюджет'!AL28+областной!AL28+інші!AL28</f>
        <v>1134</v>
      </c>
      <c r="AM28" s="16">
        <f t="shared" si="9"/>
        <v>98.96151496640196</v>
      </c>
      <c r="AN28" s="16">
        <f>'насел.'!AN28+пільги!AM28+субсидії!AN28+'держ.бюджет'!AN28+'місц.-районн.бюджет'!AN28+областной!AN28+інші!AN28</f>
        <v>0</v>
      </c>
      <c r="AO28" s="16">
        <f>'насел.'!AO28+пільги!AN28+субсидії!AO28+'держ.бюджет'!AO28+'місц.-районн.бюджет'!AO28+областной!AO28+інші!AO28</f>
        <v>0</v>
      </c>
      <c r="AP28" s="16">
        <f>'насел.'!AP28+пільги!AO28+субсидії!AP28+'держ.бюджет'!AP28+'місц.-районн.бюджет'!AP28+областной!AP28+інші!AP28</f>
        <v>0</v>
      </c>
      <c r="AQ28" s="16">
        <f>'насел.'!AQ28+пільги!AP28+субсидії!AQ28+'держ.бюджет'!AQ28+'місц.-районн.бюджет'!AQ28+областной!AQ28+інші!AQ28</f>
        <v>0</v>
      </c>
      <c r="AR28" s="16">
        <f>'насел.'!AR28+пільги!AQ28+субсидії!AR28+'держ.бюджет'!AR28+'місц.-районн.бюджет'!AR28+областной!AR28+інші!AR28</f>
        <v>0</v>
      </c>
      <c r="AS28" s="16">
        <f>'насел.'!AS28+пільги!AR28+субсидії!AS28+'держ.бюджет'!AS28+'місц.-районн.бюджет'!AS28+областной!AS28+інші!AS28</f>
        <v>0</v>
      </c>
      <c r="AT28" s="16">
        <f>'насел.'!AT28+пільги!AS28+субсидії!AT28+'держ.бюджет'!AT28+'місц.-районн.бюджет'!AT28+областной!AT28+інші!AT28</f>
        <v>3418.6</v>
      </c>
      <c r="AU28" s="16">
        <f>'насел.'!AU28+пільги!AT28+субсидії!AU28+'держ.бюджет'!AU28+'місц.-районн.бюджет'!AU28+областной!AU28+інші!AU28</f>
        <v>3200.9</v>
      </c>
      <c r="AV28" s="10">
        <f t="shared" si="10"/>
        <v>93.63189609781783</v>
      </c>
      <c r="AW28" s="16">
        <f>'насел.'!AW28+пільги!AV28+субсидії!AW28+'держ.бюджет'!AW28+'місц.-районн.бюджет'!AW28+областной!AW28+інші!AW28</f>
        <v>217.6999999999997</v>
      </c>
      <c r="AX28" s="103">
        <f>'насел.'!AX28+пільги!AW28+субсидії!AX28+'держ.бюджет'!AX28+'місц.-районн.бюджет'!AX28+областной!AX28+інші!AX28</f>
        <v>407.9999999999997</v>
      </c>
      <c r="AY28" s="39">
        <f t="shared" si="13"/>
        <v>3418.6</v>
      </c>
      <c r="AZ28" s="39">
        <f t="shared" si="14"/>
        <v>3200.9</v>
      </c>
      <c r="BA28" s="39">
        <f t="shared" si="15"/>
        <v>217.69999999999982</v>
      </c>
      <c r="BB28" s="39">
        <f t="shared" si="16"/>
        <v>408</v>
      </c>
    </row>
    <row r="29" spans="1:54" ht="34.5" customHeight="1">
      <c r="A29" s="12" t="s">
        <v>26</v>
      </c>
      <c r="B29" s="57" t="s">
        <v>2</v>
      </c>
      <c r="C29" s="125">
        <f>'насел.'!C29+пільги!C29+субсидії!C29+'держ.бюджет'!C29+'місц.-районн.бюджет'!C29+областной!C29+інші!C29</f>
        <v>0</v>
      </c>
      <c r="D29" s="125"/>
      <c r="E29" s="125"/>
      <c r="F29" s="85"/>
      <c r="G29" s="125"/>
      <c r="H29" s="125"/>
      <c r="I29" s="85"/>
      <c r="J29" s="16">
        <f>'насел.'!J29+пільги!J29+субсидії!J29+'держ.бюджет'!J29+'місц.-районн.бюджет'!J29+областной!J29+інші!J29</f>
        <v>0</v>
      </c>
      <c r="K29" s="16">
        <f>'насел.'!K29+пільги!K29+субсидії!K29+'держ.бюджет'!K29+'місц.-районн.бюджет'!K29+областной!K29+інші!K29</f>
        <v>0</v>
      </c>
      <c r="L29" s="155"/>
      <c r="M29" s="85"/>
      <c r="N29" s="85"/>
      <c r="O29" s="85"/>
      <c r="P29" s="125"/>
      <c r="Q29" s="125"/>
      <c r="R29" s="125" t="e">
        <f t="shared" si="12"/>
        <v>#DIV/0!</v>
      </c>
      <c r="S29" s="125"/>
      <c r="T29" s="125"/>
      <c r="U29" s="155"/>
      <c r="V29" s="125"/>
      <c r="W29" s="125"/>
      <c r="X29" s="155"/>
      <c r="Y29" s="125"/>
      <c r="Z29" s="125"/>
      <c r="AA29" s="85"/>
      <c r="AB29" s="125"/>
      <c r="AC29" s="125"/>
      <c r="AD29" s="155"/>
      <c r="AE29" s="125"/>
      <c r="AF29" s="125"/>
      <c r="AG29" s="85" t="e">
        <f t="shared" si="7"/>
        <v>#DIV/0!</v>
      </c>
      <c r="AH29" s="125"/>
      <c r="AI29" s="125"/>
      <c r="AJ29" s="10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>
        <f>'насел.'!AT29+пільги!AS29+субсидії!AT29+'держ.бюджет'!AT29+'місц.-районн.бюджет'!AT29+областной!AT29+інші!AT29</f>
        <v>0</v>
      </c>
      <c r="AU29" s="125">
        <f>'насел.'!AU29+пільги!AT29+субсидії!AU29+'держ.бюджет'!AU29+'місц.-районн.бюджет'!AU29+областной!AU29+інші!AU29</f>
        <v>0</v>
      </c>
      <c r="AV29" s="85" t="e">
        <f t="shared" si="10"/>
        <v>#DIV/0!</v>
      </c>
      <c r="AW29" s="125">
        <f>'насел.'!AW29+пільги!AV29+субсидії!AW29+'держ.бюджет'!AW29+'місц.-районн.бюджет'!AW29+областной!AW29+інші!AW29</f>
        <v>0</v>
      </c>
      <c r="AX29" s="85">
        <f>'насел.'!AX29+пільги!AW29+субсидії!AX29+'держ.бюджет'!AX29+'місц.-районн.бюджет'!AX29+областной!AX29+інші!AX29</f>
        <v>0</v>
      </c>
      <c r="AY29" s="39">
        <f t="shared" si="13"/>
        <v>0</v>
      </c>
      <c r="AZ29" s="39">
        <f t="shared" si="14"/>
        <v>0</v>
      </c>
      <c r="BA29" s="39"/>
      <c r="BB29" s="39"/>
    </row>
    <row r="30" spans="1:54" ht="34.5" customHeight="1">
      <c r="A30" s="12" t="s">
        <v>27</v>
      </c>
      <c r="B30" s="61" t="s">
        <v>39</v>
      </c>
      <c r="C30" s="16">
        <f>'насел.'!C30+пільги!C30+субсидії!C30+'держ.бюджет'!C30+'місц.-районн.бюджет'!C30+областной!C30+інші!C30</f>
        <v>-97.10000000000001</v>
      </c>
      <c r="D30" s="16">
        <f>'насел.'!D30+пільги!D30+субсидії!D30+'держ.бюджет'!D30+'місц.-районн.бюджет'!D30+областной!D30+інші!D30</f>
        <v>156.6</v>
      </c>
      <c r="E30" s="16">
        <f>'насел.'!E30+пільги!E30+субсидії!E30+'держ.бюджет'!E30+'місц.-районн.бюджет'!E30+областной!E30+інші!E30</f>
        <v>162.8</v>
      </c>
      <c r="F30" s="10">
        <f t="shared" si="0"/>
        <v>103.95913154533845</v>
      </c>
      <c r="G30" s="16">
        <f>'насел.'!G30+пільги!G30+субсидії!G30+'держ.бюджет'!G30+'місц.-районн.бюджет'!G30+областной!G30+інші!G30</f>
        <v>182.2</v>
      </c>
      <c r="H30" s="16">
        <f>'насел.'!H30+пільги!H30+субсидії!H30+'держ.бюджет'!H30+'місц.-районн.бюджет'!H30+областной!H30+інші!H30</f>
        <v>190.7</v>
      </c>
      <c r="I30" s="10">
        <f t="shared" si="1"/>
        <v>104.66520307354557</v>
      </c>
      <c r="J30" s="16">
        <f>'насел.'!J30+пільги!J30+субсидії!J30+'держ.бюджет'!J30+'місц.-районн.бюджет'!J30+областной!J30+інші!J30</f>
        <v>194.7</v>
      </c>
      <c r="K30" s="16">
        <f>'насел.'!K30+пільги!K30+субсидії!K30+'держ.бюджет'!K30+'місц.-районн.бюджет'!K30+областной!K30+інші!K30</f>
        <v>174.3</v>
      </c>
      <c r="L30" s="60">
        <f aca="true" t="shared" si="17" ref="L30:L45">K30/J30*100</f>
        <v>89.52234206471495</v>
      </c>
      <c r="M30" s="10">
        <f>'насел.'!M30+пільги!M30+субсидії!M30+'держ.бюджет'!M30+'місц.-районн.бюджет'!M30+областной!M30+інші!M30</f>
        <v>533.5</v>
      </c>
      <c r="N30" s="10">
        <f>'насел.'!N30+пільги!N30+субсидії!N30+'держ.бюджет'!N30+'місц.-районн.бюджет'!N30+областной!N30+інші!N30</f>
        <v>527.8</v>
      </c>
      <c r="O30" s="10">
        <f t="shared" si="11"/>
        <v>98.93158388003748</v>
      </c>
      <c r="P30" s="16">
        <f>'насел.'!P30+пільги!P30+субсидії!P30+'держ.бюджет'!P30+'місц.-районн.бюджет'!P30+областной!P30+інші!P30</f>
        <v>188.7</v>
      </c>
      <c r="Q30" s="16">
        <f>'насел.'!Q30+пільги!Q30+субсидії!Q30+'держ.бюджет'!Q30+'місц.-районн.бюджет'!Q30+областной!Q30+інші!Q30</f>
        <v>160.3</v>
      </c>
      <c r="R30" s="16">
        <f t="shared" si="12"/>
        <v>84.94965553789085</v>
      </c>
      <c r="S30" s="16">
        <f>'насел.'!S30+пільги!S30+субсидії!S30+'держ.бюджет'!S30+'місц.-районн.бюджет'!S30+областной!S30+інші!S30</f>
        <v>194.60000000000002</v>
      </c>
      <c r="T30" s="16">
        <f>'насел.'!T30+пільги!T30+субсидії!T30+'держ.бюджет'!T30+'місц.-районн.бюджет'!T30+областной!T30+інші!T30</f>
        <v>184</v>
      </c>
      <c r="U30" s="10">
        <f aca="true" t="shared" si="18" ref="U30:U41">T30/S30*100</f>
        <v>94.55292908530318</v>
      </c>
      <c r="V30" s="16">
        <f>'насел.'!V30+пільги!V30+субсидії!V30+'держ.бюджет'!V30+'місц.-районн.бюджет'!V30+областной!V30+інші!V30</f>
        <v>187.50000000000003</v>
      </c>
      <c r="W30" s="16">
        <f>'насел.'!W30+пільги!W30+субсидії!W30+'держ.бюджет'!W30+'місц.-районн.бюджет'!W30+областной!W30+інші!W30</f>
        <v>190.79999999999998</v>
      </c>
      <c r="X30" s="10">
        <f aca="true" t="shared" si="19" ref="X30:X41">W30/V30*100</f>
        <v>101.75999999999999</v>
      </c>
      <c r="Y30" s="16">
        <f>'насел.'!Y30+пільги!Y30+субсидії!Y30+'держ.бюджет'!Y30+'місц.-районн.бюджет'!Y30+областной!Y30+інші!Y30</f>
        <v>570.8</v>
      </c>
      <c r="Z30" s="16">
        <f>'насел.'!Z30+пільги!Z30+субсидії!Z30+'держ.бюджет'!Z30+'місц.-районн.бюджет'!Z30+областной!Z30+інші!Z30</f>
        <v>535.1</v>
      </c>
      <c r="AA30" s="10">
        <f aca="true" t="shared" si="20" ref="AA30:AA45">Z30/Y30*100</f>
        <v>93.74562018220043</v>
      </c>
      <c r="AB30" s="16">
        <f>'насел.'!AB30+пільги!AB30+субсидії!AB30+'держ.бюджет'!AB30+'місц.-районн.бюджет'!AB30+областной!AB30+інші!AB30</f>
        <v>189.79999999999998</v>
      </c>
      <c r="AC30" s="16">
        <f>'насел.'!AC30+пільги!AC30+субсидії!AC30+'держ.бюджет'!AC30+'місц.-районн.бюджет'!AC30+областной!AC30+інші!AC30</f>
        <v>179.29999999999998</v>
      </c>
      <c r="AD30" s="10">
        <f aca="true" t="shared" si="21" ref="AD30:AD41">AC30/AB30*100</f>
        <v>94.46786090621707</v>
      </c>
      <c r="AE30" s="16">
        <f>'насел.'!AE30+пільги!AE30+субсидії!AE30+'держ.бюджет'!AE30+'місц.-районн.бюджет'!AE30+областной!AE30+інші!AE30</f>
        <v>152</v>
      </c>
      <c r="AF30" s="16">
        <f>'насел.'!AF30+пільги!AF30+субсидії!AF30+'держ.бюджет'!AF30+'місц.-районн.бюджет'!AF30+областной!AF30+інші!AF30</f>
        <v>143.39999999999998</v>
      </c>
      <c r="AG30" s="10">
        <f t="shared" si="7"/>
        <v>94.34210526315788</v>
      </c>
      <c r="AH30" s="16">
        <f>'насел.'!AH30+пільги!AH30+субсидії!AH30+'держ.бюджет'!AH30+'місц.-районн.бюджет'!AH30+областной!AH30+інші!AH30</f>
        <v>153.6</v>
      </c>
      <c r="AI30" s="16">
        <f>'насел.'!AI30+пільги!AI30+субсидії!AI30+'держ.бюджет'!AI30+'місц.-районн.бюджет'!AI30+областной!AI30+інші!AI30</f>
        <v>152.00000000000003</v>
      </c>
      <c r="AJ30" s="10">
        <f t="shared" si="8"/>
        <v>98.95833333333336</v>
      </c>
      <c r="AK30" s="16">
        <f>'насел.'!AK30+пільги!AJ30+субсидії!AK30+'держ.бюджет'!AK30+'місц.-районн.бюджет'!AK30+областной!AK30+інші!AK30</f>
        <v>495.40000000000003</v>
      </c>
      <c r="AL30" s="16">
        <f>'насел.'!AL30+пільги!AK30+субсидії!AL30+'держ.бюджет'!AL30+'місц.-районн.бюджет'!AL30+областной!AL30+інші!AL30</f>
        <v>474.7</v>
      </c>
      <c r="AM30" s="16">
        <f t="shared" si="9"/>
        <v>95.8215583366976</v>
      </c>
      <c r="AN30" s="16">
        <f>'насел.'!AN30+пільги!AM30+субсидії!AN30+'держ.бюджет'!AN30+'місц.-районн.бюджет'!AN30+областной!AN30+інші!AN30</f>
        <v>0</v>
      </c>
      <c r="AO30" s="16">
        <f>'насел.'!AO30+пільги!AN30+субсидії!AO30+'держ.бюджет'!AO30+'місц.-районн.бюджет'!AO30+областной!AO30+інші!AO30</f>
        <v>0</v>
      </c>
      <c r="AP30" s="16">
        <f>'насел.'!AP30+пільги!AO30+субсидії!AP30+'держ.бюджет'!AP30+'місц.-районн.бюджет'!AP30+областной!AP30+інші!AP30</f>
        <v>0</v>
      </c>
      <c r="AQ30" s="16">
        <f>'насел.'!AQ30+пільги!AP30+субсидії!AQ30+'держ.бюджет'!AQ30+'місц.-районн.бюджет'!AQ30+областной!AQ30+інші!AQ30</f>
        <v>0</v>
      </c>
      <c r="AR30" s="16">
        <f>'насел.'!AR30+пільги!AQ30+субсидії!AR30+'держ.бюджет'!AR30+'місц.-районн.бюджет'!AR30+областной!AR30+інші!AR30</f>
        <v>0</v>
      </c>
      <c r="AS30" s="16">
        <f>'насел.'!AS30+пільги!AR30+субсидії!AS30+'держ.бюджет'!AS30+'місц.-районн.бюджет'!AS30+областной!AS30+інші!AS30</f>
        <v>0</v>
      </c>
      <c r="AT30" s="16">
        <f>'насел.'!AT30+пільги!AS30+субсидії!AT30+'держ.бюджет'!AT30+'місц.-районн.бюджет'!AT30+областной!AT30+інші!AT30</f>
        <v>1599.6999999999998</v>
      </c>
      <c r="AU30" s="16">
        <f>'насел.'!AU30+пільги!AT30+субсидії!AU30+'держ.бюджет'!AU30+'місц.-районн.бюджет'!AU30+областной!AU30+інші!AU30</f>
        <v>1537.6</v>
      </c>
      <c r="AV30" s="10">
        <f t="shared" si="10"/>
        <v>96.11802212914921</v>
      </c>
      <c r="AW30" s="16">
        <f>'насел.'!AW30+пільги!AV30+субсидії!AW30+'держ.бюджет'!AW30+'місц.-районн.бюджет'!AW30+областной!AW30+інші!AW30</f>
        <v>62.099999999999916</v>
      </c>
      <c r="AX30" s="103">
        <f>'насел.'!AX30+пільги!AW30+субсидії!AX30+'держ.бюджет'!AX30+'місц.-районн.бюджет'!AX30+областной!AX30+інші!AX30</f>
        <v>-35.00000000000006</v>
      </c>
      <c r="AY30" s="39">
        <f t="shared" si="13"/>
        <v>1599.7</v>
      </c>
      <c r="AZ30" s="39">
        <f t="shared" si="14"/>
        <v>1537.6</v>
      </c>
      <c r="BA30" s="39">
        <f t="shared" si="15"/>
        <v>62.100000000000136</v>
      </c>
      <c r="BB30" s="39">
        <f t="shared" si="16"/>
        <v>-34.99999999999977</v>
      </c>
    </row>
    <row r="31" spans="1:54" ht="34.5" customHeight="1">
      <c r="A31" s="12" t="s">
        <v>28</v>
      </c>
      <c r="B31" s="61" t="s">
        <v>3</v>
      </c>
      <c r="C31" s="16">
        <f>'насел.'!C31+пільги!C31+субсидії!C31+'держ.бюджет'!C31+'місц.-районн.бюджет'!C31+областной!C31+інші!C31</f>
        <v>-1005.6000000000001</v>
      </c>
      <c r="D31" s="16">
        <f>'насел.'!D31+пільги!D31+субсидії!D31+'держ.бюджет'!D31+'місц.-районн.бюджет'!D31+областной!D31+інші!D31</f>
        <v>219.60000000000002</v>
      </c>
      <c r="E31" s="16">
        <f>'насел.'!E31+пільги!E31+субсидії!E31+'держ.бюджет'!E31+'місц.-районн.бюджет'!E31+областной!E31+інші!E31</f>
        <v>344.8</v>
      </c>
      <c r="F31" s="10">
        <f t="shared" si="0"/>
        <v>157.0127504553734</v>
      </c>
      <c r="G31" s="16">
        <f>'насел.'!G31+пільги!G31+субсидії!G31+'держ.бюджет'!G31+'місц.-районн.бюджет'!G31+областной!G31+інші!G31</f>
        <v>227.10000000000002</v>
      </c>
      <c r="H31" s="16">
        <f>'насел.'!H31+пільги!H31+субсидії!H31+'держ.бюджет'!H31+'місц.-районн.бюджет'!H31+областной!H31+інші!H31</f>
        <v>168.2</v>
      </c>
      <c r="I31" s="10">
        <f t="shared" si="1"/>
        <v>74.06428885953324</v>
      </c>
      <c r="J31" s="16">
        <f>'насел.'!J31+пільги!J31+субсидії!J31+'держ.бюджет'!J31+'місц.-районн.бюджет'!J31+областной!J31+інші!J31</f>
        <v>238.19999999999996</v>
      </c>
      <c r="K31" s="16">
        <f>'насел.'!K31+пільги!K31+субсидії!K31+'держ.бюджет'!K31+'місц.-районн.бюджет'!K31+областной!K31+інші!K31</f>
        <v>229.50000000000003</v>
      </c>
      <c r="L31" s="60">
        <f t="shared" si="17"/>
        <v>96.34760705289676</v>
      </c>
      <c r="M31" s="10">
        <f>'насел.'!M31+пільги!M31+субсидії!M31+'держ.бюджет'!M31+'місц.-районн.бюджет'!M31+областной!M31+інші!M31</f>
        <v>684.9</v>
      </c>
      <c r="N31" s="10">
        <f>'насел.'!N31+пільги!N31+субсидії!N31+'держ.бюджет'!N31+'місц.-районн.бюджет'!N31+областной!N31+інші!N31</f>
        <v>742.5000000000001</v>
      </c>
      <c r="O31" s="10">
        <f t="shared" si="11"/>
        <v>108.40998685939556</v>
      </c>
      <c r="P31" s="16">
        <f>'насел.'!P31+пільги!P31+субсидії!P31+'держ.бюджет'!P31+'місц.-районн.бюджет'!P31+областной!P31+інші!P31</f>
        <v>225.50000000000003</v>
      </c>
      <c r="Q31" s="16">
        <f>'насел.'!Q31+пільги!Q31+субсидії!Q31+'держ.бюджет'!Q31+'місц.-районн.бюджет'!Q31+областной!Q31+інші!Q31</f>
        <v>128.5</v>
      </c>
      <c r="R31" s="16">
        <f t="shared" si="12"/>
        <v>56.98447893569845</v>
      </c>
      <c r="S31" s="16">
        <f>'насел.'!S31+пільги!S31+субсидії!S31+'держ.бюджет'!S31+'місц.-районн.бюджет'!S31+областной!S31+інші!S31</f>
        <v>230.19999999999996</v>
      </c>
      <c r="T31" s="16">
        <f>'насел.'!T31+пільги!T31+субсидії!T31+'держ.бюджет'!T31+'місц.-районн.бюджет'!T31+областной!T31+інші!T31</f>
        <v>194.7</v>
      </c>
      <c r="U31" s="10">
        <f t="shared" si="18"/>
        <v>84.57862728062555</v>
      </c>
      <c r="V31" s="16">
        <f>'насел.'!V31+пільги!V31+субсидії!V31+'держ.бюджет'!V31+'місц.-районн.бюджет'!V31+областной!V31+інші!V31</f>
        <v>226.2</v>
      </c>
      <c r="W31" s="16">
        <f>'насел.'!W31+пільги!W31+субсидії!W31+'держ.бюджет'!W31+'місц.-районн.бюджет'!W31+областной!W31+інші!W31</f>
        <v>165.70000000000002</v>
      </c>
      <c r="X31" s="10">
        <f t="shared" si="19"/>
        <v>73.25375773651636</v>
      </c>
      <c r="Y31" s="16">
        <f>'насел.'!Y31+пільги!Y31+субсидії!Y31+'держ.бюджет'!Y31+'місц.-районн.бюджет'!Y31+областной!Y31+інші!Y31</f>
        <v>681.9000000000001</v>
      </c>
      <c r="Z31" s="16">
        <f>'насел.'!Z31+пільги!Z31+субсидії!Z31+'держ.бюджет'!Z31+'місц.-районн.бюджет'!Z31+областной!Z31+інші!Z31</f>
        <v>488.9</v>
      </c>
      <c r="AA31" s="10">
        <f t="shared" si="20"/>
        <v>71.69672972576623</v>
      </c>
      <c r="AB31" s="16">
        <f>'насел.'!AB31+пільги!AB31+субсидії!AB31+'держ.бюджет'!AB31+'місц.-районн.бюджет'!AB31+областной!AB31+інші!AB31</f>
        <v>255.89999999999998</v>
      </c>
      <c r="AC31" s="16">
        <f>'насел.'!AC31+пільги!AC31+субсидії!AC31+'держ.бюджет'!AC31+'місц.-районн.бюджет'!AC31+областной!AC31+інші!AC31</f>
        <v>207.49999999999997</v>
      </c>
      <c r="AD31" s="10">
        <f t="shared" si="21"/>
        <v>81.08636186010159</v>
      </c>
      <c r="AE31" s="16">
        <f>'насел.'!AE31+пільги!AE31+субсидії!AE31+'держ.бюджет'!AE31+'місц.-районн.бюджет'!AE31+областной!AE31+інші!AE31</f>
        <v>245.1</v>
      </c>
      <c r="AF31" s="16">
        <f>'насел.'!AF31+пільги!AF31+субсидії!AF31+'держ.бюджет'!AF31+'місц.-районн.бюджет'!AF31+областной!AF31+інші!AF31</f>
        <v>204.00000000000003</v>
      </c>
      <c r="AG31" s="10">
        <f t="shared" si="7"/>
        <v>83.23133414932681</v>
      </c>
      <c r="AH31" s="16">
        <f>'насел.'!AH31+пільги!AH31+субсидії!AH31+'держ.бюджет'!AH31+'місц.-районн.бюджет'!AH31+областной!AH31+інші!AH31</f>
        <v>260.90000000000003</v>
      </c>
      <c r="AI31" s="16">
        <f>'насел.'!AI31+пільги!AI31+субсидії!AI31+'держ.бюджет'!AI31+'місц.-районн.бюджет'!AI31+областной!AI31+інші!AI31</f>
        <v>204.1</v>
      </c>
      <c r="AJ31" s="10">
        <f t="shared" si="8"/>
        <v>78.2292065925642</v>
      </c>
      <c r="AK31" s="16">
        <f>'насел.'!AK31+пільги!AJ31+субсидії!AK31+'держ.бюджет'!AK31+'місц.-районн.бюджет'!AK31+областной!AK31+інші!AK31</f>
        <v>761.8999999999999</v>
      </c>
      <c r="AL31" s="16">
        <f>'насел.'!AL31+пільги!AK31+субсидії!AL31+'держ.бюджет'!AL31+'місц.-районн.бюджет'!AL31+областной!AL31+інші!AL31</f>
        <v>615.6</v>
      </c>
      <c r="AM31" s="16">
        <f t="shared" si="9"/>
        <v>80.79800498753119</v>
      </c>
      <c r="AN31" s="16">
        <f>'насел.'!AN31+пільги!AM31+субсидії!AN31+'держ.бюджет'!AN31+'місц.-районн.бюджет'!AN31+областной!AN31+інші!AN31</f>
        <v>0</v>
      </c>
      <c r="AO31" s="16">
        <f>'насел.'!AO31+пільги!AN31+субсидії!AO31+'держ.бюджет'!AO31+'місц.-районн.бюджет'!AO31+областной!AO31+інші!AO31</f>
        <v>0</v>
      </c>
      <c r="AP31" s="16">
        <f>'насел.'!AP31+пільги!AO31+субсидії!AP31+'держ.бюджет'!AP31+'місц.-районн.бюджет'!AP31+областной!AP31+інші!AP31</f>
        <v>0</v>
      </c>
      <c r="AQ31" s="16">
        <f>'насел.'!AQ31+пільги!AP31+субсидії!AQ31+'держ.бюджет'!AQ31+'місц.-районн.бюджет'!AQ31+областной!AQ31+інші!AQ31</f>
        <v>0</v>
      </c>
      <c r="AR31" s="16">
        <f>'насел.'!AR31+пільги!AQ31+субсидії!AR31+'держ.бюджет'!AR31+'місц.-районн.бюджет'!AR31+областной!AR31+інші!AR31</f>
        <v>0</v>
      </c>
      <c r="AS31" s="16">
        <f>'насел.'!AS31+пільги!AR31+субсидії!AS31+'держ.бюджет'!AS31+'місц.-районн.бюджет'!AS31+областной!AS31+інші!AS31</f>
        <v>0</v>
      </c>
      <c r="AT31" s="16">
        <f>'насел.'!AT31+пільги!AS31+субсидії!AT31+'держ.бюджет'!AT31+'місц.-районн.бюджет'!AT31+областной!AT31+інші!AT31</f>
        <v>2128.7</v>
      </c>
      <c r="AU31" s="16">
        <f>'насел.'!AU31+пільги!AT31+субсидії!AU31+'держ.бюджет'!AU31+'місц.-районн.бюджет'!AU31+областной!AU31+інші!AU31</f>
        <v>1846.9999999999995</v>
      </c>
      <c r="AV31" s="10">
        <f t="shared" si="10"/>
        <v>86.76657114670925</v>
      </c>
      <c r="AW31" s="16">
        <f>'насел.'!AW31+пільги!AV31+субсидії!AW31+'держ.бюджет'!AW31+'місц.-районн.бюджет'!AW31+областной!AW31+інші!AW31</f>
        <v>281.70000000000005</v>
      </c>
      <c r="AX31" s="103">
        <f>'насел.'!AX31+пільги!AW31+субсидії!AX31+'держ.бюджет'!AX31+'місц.-районн.бюджет'!AX31+областной!AX31+інші!AX31</f>
        <v>-723.9000000000001</v>
      </c>
      <c r="AY31" s="39">
        <f t="shared" si="13"/>
        <v>2128.7</v>
      </c>
      <c r="AZ31" s="39">
        <f t="shared" si="14"/>
        <v>1847</v>
      </c>
      <c r="BA31" s="39">
        <f t="shared" si="15"/>
        <v>281.6999999999998</v>
      </c>
      <c r="BB31" s="39">
        <f t="shared" si="16"/>
        <v>-723.9000000000003</v>
      </c>
    </row>
    <row r="32" spans="1:54" ht="34.5" customHeight="1">
      <c r="A32" s="12"/>
      <c r="B32" s="61" t="s">
        <v>93</v>
      </c>
      <c r="C32" s="16">
        <f>'насел.'!C32+пільги!C32+субсидії!C32+'держ.бюджет'!C32+'місц.-районн.бюджет'!C32+областной!C32+інші!C32</f>
        <v>8074.299999999999</v>
      </c>
      <c r="D32" s="16">
        <f>'насел.'!D32+пільги!D32+субсидії!D32+'держ.бюджет'!D32+'місц.-районн.бюджет'!D32+областной!D32+інші!D32</f>
        <v>3051.6</v>
      </c>
      <c r="E32" s="16">
        <f>'насел.'!E32+пільги!E32+субсидії!E32+'держ.бюджет'!E32+'місц.-районн.бюджет'!E32+областной!E32+інші!E32</f>
        <v>2526.6</v>
      </c>
      <c r="F32" s="10">
        <f t="shared" si="0"/>
        <v>82.7959103421156</v>
      </c>
      <c r="G32" s="16">
        <f>'насел.'!G32+пільги!G32+субсидії!G32+'держ.бюджет'!G32+'місц.-районн.бюджет'!G32+областной!G32+інші!G32</f>
        <v>2999.9</v>
      </c>
      <c r="H32" s="16">
        <f>'насел.'!H32+пільги!H32+субсидії!H32+'держ.бюджет'!H32+'місц.-районн.бюджет'!H32+областной!H32+інші!H32</f>
        <v>2252.1</v>
      </c>
      <c r="I32" s="10">
        <f t="shared" si="1"/>
        <v>75.07250241674723</v>
      </c>
      <c r="J32" s="16">
        <f>'насел.'!J32+пільги!J32+субсидії!J32+'держ.бюджет'!J32+'місц.-районн.бюджет'!J32+областной!J32+інші!J32</f>
        <v>3899.6</v>
      </c>
      <c r="K32" s="16">
        <f>'насел.'!K32+пільги!K32+субсидії!K32+'держ.бюджет'!K32+'місц.-районн.бюджет'!K32+областной!K32+інші!K32</f>
        <v>2785.8</v>
      </c>
      <c r="L32" s="60">
        <f t="shared" si="17"/>
        <v>71.43809621499642</v>
      </c>
      <c r="M32" s="16">
        <f>'насел.'!M32+пільги!M32+субсидії!M32+'держ.бюджет'!M32+'місц.-районн.бюджет'!M32+областной!M32+інші!M32</f>
        <v>9951.1</v>
      </c>
      <c r="N32" s="16">
        <f>'насел.'!N32+пільги!N32+субсидії!N32+'держ.бюджет'!N32+'місц.-районн.бюджет'!N32+областной!N32+інші!N32</f>
        <v>7564.5</v>
      </c>
      <c r="O32" s="16">
        <f>'насел.'!O32+пільги!O32+субсидії!O32+'держ.бюджет'!O32+'місц.-районн.бюджет'!O32+областной!O32+інші!O32</f>
        <v>804.6707099279234</v>
      </c>
      <c r="P32" s="16">
        <f>'насел.'!P32+пільги!P32+субсидії!P32+'держ.бюджет'!P32+'місц.-районн.бюджет'!P32+областной!P32+інші!P32</f>
        <v>2912.7999999999997</v>
      </c>
      <c r="Q32" s="16">
        <f>'насел.'!Q32+пільги!Q32+субсидії!Q32+'держ.бюджет'!Q32+'місц.-районн.бюджет'!Q32+областной!Q32+інші!Q32</f>
        <v>2142.9000000000005</v>
      </c>
      <c r="R32" s="16">
        <f t="shared" si="12"/>
        <v>73.56838780554796</v>
      </c>
      <c r="S32" s="16">
        <f>'насел.'!S32+пільги!S32+субсидії!S32+'держ.бюджет'!S32+'місц.-районн.бюджет'!S32+областной!S32+інші!S32</f>
        <v>4396.639999999999</v>
      </c>
      <c r="T32" s="16">
        <f>'насел.'!T32+пільги!T32+субсидії!T32+'держ.бюджет'!T32+'місц.-районн.бюджет'!T32+областной!T32+інші!T32</f>
        <v>2938.94</v>
      </c>
      <c r="U32" s="10">
        <f t="shared" si="18"/>
        <v>66.84513628589104</v>
      </c>
      <c r="V32" s="16">
        <f>'насел.'!V32+пільги!V32+субсидії!V32+'держ.бюджет'!V32+'місц.-районн.бюджет'!V32+областной!V32+інші!V32</f>
        <v>3745.2000000000003</v>
      </c>
      <c r="W32" s="16">
        <f>'насел.'!W32+пільги!W32+субсидії!W32+'держ.бюджет'!W32+'місц.-районн.бюджет'!W32+областной!W32+інші!W32</f>
        <v>2629</v>
      </c>
      <c r="X32" s="10">
        <f t="shared" si="19"/>
        <v>70.19651820997544</v>
      </c>
      <c r="Y32" s="16">
        <f>'насел.'!Y32+пільги!Y32+субсидії!Y32+'держ.бюджет'!Y32+'місц.-районн.бюджет'!Y32+областной!Y32+інші!Y32</f>
        <v>11054.64</v>
      </c>
      <c r="Z32" s="16">
        <f>'насел.'!Z32+пільги!Z32+субсидії!Z32+'держ.бюджет'!Z32+'місц.-районн.бюджет'!Z32+областной!Z32+інші!Z32</f>
        <v>7710.839999999999</v>
      </c>
      <c r="AA32" s="16">
        <f>'насел.'!AA32+пільги!AA32+субсидії!AA32+'держ.бюджет'!AA32+'місц.-районн.бюджет'!AA32+областной!AA32+інші!AA32</f>
        <v>467.6588948599696</v>
      </c>
      <c r="AB32" s="16">
        <f>'насел.'!AB32+пільги!AB32+субсидії!AB32+'держ.бюджет'!AB32+'місц.-районн.бюджет'!AB32+областной!AB32+інші!AB32</f>
        <v>3410.7</v>
      </c>
      <c r="AC32" s="16">
        <f>'насел.'!AC32+пільги!AC32+субсидії!AC32+'держ.бюджет'!AC32+'місц.-районн.бюджет'!AC32+областной!AC32+інші!AC32</f>
        <v>3569.1</v>
      </c>
      <c r="AD32" s="10">
        <f t="shared" si="21"/>
        <v>104.64420793385523</v>
      </c>
      <c r="AE32" s="16">
        <f>'насел.'!AE32+пільги!AE32+субсидії!AE32+'держ.бюджет'!AE32+'місц.-районн.бюджет'!AE32+областной!AE32+інші!AE32</f>
        <v>3178.2999999999997</v>
      </c>
      <c r="AF32" s="16">
        <f>'насел.'!AF32+пільги!AF32+субсидії!AF32+'держ.бюджет'!AF32+'місц.-районн.бюджет'!AF32+областной!AF32+інші!AF32</f>
        <v>3428.2</v>
      </c>
      <c r="AG32" s="10">
        <f t="shared" si="7"/>
        <v>107.86269389296166</v>
      </c>
      <c r="AH32" s="16">
        <f>'насел.'!AH32+пільги!AH32+субсидії!AH32+'держ.бюджет'!AH32+'місц.-районн.бюджет'!AH32+областной!AH32+інші!AH32</f>
        <v>3547.4000000000005</v>
      </c>
      <c r="AI32" s="16">
        <f>'насел.'!AI32+пільги!AI32+субсидії!AI32+'держ.бюджет'!AI32+'місц.-районн.бюджет'!AI32+областной!AI32+інші!AI32</f>
        <v>3402.1999999999994</v>
      </c>
      <c r="AJ32" s="10">
        <f t="shared" si="8"/>
        <v>95.90686136325192</v>
      </c>
      <c r="AK32" s="16">
        <f>'насел.'!AK32+пільги!AJ32+субсидії!AK32+'держ.бюджет'!AK32+'місц.-районн.бюджет'!AK32+областной!AK32+інші!AK32</f>
        <v>946.2</v>
      </c>
      <c r="AL32" s="16">
        <f>'насел.'!AL32+пільги!AK32+субсидії!AL32+'держ.бюджет'!AL32+'місц.-районн.бюджет'!AL32+областной!AL32+інші!AL32</f>
        <v>1043.5</v>
      </c>
      <c r="AM32" s="16">
        <f>'насел.'!AM32+пільги!AL32+субсидії!AM32+'держ.бюджет'!AM32+'місц.-районн.бюджет'!AM32+областной!AM32+інші!AM32</f>
        <v>797.106826040527</v>
      </c>
      <c r="AN32" s="16">
        <f>'насел.'!AN32+пільги!AM32+субсидії!AN32+'держ.бюджет'!AN32+'місц.-районн.бюджет'!AN32+областной!AN32+інші!AN32</f>
        <v>0</v>
      </c>
      <c r="AO32" s="16">
        <f>'насел.'!AO32+пільги!AN32+субсидії!AO32+'держ.бюджет'!AO32+'місц.-районн.бюджет'!AO32+областной!AO32+інші!AO32</f>
        <v>0</v>
      </c>
      <c r="AP32" s="16">
        <f>'насел.'!AP32+пільги!AO32+субсидії!AP32+'держ.бюджет'!AP32+'місц.-районн.бюджет'!AP32+областной!AP32+інші!AP32</f>
        <v>0</v>
      </c>
      <c r="AQ32" s="16">
        <f>'насел.'!AQ32+пільги!AP32+субсидії!AQ32+'держ.бюджет'!AQ32+'місц.-районн.бюджет'!AQ32+областной!AQ32+інші!AQ32</f>
        <v>0</v>
      </c>
      <c r="AR32" s="16">
        <f>'насел.'!AR32+пільги!AQ32+субсидії!AR32+'держ.бюджет'!AR32+'місц.-районн.бюджет'!AR32+областной!AR32+інші!AR32</f>
        <v>0</v>
      </c>
      <c r="AS32" s="16">
        <f>'насел.'!AS32+пільги!AR32+субсидії!AS32+'держ.бюджет'!AS32+'місц.-районн.бюджет'!AS32+областной!AS32+інші!AS32</f>
        <v>0</v>
      </c>
      <c r="AT32" s="16">
        <f>'насел.'!AT32+пільги!AS32+субсидії!AT32+'держ.бюджет'!AT32+'місц.-районн.бюджет'!AT32+областной!AT32+інші!AT32</f>
        <v>31142.140000000007</v>
      </c>
      <c r="AU32" s="16">
        <f>'насел.'!AU32+пільги!AT32+субсидії!AU32+'держ.бюджет'!AU32+'місц.-районн.бюджет'!AU32+областной!AU32+інші!AU32</f>
        <v>25674.839999999997</v>
      </c>
      <c r="AV32" s="10">
        <f t="shared" si="10"/>
        <v>82.44404527113419</v>
      </c>
      <c r="AW32" s="16">
        <f>'насел.'!AW32+пільги!AV32+субсидії!AW32+'держ.бюджет'!AW32+'місц.-районн.бюджет'!AW32+областной!AW32+інші!AW32</f>
        <v>5459.400000000005</v>
      </c>
      <c r="AX32" s="103">
        <f>'насел.'!AX32+пільги!AW32+субсидії!AX32+'держ.бюджет'!AX32+'місц.-районн.бюджет'!AX32+областной!AX32+інші!AX32</f>
        <v>13541.600000000008</v>
      </c>
      <c r="AY32" s="39">
        <f t="shared" si="13"/>
        <v>31142.140000000003</v>
      </c>
      <c r="AZ32" s="39">
        <f t="shared" si="14"/>
        <v>25674.840000000004</v>
      </c>
      <c r="BA32" s="39"/>
      <c r="BB32" s="39"/>
    </row>
    <row r="33" spans="1:54" ht="34.5" customHeight="1">
      <c r="A33" s="12" t="s">
        <v>29</v>
      </c>
      <c r="B33" s="61" t="s">
        <v>109</v>
      </c>
      <c r="C33" s="16">
        <f>'насел.'!C33+пільги!C33+субсидії!C33+'держ.бюджет'!C33+'місц.-районн.бюджет'!C33+областной!C33+інші!C33</f>
        <v>6950.5</v>
      </c>
      <c r="D33" s="16">
        <f>'насел.'!D33+пільги!D33+субсидії!D33+'держ.бюджет'!D33+'місц.-районн.бюджет'!D33+областной!D33+інші!D33</f>
        <v>2130.2</v>
      </c>
      <c r="E33" s="16">
        <f>'насел.'!E33+пільги!E33+субсидії!E33+'держ.бюджет'!E33+'місц.-районн.бюджет'!E33+областной!E33+інші!E33</f>
        <v>1972</v>
      </c>
      <c r="F33" s="10">
        <f t="shared" si="0"/>
        <v>92.57346728006762</v>
      </c>
      <c r="G33" s="16">
        <f>'насел.'!G33+пільги!G33+субсидії!G33+'держ.бюджет'!G33+'місц.-районн.бюджет'!G33+областной!G33+інші!G33</f>
        <v>2182.2000000000003</v>
      </c>
      <c r="H33" s="16">
        <f>'насел.'!H33+пільги!H33+субсидії!H33+'держ.бюджет'!H33+'місц.-районн.бюджет'!H33+областной!H33+інші!H33</f>
        <v>1799.6</v>
      </c>
      <c r="I33" s="10">
        <f t="shared" si="1"/>
        <v>82.46723490055905</v>
      </c>
      <c r="J33" s="16">
        <f>'насел.'!J33+пільги!J33+субсидії!J33+'держ.бюджет'!J33+'місц.-районн.бюджет'!J33+областной!J33+інші!J33</f>
        <v>2182.2000000000003</v>
      </c>
      <c r="K33" s="16">
        <f>'насел.'!K33+пільги!K33+субсидії!K33+'держ.бюджет'!K33+'місц.-районн.бюджет'!K33+областной!K33+інші!K33</f>
        <v>1863.4</v>
      </c>
      <c r="L33" s="10">
        <f t="shared" si="17"/>
        <v>85.39088992759599</v>
      </c>
      <c r="M33" s="10">
        <f>'насел.'!M33+пільги!M33+субсидії!M33+'держ.бюджет'!M33+'місц.-районн.бюджет'!M33+областной!M33+інші!M33</f>
        <v>6494.6</v>
      </c>
      <c r="N33" s="10">
        <f>'насел.'!N33+пільги!N33+субсидії!N33+'держ.бюджет'!N33+'місц.-районн.бюджет'!N33+областной!N33+інші!N33</f>
        <v>5635.000000000001</v>
      </c>
      <c r="O33" s="10">
        <f t="shared" si="11"/>
        <v>86.76438887691313</v>
      </c>
      <c r="P33" s="16">
        <f>'насел.'!P33+пільги!P33+субсидії!P33+'держ.бюджет'!P33+'місц.-районн.бюджет'!P33+областной!P33+інші!P33</f>
        <v>2092.3</v>
      </c>
      <c r="Q33" s="16">
        <f>'насел.'!Q33+пільги!Q33+субсидії!Q33+'держ.бюджет'!Q33+'місц.-районн.бюджет'!Q33+областной!Q33+інші!Q33</f>
        <v>1702.2</v>
      </c>
      <c r="R33" s="16">
        <f t="shared" si="12"/>
        <v>81.35544615972853</v>
      </c>
      <c r="S33" s="16">
        <f>'насел.'!S33+пільги!S33+субсидії!S33+'держ.бюджет'!S33+'місц.-районн.бюджет'!S33+областной!S33+інші!S33</f>
        <v>3559.24</v>
      </c>
      <c r="T33" s="16">
        <f>'насел.'!T33+пільги!T33+субсидії!T33+'держ.бюджет'!T33+'місц.-районн.бюджет'!T33+областной!T33+інші!T33</f>
        <v>2215.34</v>
      </c>
      <c r="U33" s="10">
        <f t="shared" si="18"/>
        <v>62.24193929041032</v>
      </c>
      <c r="V33" s="16">
        <f>'насел.'!V33+пільги!V33+субсидії!V33+'держ.бюджет'!V33+'місц.-районн.бюджет'!V33+областной!V33+інші!V33</f>
        <v>3020.7</v>
      </c>
      <c r="W33" s="16">
        <f>'насел.'!W33+пільги!W33+субсидії!W33+'держ.бюджет'!W33+'місц.-районн.бюджет'!W33+областной!W33+інші!W33</f>
        <v>1892.7</v>
      </c>
      <c r="X33" s="10">
        <f t="shared" si="19"/>
        <v>62.65766213129408</v>
      </c>
      <c r="Y33" s="16">
        <f>'насел.'!Y33+пільги!Y33+субсидії!Y33+'держ.бюджет'!Y33+'місц.-районн.бюджет'!Y33+областной!Y33+інші!Y33</f>
        <v>8672.24</v>
      </c>
      <c r="Z33" s="16">
        <f>'насел.'!Z33+пільги!Z33+субсидії!Z33+'держ.бюджет'!Z33+'місц.-районн.бюджет'!Z33+областной!Z33+інші!Z33</f>
        <v>5810.24</v>
      </c>
      <c r="AA33" s="10">
        <f t="shared" si="20"/>
        <v>66.99814580777284</v>
      </c>
      <c r="AB33" s="16">
        <f>'насел.'!AB33+пільги!AB33+субсидії!AB33+'держ.бюджет'!AB33+'місц.-районн.бюджет'!AB33+областной!AB33+інші!AB33</f>
        <v>2558.2000000000003</v>
      </c>
      <c r="AC33" s="16">
        <f>'насел.'!AC33+пільги!AC33+субсидії!AC33+'держ.бюджет'!AC33+'місц.-районн.бюджет'!AC33+областной!AC33+інші!AC33</f>
        <v>2658.6999999999994</v>
      </c>
      <c r="AD33" s="10">
        <f t="shared" si="21"/>
        <v>103.92854350715344</v>
      </c>
      <c r="AE33" s="16">
        <f>'насел.'!AE33+пільги!AE33+субсидії!AE33+'держ.бюджет'!AE33+'місц.-районн.бюджет'!AE33+областной!AE33+інші!AE33</f>
        <v>2399.6000000000004</v>
      </c>
      <c r="AF33" s="16">
        <f>'насел.'!AF33+пільги!AF33+субсидії!AF33+'держ.бюджет'!AF33+'місц.-районн.бюджет'!AF33+областной!AF33+інші!AF33</f>
        <v>2586.8</v>
      </c>
      <c r="AG33" s="10">
        <f t="shared" si="7"/>
        <v>107.80130021670277</v>
      </c>
      <c r="AH33" s="16">
        <f>'насел.'!AH33+пільги!AH33+субсидії!AH33+'держ.бюджет'!AH33+'місц.-районн.бюджет'!AH33+областной!AH33+інші!AH33</f>
        <v>2606.6</v>
      </c>
      <c r="AI33" s="16">
        <f>'насел.'!AI33+пільги!AI33+субсидії!AI33+'держ.бюджет'!AI33+'місц.-районн.бюджет'!AI33+областной!AI33+інші!AI33</f>
        <v>2654.9</v>
      </c>
      <c r="AJ33" s="10">
        <f t="shared" si="8"/>
        <v>101.85298856748256</v>
      </c>
      <c r="AK33" s="16">
        <f>'насел.'!AK33+пільги!AJ33+субсидії!AK33+'держ.бюджет'!AK33+'місц.-районн.бюджет'!AK33+областной!AK33+інші!AK33</f>
        <v>7564.4</v>
      </c>
      <c r="AL33" s="16">
        <f>'насел.'!AL33+пільги!AK33+субсидії!AL33+'держ.бюджет'!AL33+'місц.-районн.бюджет'!AL33+областной!AL33+інші!AL33</f>
        <v>7900.399999999999</v>
      </c>
      <c r="AM33" s="16">
        <f t="shared" si="9"/>
        <v>104.44185923536564</v>
      </c>
      <c r="AN33" s="16">
        <f>'насел.'!AN33+пільги!AM33+субсидії!AN33+'держ.бюджет'!AN33+'місц.-районн.бюджет'!AN33+областной!AN33+інші!AN33</f>
        <v>0</v>
      </c>
      <c r="AO33" s="16">
        <f>'насел.'!AO33+пільги!AN33+субсидії!AO33+'держ.бюджет'!AO33+'місц.-районн.бюджет'!AO33+областной!AO33+інші!AO33</f>
        <v>0</v>
      </c>
      <c r="AP33" s="16">
        <f>'насел.'!AP33+пільги!AO33+субсидії!AP33+'держ.бюджет'!AP33+'місц.-районн.бюджет'!AP33+областной!AP33+інші!AP33</f>
        <v>0</v>
      </c>
      <c r="AQ33" s="16">
        <f>'насел.'!AQ33+пільги!AP33+субсидії!AQ33+'держ.бюджет'!AQ33+'місц.-районн.бюджет'!AQ33+областной!AQ33+інші!AQ33</f>
        <v>0</v>
      </c>
      <c r="AR33" s="16">
        <f>'насел.'!AR33+пільги!AQ33+субсидії!AR33+'держ.бюджет'!AR33+'місц.-районн.бюджет'!AR33+областной!AR33+інші!AR33</f>
        <v>0</v>
      </c>
      <c r="AS33" s="16">
        <f>'насел.'!AS33+пільги!AR33+субсидії!AS33+'держ.бюджет'!AS33+'місц.-районн.бюджет'!AS33+областной!AS33+інші!AS33</f>
        <v>0</v>
      </c>
      <c r="AT33" s="16">
        <f>'насел.'!AT33+пільги!AS33+субсидії!AT33+'держ.бюджет'!AT33+'місц.-районн.бюджет'!AT33+областной!AT33+інші!AT33</f>
        <v>22731.240000000005</v>
      </c>
      <c r="AU33" s="16">
        <f>'насел.'!AU33+пільги!AT33+субсидії!AU33+'держ.бюджет'!AU33+'місц.-районн.бюджет'!AU33+областной!AU33+інші!AU33</f>
        <v>19345.640000000003</v>
      </c>
      <c r="AV33" s="10">
        <f t="shared" si="10"/>
        <v>85.10595990363922</v>
      </c>
      <c r="AW33" s="16">
        <f>'насел.'!AW33+пільги!AV33+субсидії!AW33+'держ.бюджет'!AW33+'місц.-районн.бюджет'!AW33+областной!AW33+інші!AW33</f>
        <v>3385.6000000000045</v>
      </c>
      <c r="AX33" s="16">
        <f>'насел.'!AX33+пільги!AW33+субсидії!AX33+'держ.бюджет'!AX33+'місц.-районн.бюджет'!AX33+областной!AX33+інші!AX33</f>
        <v>10336.100000000006</v>
      </c>
      <c r="AY33" s="39">
        <f t="shared" si="13"/>
        <v>22731.239999999998</v>
      </c>
      <c r="AZ33" s="39">
        <f t="shared" si="14"/>
        <v>19345.640000000003</v>
      </c>
      <c r="BA33" s="39">
        <f t="shared" si="15"/>
        <v>3385.599999999995</v>
      </c>
      <c r="BB33" s="39">
        <f t="shared" si="16"/>
        <v>10336.099999999995</v>
      </c>
    </row>
    <row r="34" spans="1:54" ht="34.5" customHeight="1">
      <c r="A34" s="12" t="s">
        <v>30</v>
      </c>
      <c r="B34" s="61" t="s">
        <v>94</v>
      </c>
      <c r="C34" s="16">
        <f>'насел.'!C34+пільги!C34+субсидії!C34+'держ.бюджет'!C34+'місц.-районн.бюджет'!C34+областной!C34+інші!C34</f>
        <v>1123.8</v>
      </c>
      <c r="D34" s="16">
        <f>'насел.'!D34+пільги!D34+субсидії!D34+'держ.бюджет'!D34+'місц.-районн.бюджет'!D34+областной!D34+інші!D34</f>
        <v>921.4000000000001</v>
      </c>
      <c r="E34" s="16">
        <f>'насел.'!E34+пільги!E34+субсидії!E34+'держ.бюджет'!E34+'місц.-районн.бюджет'!E34+областной!E34+інші!E34</f>
        <v>554.6</v>
      </c>
      <c r="F34" s="10">
        <f t="shared" si="0"/>
        <v>60.19101367484263</v>
      </c>
      <c r="G34" s="16">
        <f>'насел.'!G34+пільги!G34+субсидії!G34+'держ.бюджет'!G34+'місц.-районн.бюджет'!G34+областной!G34+інші!G34</f>
        <v>817.6999999999999</v>
      </c>
      <c r="H34" s="16">
        <f>'насел.'!H34+пільги!H34+субсидії!H34+'держ.бюджет'!H34+'місц.-районн.бюджет'!H34+областной!H34+інші!H34</f>
        <v>452.5</v>
      </c>
      <c r="I34" s="10">
        <f t="shared" si="1"/>
        <v>55.33814357343769</v>
      </c>
      <c r="J34" s="16">
        <f>'насел.'!J34+пільги!J34+субсидії!J34+'держ.бюджет'!J34+'місц.-районн.бюджет'!J34+областной!J34+інші!J34</f>
        <v>1717.4</v>
      </c>
      <c r="K34" s="16">
        <f>'насел.'!K34+пільги!K34+субсидії!K34+'держ.бюджет'!K34+'місц.-районн.бюджет'!K34+областной!K34+інші!K34</f>
        <v>922.4</v>
      </c>
      <c r="L34" s="10">
        <f t="shared" si="17"/>
        <v>53.70909514382205</v>
      </c>
      <c r="M34" s="10">
        <f>'насел.'!M34+пільги!M34+субсидії!M34+'держ.бюджет'!M34+'місц.-районн.бюджет'!M34+областной!M34+інші!M34</f>
        <v>3456.5</v>
      </c>
      <c r="N34" s="10">
        <f>'насел.'!N34+пільги!N34+субсидії!N34+'держ.бюджет'!N34+'місц.-районн.бюджет'!N34+областной!N34+інші!N34</f>
        <v>1929.5000000000002</v>
      </c>
      <c r="O34" s="16">
        <f>'насел.'!O34+пільги!O34+субсидії!O34+'держ.бюджет'!O34+'місц.-районн.бюджет'!O34+областной!O34+інші!O34</f>
        <v>367.86133404491676</v>
      </c>
      <c r="P34" s="16">
        <f>'насел.'!P34+пільги!P34+субсидії!P34+'держ.бюджет'!P34+'місц.-районн.бюджет'!P34+областной!P34+інші!P34</f>
        <v>820.5</v>
      </c>
      <c r="Q34" s="16">
        <f>'насел.'!Q34+пільги!Q34+субсидії!Q34+'держ.бюджет'!Q34+'місц.-районн.бюджет'!Q34+областной!Q34+інші!Q34</f>
        <v>440.7</v>
      </c>
      <c r="R34" s="16">
        <f t="shared" si="12"/>
        <v>53.71115173674589</v>
      </c>
      <c r="S34" s="16">
        <f>'насел.'!S34+пільги!S34+субсидії!S34+'держ.бюджет'!S34+'місц.-районн.бюджет'!S34+областной!S34+інші!S34</f>
        <v>837.4000000000001</v>
      </c>
      <c r="T34" s="16">
        <f>'насел.'!T34+пільги!T34+субсидії!T34+'держ.бюджет'!T34+'місц.-районн.бюджет'!T34+областной!T34+інші!T34</f>
        <v>723.6000000000001</v>
      </c>
      <c r="U34" s="10">
        <f t="shared" si="18"/>
        <v>86.41031764986865</v>
      </c>
      <c r="V34" s="16">
        <f>'насел.'!V34+пільги!V34+субсидії!V34+'держ.бюджет'!V34+'місц.-районн.бюджет'!V34+областной!V34+інші!V34</f>
        <v>724.4999999999999</v>
      </c>
      <c r="W34" s="16">
        <f>'насел.'!W34+пільги!W34+субсидії!W34+'держ.бюджет'!W34+'місц.-районн.бюджет'!W34+областной!W34+інші!W34</f>
        <v>736.3000000000001</v>
      </c>
      <c r="X34" s="16">
        <f>'насел.'!X34+пільги!X34+субсидії!X34+'держ.бюджет'!X34+'місц.-районн.бюджет'!X34+областной!X34+інші!X34</f>
        <v>-980.2379501113263</v>
      </c>
      <c r="Y34" s="16">
        <f>'насел.'!Y34+пільги!Y34+субсидії!Y34+'держ.бюджет'!Y34+'місц.-районн.бюджет'!Y34+областной!Y34+інші!Y34</f>
        <v>2382.4</v>
      </c>
      <c r="Z34" s="16">
        <f>'насел.'!Z34+пільги!Z34+субсидії!Z34+'держ.бюджет'!Z34+'місц.-районн.бюджет'!Z34+областной!Z34+інші!Z34</f>
        <v>1900.6</v>
      </c>
      <c r="AA34" s="16">
        <f>'насел.'!AA34+пільги!AA34+субсидії!AA34+'держ.бюджет'!AA34+'місц.-районн.бюджет'!AA34+областной!AA34+інші!AA34</f>
        <v>602.3453645820042</v>
      </c>
      <c r="AB34" s="16">
        <f>'насел.'!AB34+пільги!AB34+субсидії!AB34+'держ.бюджет'!AB34+'місц.-районн.бюджет'!AB34+областной!AB34+інші!AB34</f>
        <v>852.5</v>
      </c>
      <c r="AC34" s="16">
        <f>'насел.'!AC34+пільги!AC34+субсидії!AC34+'держ.бюджет'!AC34+'місц.-районн.бюджет'!AC34+областной!AC34+інші!AC34</f>
        <v>910.3999999999999</v>
      </c>
      <c r="AD34" s="10">
        <f t="shared" si="21"/>
        <v>106.79178885630496</v>
      </c>
      <c r="AE34" s="16">
        <f>'насел.'!AE34+пільги!AE34+субсидії!AE34+'держ.бюджет'!AE34+'місц.-районн.бюджет'!AE34+областной!AE34+інші!AE34</f>
        <v>778.7</v>
      </c>
      <c r="AF34" s="16">
        <f>'насел.'!AF34+пільги!AF34+субсидії!AF34+'держ.бюджет'!AF34+'місц.-районн.бюджет'!AF34+областной!AF34+інші!AF34</f>
        <v>841.4</v>
      </c>
      <c r="AG34" s="10">
        <f t="shared" si="7"/>
        <v>108.05188134069603</v>
      </c>
      <c r="AH34" s="16">
        <f>'насел.'!AH34+пільги!AH34+субсидії!AH34+'держ.бюджет'!AH34+'місц.-районн.бюджет'!AH34+областной!AH34+інші!AH34</f>
        <v>940.8</v>
      </c>
      <c r="AI34" s="16">
        <f>'насел.'!AI34+пільги!AI34+субсидії!AI34+'держ.бюджет'!AI34+'місц.-районн.бюджет'!AI34+областной!AI34+інші!AI34</f>
        <v>747.3</v>
      </c>
      <c r="AJ34" s="10">
        <f t="shared" si="8"/>
        <v>79.43239795918367</v>
      </c>
      <c r="AK34" s="16">
        <f>'насел.'!AK34+пільги!AJ34+субсидії!AK34+'держ.бюджет'!AK34+'місц.-районн.бюджет'!AK34+областной!AK34+інші!AK34</f>
        <v>2572</v>
      </c>
      <c r="AL34" s="16">
        <f>'насел.'!AL34+пільги!AK34+субсидії!AL34+'держ.бюджет'!AL34+'місц.-районн.бюджет'!AL34+областной!AL34+інші!AL34</f>
        <v>2499.1</v>
      </c>
      <c r="AM34" s="16">
        <f>'насел.'!AM34+пільги!AL34+субсидії!AM34+'держ.бюджет'!AM34+'місц.-районн.бюджет'!AM34+областной!AM34+інші!AM34</f>
        <v>570.6746163821591</v>
      </c>
      <c r="AN34" s="16">
        <f>'насел.'!AN34+пільги!AM34+субсидії!AN34+'держ.бюджет'!AN34+'місц.-районн.бюджет'!AN34+областной!AN34+інші!AN34</f>
        <v>0</v>
      </c>
      <c r="AO34" s="16">
        <f>'насел.'!AO34+пільги!AN34+субсидії!AO34+'держ.бюджет'!AO34+'місц.-районн.бюджет'!AO34+областной!AO34+інші!AO34</f>
        <v>0</v>
      </c>
      <c r="AP34" s="16">
        <f>'насел.'!AP34+пільги!AO34+субсидії!AP34+'держ.бюджет'!AP34+'місц.-районн.бюджет'!AP34+областной!AP34+інші!AP34</f>
        <v>0</v>
      </c>
      <c r="AQ34" s="16">
        <f>'насел.'!AQ34+пільги!AP34+субсидії!AQ34+'держ.бюджет'!AQ34+'місц.-районн.бюджет'!AQ34+областной!AQ34+інші!AQ34</f>
        <v>0</v>
      </c>
      <c r="AR34" s="16">
        <f>'насел.'!AR34+пільги!AQ34+субсидії!AR34+'держ.бюджет'!AR34+'місц.-районн.бюджет'!AR34+областной!AR34+інші!AR34</f>
        <v>0</v>
      </c>
      <c r="AS34" s="16">
        <f>'насел.'!AS34+пільги!AR34+субсидії!AS34+'держ.бюджет'!AS34+'місц.-районн.бюджет'!AS34+областной!AS34+інші!AS34</f>
        <v>0</v>
      </c>
      <c r="AT34" s="16">
        <f>'насел.'!AT34+пільги!AS34+субсидії!AT34+'держ.бюджет'!AT34+'місц.-районн.бюджет'!AT34+областной!AT34+інші!AT34</f>
        <v>8410.9</v>
      </c>
      <c r="AU34" s="16">
        <f>'насел.'!AU34+пільги!AT34+субсидії!AU34+'держ.бюджет'!AU34+'місц.-районн.бюджет'!AU34+областной!AU34+інші!AU34</f>
        <v>6329.200000000001</v>
      </c>
      <c r="AV34" s="10">
        <f t="shared" si="10"/>
        <v>75.24997324899833</v>
      </c>
      <c r="AW34" s="16">
        <f>'насел.'!AW34+пільги!AV34+субсидії!AW34+'держ.бюджет'!AW34+'місц.-районн.бюджет'!AW34+областной!AW34+інші!AW34</f>
        <v>2081.7000000000003</v>
      </c>
      <c r="AX34" s="16">
        <f>'насел.'!AX34+пільги!AW34+субсидії!AX34+'держ.бюджет'!AX34+'місц.-районн.бюджет'!AX34+областной!AX34+інші!AX34</f>
        <v>3205.5</v>
      </c>
      <c r="AY34" s="39">
        <f t="shared" si="13"/>
        <v>8410.9</v>
      </c>
      <c r="AZ34" s="39">
        <f t="shared" si="14"/>
        <v>6329.2</v>
      </c>
      <c r="BA34" s="39">
        <f t="shared" si="15"/>
        <v>2081.7</v>
      </c>
      <c r="BB34" s="39">
        <f t="shared" si="16"/>
        <v>3205.499999999999</v>
      </c>
    </row>
    <row r="35" spans="1:54" ht="34.5" customHeight="1">
      <c r="A35" s="12" t="s">
        <v>30</v>
      </c>
      <c r="B35" s="61" t="s">
        <v>60</v>
      </c>
      <c r="C35" s="16">
        <f>'насел.'!C35+пільги!C35+субсидії!C35+'держ.бюджет'!C35+'місц.-районн.бюджет'!C35+областной!C35+інші!C35</f>
        <v>2723.6</v>
      </c>
      <c r="D35" s="16">
        <f>'насел.'!D35+пільги!D35+субсидії!D35+'держ.бюджет'!D35+'місц.-районн.бюджет'!D35+областной!D35+інші!D35</f>
        <v>1233.5</v>
      </c>
      <c r="E35" s="16">
        <f>'насел.'!E35+пільги!E35+субсидії!E35+'держ.бюджет'!E35+'місц.-районн.бюджет'!E35+областной!E35+інші!E35</f>
        <v>718.6</v>
      </c>
      <c r="F35" s="10">
        <f t="shared" si="0"/>
        <v>58.25699229833806</v>
      </c>
      <c r="G35" s="16">
        <f>'насел.'!G35+пільги!G35+субсидії!G35+'держ.бюджет'!G35+'місц.-районн.бюджет'!G35+областной!G35+інші!G35</f>
        <v>1041.6</v>
      </c>
      <c r="H35" s="16">
        <f>'насел.'!H35+пільги!H35+субсидії!H35+'держ.бюджет'!H35+'місц.-районн.бюджет'!H35+областной!H35+інші!H35</f>
        <v>962.4999999999999</v>
      </c>
      <c r="I35" s="10">
        <f t="shared" si="1"/>
        <v>92.40591397849462</v>
      </c>
      <c r="J35" s="16">
        <f>'насел.'!J35+пільги!J35+субсидії!J35+'держ.бюджет'!J35+'місц.-районн.бюджет'!J35+областной!J35+інші!J35</f>
        <v>1039.4</v>
      </c>
      <c r="K35" s="16">
        <f>'насел.'!K35+пільги!K35+субсидії!K35+'держ.бюджет'!K35+'місц.-районн.бюджет'!K35+областной!K35+інші!K35</f>
        <v>1141</v>
      </c>
      <c r="L35" s="10">
        <f t="shared" si="17"/>
        <v>109.77487011737539</v>
      </c>
      <c r="M35" s="10">
        <f>'насел.'!M35+пільги!M35+субсидії!M35+'держ.бюджет'!M35+'місц.-районн.бюджет'!M35+областной!M35+інші!M35</f>
        <v>3314.4999999999995</v>
      </c>
      <c r="N35" s="10">
        <f>'насел.'!N35+пільги!N35+субсидії!N35+'держ.бюджет'!N35+'місц.-районн.бюджет'!N35+областной!N35+інші!N35</f>
        <v>2822.1</v>
      </c>
      <c r="O35" s="10">
        <f t="shared" si="11"/>
        <v>85.14406396138182</v>
      </c>
      <c r="P35" s="16">
        <f>'насел.'!P35+пільги!P35+субсидії!P35+'держ.бюджет'!P35+'місц.-районн.бюджет'!P35+областной!P35+інші!P35</f>
        <v>1216.1999999999998</v>
      </c>
      <c r="Q35" s="16">
        <f>'насел.'!Q35+пільги!Q35+субсидії!Q35+'держ.бюджет'!Q35+'місц.-районн.бюджет'!Q35+областной!Q35+інші!Q35</f>
        <v>908.7</v>
      </c>
      <c r="R35" s="16">
        <f t="shared" si="12"/>
        <v>74.7163295510607</v>
      </c>
      <c r="S35" s="16">
        <f>'насел.'!S35+пільги!S35+субсидії!S35+'держ.бюджет'!S35+'місц.-районн.бюджет'!S35+областной!S35+інші!S35</f>
        <v>1161.1</v>
      </c>
      <c r="T35" s="16">
        <f>'насел.'!T35+пільги!T35+субсидії!T35+'держ.бюджет'!T35+'місц.-районн.бюджет'!T35+областной!T35+інші!T35</f>
        <v>909.5</v>
      </c>
      <c r="U35" s="10">
        <f t="shared" si="18"/>
        <v>78.33089311859445</v>
      </c>
      <c r="V35" s="16">
        <f>'насел.'!V35+пільги!V35+субсидії!V35+'держ.бюджет'!V35+'місц.-районн.бюджет'!V35+областной!V35+інші!V35</f>
        <v>1253.6999999999998</v>
      </c>
      <c r="W35" s="16">
        <f>'насел.'!W35+пільги!W35+субсидії!W35+'держ.бюджет'!W35+'місц.-районн.бюджет'!W35+областной!W35+інші!W35</f>
        <v>1083.8</v>
      </c>
      <c r="X35" s="10">
        <f t="shared" si="19"/>
        <v>86.44811358379198</v>
      </c>
      <c r="Y35" s="16">
        <f>'насел.'!Y35+пільги!Y35+субсидії!Y35+'держ.бюджет'!Y35+'місц.-районн.бюджет'!Y35+областной!Y35+інші!Y35</f>
        <v>3631.0000000000005</v>
      </c>
      <c r="Z35" s="16">
        <f>'насел.'!Z35+пільги!Z35+субсидії!Z35+'держ.бюджет'!Z35+'місц.-районн.бюджет'!Z35+областной!Z35+інші!Z35</f>
        <v>2902</v>
      </c>
      <c r="AA35" s="10">
        <f t="shared" si="20"/>
        <v>79.92288625722941</v>
      </c>
      <c r="AB35" s="16">
        <f>'насел.'!AB35+пільги!AB35+субсидії!AB35+'держ.бюджет'!AB35+'місц.-районн.бюджет'!AB35+областной!AB35+інші!AB35</f>
        <v>1221.1</v>
      </c>
      <c r="AC35" s="16">
        <f>'насел.'!AC35+пільги!AC35+субсидії!AC35+'держ.бюджет'!AC35+'місц.-районн.бюджет'!AC35+областной!AC35+інші!AC35</f>
        <v>1080.3000000000002</v>
      </c>
      <c r="AD35" s="10">
        <f t="shared" si="21"/>
        <v>88.46941282450253</v>
      </c>
      <c r="AE35" s="16">
        <f>'насел.'!AE35+пільги!AE35+субсидії!AE35+'держ.бюджет'!AE35+'місц.-районн.бюджет'!AE35+областной!AE35+інші!AE35</f>
        <v>1209.9999999999998</v>
      </c>
      <c r="AF35" s="16">
        <f>'насел.'!AF35+пільги!AF35+субсидії!AF35+'держ.бюджет'!AF35+'місц.-районн.бюджет'!AF35+областной!AF35+інші!AF35</f>
        <v>1014.5</v>
      </c>
      <c r="AG35" s="10">
        <f t="shared" si="7"/>
        <v>83.84297520661158</v>
      </c>
      <c r="AH35" s="16">
        <f>'насел.'!AH35+пільги!AH35+субсидії!AH35+'держ.бюджет'!AH35+'місц.-районн.бюджет'!AH35+областной!AH35+інші!AH35</f>
        <v>1197.4</v>
      </c>
      <c r="AI35" s="16">
        <f>'насел.'!AI35+пільги!AI35+субсидії!AI35+'держ.бюджет'!AI35+'місц.-районн.бюджет'!AI35+областной!AI35+інші!AI35</f>
        <v>1129.8</v>
      </c>
      <c r="AJ35" s="10">
        <f t="shared" si="8"/>
        <v>94.35443460831802</v>
      </c>
      <c r="AK35" s="16">
        <f>'насел.'!AK35+пільги!AJ35+субсидії!AK35+'держ.бюджет'!AK35+'місц.-районн.бюджет'!AK35+областной!AK35+інші!AK35</f>
        <v>3628.5</v>
      </c>
      <c r="AL35" s="16">
        <f>'насел.'!AL35+пільги!AK35+субсидії!AL35+'держ.бюджет'!AL35+'місц.-районн.бюджет'!AL35+областной!AL35+інші!AL35</f>
        <v>3224.6</v>
      </c>
      <c r="AM35" s="16">
        <f t="shared" si="9"/>
        <v>88.86867851729365</v>
      </c>
      <c r="AN35" s="16">
        <f>'насел.'!AN35+пільги!AM35+субсидії!AN35+'держ.бюджет'!AN35+'місц.-районн.бюджет'!AN35+областной!AN35+інші!AN35</f>
        <v>0</v>
      </c>
      <c r="AO35" s="16">
        <f>'насел.'!AO35+пільги!AN35+субсидії!AO35+'держ.бюджет'!AO35+'місц.-районн.бюджет'!AO35+областной!AO35+інші!AO35</f>
        <v>0</v>
      </c>
      <c r="AP35" s="16">
        <f>'насел.'!AP35+пільги!AO35+субсидії!AP35+'держ.бюджет'!AP35+'місц.-районн.бюджет'!AP35+областной!AP35+інші!AP35</f>
        <v>0</v>
      </c>
      <c r="AQ35" s="16">
        <f>'насел.'!AQ35+пільги!AP35+субсидії!AQ35+'держ.бюджет'!AQ35+'місц.-районн.бюджет'!AQ35+областной!AQ35+інші!AQ35</f>
        <v>0</v>
      </c>
      <c r="AR35" s="16">
        <f>'насел.'!AR35+пільги!AQ35+субсидії!AR35+'держ.бюджет'!AR35+'місц.-районн.бюджет'!AR35+областной!AR35+інші!AR35</f>
        <v>0</v>
      </c>
      <c r="AS35" s="16">
        <f>'насел.'!AS35+пільги!AR35+субсидії!AS35+'держ.бюджет'!AS35+'місц.-районн.бюджет'!AS35+областной!AS35+інші!AS35</f>
        <v>0</v>
      </c>
      <c r="AT35" s="16">
        <f>'насел.'!AT35+пільги!AS35+субсидії!AT35+'держ.бюджет'!AT35+'місц.-районн.бюджет'!AT35+областной!AT35+інші!AT35</f>
        <v>10574</v>
      </c>
      <c r="AU35" s="16">
        <f>'насел.'!AU35+пільги!AT35+субсидії!AU35+'держ.бюджет'!AU35+'місц.-районн.бюджет'!AU35+областной!AU35+інші!AU35</f>
        <v>8948.7</v>
      </c>
      <c r="AV35" s="10">
        <f t="shared" si="10"/>
        <v>84.62927936447892</v>
      </c>
      <c r="AW35" s="16">
        <f>'насел.'!AW35+пільги!AV35+субсидії!AW35+'держ.бюджет'!AW35+'місц.-районн.бюджет'!AW35+областной!AW35+інші!AW35</f>
        <v>1625.2999999999993</v>
      </c>
      <c r="AX35" s="16">
        <f>'насел.'!AX35+пільги!AW35+субсидії!AX35+'держ.бюджет'!AX35+'місц.-районн.бюджет'!AX35+областной!AX35+інші!AX35</f>
        <v>4348.9</v>
      </c>
      <c r="AY35" s="39">
        <f t="shared" si="13"/>
        <v>10573.999999999998</v>
      </c>
      <c r="AZ35" s="39">
        <f t="shared" si="14"/>
        <v>8948.7</v>
      </c>
      <c r="BA35" s="39">
        <f t="shared" si="15"/>
        <v>1625.2999999999975</v>
      </c>
      <c r="BB35" s="39">
        <f t="shared" si="16"/>
        <v>4348.899999999998</v>
      </c>
    </row>
    <row r="36" spans="1:54" ht="34.5" customHeight="1">
      <c r="A36" s="12" t="s">
        <v>31</v>
      </c>
      <c r="B36" s="114" t="s">
        <v>61</v>
      </c>
      <c r="C36" s="16">
        <f>'насел.'!C36+пільги!C36+субсидії!C36+'держ.бюджет'!C36+'місц.-районн.бюджет'!C36+областной!C36+інші!C36</f>
        <v>-7.099999999999987</v>
      </c>
      <c r="D36" s="16">
        <f>'насел.'!D36+пільги!D36+субсидії!D36+'держ.бюджет'!D36+'місц.-районн.бюджет'!D36+областной!D36+інші!D36</f>
        <v>412.09999999999997</v>
      </c>
      <c r="E36" s="16">
        <f>'насел.'!E36+пільги!E36+субсидії!E36+'держ.бюджет'!E36+'місц.-районн.бюджет'!E36+областной!E36+інші!E36</f>
        <v>316.7</v>
      </c>
      <c r="F36" s="10">
        <f t="shared" si="0"/>
        <v>76.85027905848095</v>
      </c>
      <c r="G36" s="16">
        <f>'насел.'!G36+пільги!G36+субсидії!G36+'держ.бюджет'!G36+'місц.-районн.бюджет'!G36+областной!G36+інші!G36</f>
        <v>431.5</v>
      </c>
      <c r="H36" s="16">
        <f>'насел.'!H36+пільги!H36+субсидії!H36+'держ.бюджет'!H36+'місц.-районн.бюджет'!H36+областной!H36+інші!H36</f>
        <v>407.49999999999994</v>
      </c>
      <c r="I36" s="10">
        <f t="shared" si="1"/>
        <v>94.43800695249129</v>
      </c>
      <c r="J36" s="16">
        <f>'насел.'!J36+пільги!J36+субсидії!J36+'держ.бюджет'!J36+'місц.-районн.бюджет'!J36+областной!J36+інші!J36</f>
        <v>390.2999999999999</v>
      </c>
      <c r="K36" s="16">
        <f>'насел.'!K36+пільги!K36+субсидії!K36+'держ.бюджет'!K36+'місц.-районн.бюджет'!K36+областной!K36+інші!K36</f>
        <v>338.2</v>
      </c>
      <c r="L36" s="10">
        <f t="shared" si="17"/>
        <v>86.65129387650528</v>
      </c>
      <c r="M36" s="10">
        <f>'насел.'!M36+пільги!M36+субсидії!M36+'держ.бюджет'!M36+'місц.-районн.бюджет'!M36+областной!M36+інші!M36</f>
        <v>1233.8999999999999</v>
      </c>
      <c r="N36" s="10">
        <f>'насел.'!N36+пільги!N36+субсидії!N36+'держ.бюджет'!N36+'місц.-районн.бюджет'!N36+областной!N36+інші!N36</f>
        <v>1062.3999999999999</v>
      </c>
      <c r="O36" s="10">
        <f t="shared" si="11"/>
        <v>86.10098063052111</v>
      </c>
      <c r="P36" s="16">
        <f>'насел.'!P36+пільги!P36+субсидії!P36+'держ.бюджет'!P36+'місц.-районн.бюджет'!P36+областной!P36+інші!P36</f>
        <v>429.99999999999994</v>
      </c>
      <c r="Q36" s="16">
        <f>'насел.'!Q36+пільги!Q36+субсидії!Q36+'держ.бюджет'!Q36+'місц.-районн.бюджет'!Q36+областной!Q36+інші!Q36</f>
        <v>366.29999999999995</v>
      </c>
      <c r="R36" s="16">
        <f t="shared" si="12"/>
        <v>85.18604651162791</v>
      </c>
      <c r="S36" s="16">
        <f>'насел.'!S36+пільги!S36+субсидії!S36+'держ.бюджет'!S36+'місц.-районн.бюджет'!S36+областной!S36+інші!S36</f>
        <v>481.1</v>
      </c>
      <c r="T36" s="16">
        <f>'насел.'!T36+пільги!T36+субсидії!T36+'держ.бюджет'!T36+'місц.-районн.бюджет'!T36+областной!T36+інші!T36</f>
        <v>366.6</v>
      </c>
      <c r="U36" s="10">
        <f t="shared" si="18"/>
        <v>76.2003741425899</v>
      </c>
      <c r="V36" s="16">
        <f>'насел.'!V36+пільги!V36+субсидії!V36+'держ.бюджет'!V36+'місц.-районн.бюджет'!V36+областной!V36+інші!V36</f>
        <v>466.2999999999999</v>
      </c>
      <c r="W36" s="16">
        <f>'насел.'!W36+пільги!W36+субсидії!W36+'держ.бюджет'!W36+'місц.-районн.бюджет'!W36+областной!W36+інші!W36</f>
        <v>359.6</v>
      </c>
      <c r="X36" s="10">
        <f t="shared" si="19"/>
        <v>77.11773536349992</v>
      </c>
      <c r="Y36" s="16">
        <f>'насел.'!Y36+пільги!Y36+субсидії!Y36+'держ.бюджет'!Y36+'місц.-районн.бюджет'!Y36+областной!Y36+інші!Y36</f>
        <v>1377.3999999999999</v>
      </c>
      <c r="Z36" s="16">
        <f>'насел.'!Z36+пільги!Z36+субсидії!Z36+'держ.бюджет'!Z36+'місц.-районн.бюджет'!Z36+областной!Z36+інші!Z36</f>
        <v>1092.5</v>
      </c>
      <c r="AA36" s="10">
        <f t="shared" si="20"/>
        <v>79.31610280238131</v>
      </c>
      <c r="AB36" s="16">
        <f>'насел.'!AB36+пільги!AB36+субсидії!AB36+'держ.бюджет'!AB36+'місц.-районн.бюджет'!AB36+областной!AB36+інші!AB36</f>
        <v>409.9</v>
      </c>
      <c r="AC36" s="16">
        <f>'насел.'!AC36+пільги!AC36+субсидії!AC36+'держ.бюджет'!AC36+'місц.-районн.бюджет'!AC36+областной!AC36+інші!AC36</f>
        <v>462.99999999999994</v>
      </c>
      <c r="AD36" s="10">
        <f t="shared" si="21"/>
        <v>112.95437911685778</v>
      </c>
      <c r="AE36" s="16">
        <f>'насел.'!AE36+пільги!AE36+субсидії!AE36+'держ.бюджет'!AE36+'місц.-районн.бюджет'!AE36+областной!AE36+інші!AE36</f>
        <v>484.6</v>
      </c>
      <c r="AF36" s="16">
        <f>'насел.'!AF36+пільги!AF36+субсидії!AF36+'держ.бюджет'!AF36+'місц.-районн.бюджет'!AF36+областной!AF36+інші!AF36</f>
        <v>382.40000000000003</v>
      </c>
      <c r="AG36" s="10">
        <f t="shared" si="7"/>
        <v>78.91044160132068</v>
      </c>
      <c r="AH36" s="16">
        <f>'насел.'!AH36+пільги!AH36+субсидії!AH36+'держ.бюджет'!AH36+'місц.-районн.бюджет'!AH36+областной!AH36+інші!AH36</f>
        <v>475.00000000000006</v>
      </c>
      <c r="AI36" s="16">
        <f>'насел.'!AI36+пільги!AI36+субсидії!AI36+'держ.бюджет'!AI36+'місц.-районн.бюджет'!AI36+областной!AI36+інші!AI36</f>
        <v>436.6000000000001</v>
      </c>
      <c r="AJ36" s="10">
        <f t="shared" si="8"/>
        <v>91.91578947368421</v>
      </c>
      <c r="AK36" s="16">
        <f>'насел.'!AK36+пільги!AJ36+субсидії!AK36+'держ.бюджет'!AK36+'місц.-районн.бюджет'!AK36+областной!AK36+інші!AK36</f>
        <v>1369.5000000000002</v>
      </c>
      <c r="AL36" s="16">
        <f>'насел.'!AL36+пільги!AK36+субсидії!AL36+'держ.бюджет'!AL36+'місц.-районн.бюджет'!AL36+областной!AL36+інші!AL36</f>
        <v>1282</v>
      </c>
      <c r="AM36" s="16">
        <f t="shared" si="9"/>
        <v>93.6108068638189</v>
      </c>
      <c r="AN36" s="16">
        <f>'насел.'!AN36+пільги!AM36+субсидії!AN36+'держ.бюджет'!AN36+'місц.-районн.бюджет'!AN36+областной!AN36+інші!AN36</f>
        <v>0</v>
      </c>
      <c r="AO36" s="16">
        <f>'насел.'!AO36+пільги!AN36+субсидії!AO36+'держ.бюджет'!AO36+'місц.-районн.бюджет'!AO36+областной!AO36+інші!AO36</f>
        <v>0</v>
      </c>
      <c r="AP36" s="16">
        <f>'насел.'!AP36+пільги!AO36+субсидії!AP36+'держ.бюджет'!AP36+'місц.-районн.бюджет'!AP36+областной!AP36+інші!AP36</f>
        <v>0</v>
      </c>
      <c r="AQ36" s="16">
        <f>'насел.'!AQ36+пільги!AP36+субсидії!AQ36+'держ.бюджет'!AQ36+'місц.-районн.бюджет'!AQ36+областной!AQ36+інші!AQ36</f>
        <v>0</v>
      </c>
      <c r="AR36" s="16">
        <f>'насел.'!AR36+пільги!AQ36+субсидії!AR36+'держ.бюджет'!AR36+'місц.-районн.бюджет'!AR36+областной!AR36+інші!AR36</f>
        <v>0</v>
      </c>
      <c r="AS36" s="16">
        <f>'насел.'!AS36+пільги!AR36+субсидії!AS36+'держ.бюджет'!AS36+'місц.-районн.бюджет'!AS36+областной!AS36+інші!AS36</f>
        <v>0</v>
      </c>
      <c r="AT36" s="16">
        <f>'насел.'!AT36+пільги!AS36+субсидії!AT36+'держ.бюджет'!AT36+'місц.-районн.бюджет'!AT36+областной!AT36+інші!AT36</f>
        <v>3980.8000000000006</v>
      </c>
      <c r="AU36" s="16">
        <f>'насел.'!AU36+пільги!AT36+субсидії!AU36+'держ.бюджет'!AU36+'місц.-районн.бюджет'!AU36+областной!AU36+інші!AU36</f>
        <v>3436.9</v>
      </c>
      <c r="AV36" s="10">
        <f t="shared" si="10"/>
        <v>86.33691720257234</v>
      </c>
      <c r="AW36" s="16">
        <f>'насел.'!AW36+пільги!AV36+субсидії!AW36+'держ.бюджет'!AW36+'місц.-районн.бюджет'!AW36+областной!AW36+інші!AW36</f>
        <v>543.9000000000001</v>
      </c>
      <c r="AX36" s="16">
        <f>'насел.'!AX36+пільги!AW36+субсидії!AX36+'держ.бюджет'!AX36+'місц.-районн.бюджет'!AX36+областной!AX36+інші!AX36</f>
        <v>536.8000000000002</v>
      </c>
      <c r="AY36" s="39">
        <f t="shared" si="13"/>
        <v>3980.7999999999997</v>
      </c>
      <c r="AZ36" s="39">
        <f t="shared" si="14"/>
        <v>3436.8999999999996</v>
      </c>
      <c r="BA36" s="39">
        <f t="shared" si="15"/>
        <v>543.9000000000001</v>
      </c>
      <c r="BB36" s="39">
        <f t="shared" si="16"/>
        <v>536.8000000000002</v>
      </c>
    </row>
    <row r="37" spans="1:54" ht="34.5" customHeight="1">
      <c r="A37" s="12" t="s">
        <v>32</v>
      </c>
      <c r="B37" s="115" t="s">
        <v>62</v>
      </c>
      <c r="C37" s="16">
        <f>'насел.'!C37+пільги!C37+субсидії!C37+'держ.бюджет'!C37+'місц.-районн.бюджет'!C37+областной!C37+інші!C37</f>
        <v>3541.7</v>
      </c>
      <c r="D37" s="16">
        <f>'насел.'!D37+пільги!D37+субсидії!D37+'держ.бюджет'!D37+'місц.-районн.бюджет'!D37+областной!D37+інші!D37</f>
        <v>1622.1</v>
      </c>
      <c r="E37" s="16">
        <f>'насел.'!E37+пільги!E37+субсидії!E37+'держ.бюджет'!E37+'місц.-районн.бюджет'!E37+областной!E37+інші!E37</f>
        <v>2788.7999999999997</v>
      </c>
      <c r="F37" s="10">
        <f t="shared" si="0"/>
        <v>171.92528204179766</v>
      </c>
      <c r="G37" s="16">
        <f>'насел.'!G37+пільги!G37+субсидії!G37+'держ.бюджет'!G37+'місц.-районн.бюджет'!G37+областной!G37+інші!G37</f>
        <v>2714.6</v>
      </c>
      <c r="H37" s="16">
        <f>'насел.'!H37+пільги!H37+субсидії!H37+'держ.бюджет'!H37+'місц.-районн.бюджет'!H37+областной!H37+інші!H37</f>
        <v>3114.7999999999997</v>
      </c>
      <c r="I37" s="10">
        <f t="shared" si="1"/>
        <v>114.74250349959479</v>
      </c>
      <c r="J37" s="16">
        <f>'насел.'!J37+пільги!J37+субсидії!J37+'держ.бюджет'!J37+'місц.-районн.бюджет'!J37+областной!J37+інші!J37</f>
        <v>2655.6</v>
      </c>
      <c r="K37" s="16">
        <f>'насел.'!K37+пільги!K37+субсидії!K37+'держ.бюджет'!K37+'місц.-районн.бюджет'!K37+областной!K37+інші!K37</f>
        <v>2643.3999999999996</v>
      </c>
      <c r="L37" s="10">
        <f t="shared" si="17"/>
        <v>99.5405934628709</v>
      </c>
      <c r="M37" s="10">
        <f>'насел.'!M37+пільги!M37+субсидії!M37+'держ.бюджет'!M37+'місц.-районн.бюджет'!M37+областной!M37+інші!M37</f>
        <v>6992.300000000001</v>
      </c>
      <c r="N37" s="10">
        <f>'насел.'!N37+пільги!N37+субсидії!N37+'держ.бюджет'!N37+'місц.-районн.бюджет'!N37+областной!N37+інші!N37</f>
        <v>8547</v>
      </c>
      <c r="O37" s="10">
        <f t="shared" si="11"/>
        <v>122.23445790369405</v>
      </c>
      <c r="P37" s="16">
        <f>'насел.'!P37+пільги!P37+субсидії!P37+'держ.бюджет'!P37+'місц.-районн.бюджет'!P37+областной!P37+інші!P37</f>
        <v>2652.7999999999997</v>
      </c>
      <c r="Q37" s="16">
        <f>'насел.'!Q37+пільги!Q37+субсидії!Q37+'держ.бюджет'!Q37+'місц.-районн.бюджет'!Q37+областной!Q37+інші!Q37</f>
        <v>2215.2999999999997</v>
      </c>
      <c r="R37" s="16">
        <f t="shared" si="12"/>
        <v>83.50799155609168</v>
      </c>
      <c r="S37" s="16">
        <f>'насел.'!S37+пільги!S37+субсидії!S37+'держ.бюджет'!S37+'місц.-районн.бюджет'!S37+областной!S37+інші!S37</f>
        <v>4001.2000000000003</v>
      </c>
      <c r="T37" s="16">
        <f>'насел.'!T37+пільги!T37+субсидії!T37+'держ.бюджет'!T37+'місц.-районн.бюджет'!T37+областной!T37+інші!T37</f>
        <v>2528.3</v>
      </c>
      <c r="U37" s="10">
        <f t="shared" si="18"/>
        <v>63.188543436968914</v>
      </c>
      <c r="V37" s="16">
        <f>'насел.'!V37+пільги!V37+субсидії!V37+'держ.бюджет'!V37+'місц.-районн.бюджет'!V37+областной!V37+інші!V37</f>
        <v>2925.3999999999996</v>
      </c>
      <c r="W37" s="16">
        <f>'насел.'!W37+пільги!W37+субсидії!W37+'держ.бюджет'!W37+'місц.-районн.бюджет'!W37+областной!W37+інші!W37</f>
        <v>2831.1000000000004</v>
      </c>
      <c r="X37" s="10">
        <f t="shared" si="19"/>
        <v>96.77650919532374</v>
      </c>
      <c r="Y37" s="16">
        <f>'насел.'!Y37+пільги!Y37+субсидії!Y37+'держ.бюджет'!Y37+'місц.-районн.бюджет'!Y37+областной!Y37+інші!Y37</f>
        <v>9579.400000000001</v>
      </c>
      <c r="Z37" s="16">
        <f>'насел.'!Z37+пільги!Z37+субсидії!Z37+'держ.бюджет'!Z37+'місц.-районн.бюджет'!Z37+областной!Z37+інші!Z37</f>
        <v>7574.699999999999</v>
      </c>
      <c r="AA37" s="10">
        <f t="shared" si="20"/>
        <v>79.0728020544084</v>
      </c>
      <c r="AB37" s="16">
        <f>'насел.'!AB37+пільги!AB37+субсидії!AB37+'держ.бюджет'!AB37+'місц.-районн.бюджет'!AB37+областной!AB37+інші!AB37</f>
        <v>2955.6</v>
      </c>
      <c r="AC37" s="16">
        <f>'насел.'!AC37+пільги!AC37+субсидії!AC37+'держ.бюджет'!AC37+'місц.-районн.бюджет'!AC37+областной!AC37+інші!AC37</f>
        <v>2840.8999999999996</v>
      </c>
      <c r="AD37" s="10">
        <f t="shared" si="21"/>
        <v>96.11923128975504</v>
      </c>
      <c r="AE37" s="16">
        <f>'насел.'!AE37+пільги!AE37+субсидії!AE37+'держ.бюджет'!AE37+'місц.-районн.бюджет'!AE37+областной!AE37+інші!AE37</f>
        <v>2932.0000000000005</v>
      </c>
      <c r="AF37" s="16">
        <f>'насел.'!AF37+пільги!AF37+субсидії!AF37+'держ.бюджет'!AF37+'місц.-районн.бюджет'!AF37+областной!AF37+інші!AF37</f>
        <v>2434.0000000000005</v>
      </c>
      <c r="AG37" s="10">
        <f t="shared" si="7"/>
        <v>83.0150068212824</v>
      </c>
      <c r="AH37" s="16">
        <f>'насел.'!AH37+пільги!AH37+субсидії!AH37+'держ.бюджет'!AH37+'місц.-районн.бюджет'!AH37+областной!AH37+інші!AH37</f>
        <v>3084.5</v>
      </c>
      <c r="AI37" s="16">
        <f>'насел.'!AI37+пільги!AI37+субсидії!AI37+'держ.бюджет'!AI37+'місц.-районн.бюджет'!AI37+областной!AI37+інші!AI37</f>
        <v>3322.7000000000003</v>
      </c>
      <c r="AJ37" s="10">
        <f t="shared" si="8"/>
        <v>107.72248338466528</v>
      </c>
      <c r="AK37" s="16">
        <f>'насел.'!AK37+пільги!AJ37+субсидії!AK37+'держ.бюджет'!AK37+'місц.-районн.бюджет'!AK37+областной!AK37+інші!AK37</f>
        <v>8972.099999999999</v>
      </c>
      <c r="AL37" s="16">
        <f>'насел.'!AL37+пільги!AK37+субсидії!AL37+'держ.бюджет'!AL37+'місц.-районн.бюджет'!AL37+областной!AL37+інші!AL37</f>
        <v>8597.6</v>
      </c>
      <c r="AM37" s="16">
        <f t="shared" si="9"/>
        <v>95.82594933181754</v>
      </c>
      <c r="AN37" s="16">
        <f>'насел.'!AN37+пільги!AM37+субсидії!AN37+'держ.бюджет'!AN37+'місц.-районн.бюджет'!AN37+областной!AN37+інші!AN37</f>
        <v>0</v>
      </c>
      <c r="AO37" s="16">
        <f>'насел.'!AO37+пільги!AN37+субсидії!AO37+'держ.бюджет'!AO37+'місц.-районн.бюджет'!AO37+областной!AO37+інші!AO37</f>
        <v>0</v>
      </c>
      <c r="AP37" s="16">
        <f>'насел.'!AP37+пільги!AO37+субсидії!AP37+'держ.бюджет'!AP37+'місц.-районн.бюджет'!AP37+областной!AP37+інші!AP37</f>
        <v>0</v>
      </c>
      <c r="AQ37" s="16">
        <f>'насел.'!AQ37+пільги!AP37+субсидії!AQ37+'держ.бюджет'!AQ37+'місц.-районн.бюджет'!AQ37+областной!AQ37+інші!AQ37</f>
        <v>0</v>
      </c>
      <c r="AR37" s="16">
        <f>'насел.'!AR37+пільги!AQ37+субсидії!AR37+'держ.бюджет'!AR37+'місц.-районн.бюджет'!AR37+областной!AR37+інші!AR37</f>
        <v>0</v>
      </c>
      <c r="AS37" s="16">
        <f>'насел.'!AS37+пільги!AR37+субсидії!AS37+'держ.бюджет'!AS37+'місц.-районн.бюджет'!AS37+областной!AS37+інші!AS37</f>
        <v>0</v>
      </c>
      <c r="AT37" s="16">
        <f>'насел.'!AT37+пільги!AS37+субсидії!AT37+'держ.бюджет'!AT37+'місц.-районн.бюджет'!AT37+областной!AT37+інші!AT37</f>
        <v>25543.800000000003</v>
      </c>
      <c r="AU37" s="16">
        <f>'насел.'!AU37+пільги!AT37+субсидії!AU37+'держ.бюджет'!AU37+'місц.-районн.бюджет'!AU37+областной!AU37+інші!AU37</f>
        <v>24719.299999999996</v>
      </c>
      <c r="AV37" s="10">
        <f t="shared" si="10"/>
        <v>96.7722108691737</v>
      </c>
      <c r="AW37" s="16">
        <f>'насел.'!AW37+пільги!AV37+субсидії!AW37+'держ.бюджет'!AW37+'місц.-районн.бюджет'!AW37+областной!AW37+інші!AW37</f>
        <v>824.5000000000039</v>
      </c>
      <c r="AX37" s="16">
        <f>'насел.'!AX37+пільги!AW37+субсидії!AX37+'держ.бюджет'!AX37+'місц.-районн.бюджет'!AX37+областной!AX37+інші!AX37</f>
        <v>4366.200000000003</v>
      </c>
      <c r="AY37" s="39">
        <f t="shared" si="13"/>
        <v>25543.8</v>
      </c>
      <c r="AZ37" s="39">
        <f t="shared" si="14"/>
        <v>24719.3</v>
      </c>
      <c r="BA37" s="39">
        <f t="shared" si="15"/>
        <v>824.5</v>
      </c>
      <c r="BB37" s="39">
        <f t="shared" si="16"/>
        <v>4366.200000000001</v>
      </c>
    </row>
    <row r="38" spans="1:54" ht="34.5" customHeight="1">
      <c r="A38" s="12" t="s">
        <v>33</v>
      </c>
      <c r="B38" s="115" t="s">
        <v>95</v>
      </c>
      <c r="C38" s="16">
        <f>'насел.'!C38+пільги!C38+субсидії!C38+'держ.бюджет'!C38+'місц.-районн.бюджет'!C38+областной!C38+інші!C38</f>
        <v>-8.900000000000091</v>
      </c>
      <c r="D38" s="16">
        <f>'насел.'!D38+пільги!D38+субсидії!D38+'держ.бюджет'!D38+'місц.-районн.бюджет'!D38+областной!D38+інші!D38</f>
        <v>3602.8</v>
      </c>
      <c r="E38" s="16">
        <f>'насел.'!E38+пільги!E38+субсидії!E38+'держ.бюджет'!E38+'місц.-районн.бюджет'!E38+областной!E38+інші!E38</f>
        <v>2457</v>
      </c>
      <c r="F38" s="10">
        <f t="shared" si="0"/>
        <v>68.19695792161652</v>
      </c>
      <c r="G38" s="16">
        <f>'насел.'!G38+пільги!G38+субсидії!G38+'держ.бюджет'!G38+'місц.-районн.бюджет'!G38+областной!G38+інші!G38</f>
        <v>3581.0999999999995</v>
      </c>
      <c r="H38" s="16">
        <f>'насел.'!H38+пільги!H38+субсидії!H38+'держ.бюджет'!H38+'місц.-районн.бюджет'!H38+областной!H38+інші!H38</f>
        <v>2689.5999999999995</v>
      </c>
      <c r="I38" s="10">
        <f t="shared" si="1"/>
        <v>75.10541453743262</v>
      </c>
      <c r="J38" s="16">
        <f>'насел.'!J38+пільги!J38+субсидії!J38+'держ.бюджет'!J38+'місц.-районн.бюджет'!J38+областной!J38+інші!J38</f>
        <v>3607.7000000000007</v>
      </c>
      <c r="K38" s="16">
        <f>'насел.'!K38+пільги!K38+субсидії!K38+'держ.бюджет'!K38+'місц.-районн.бюджет'!K38+областной!K38+інші!K38</f>
        <v>3034.2000000000003</v>
      </c>
      <c r="L38" s="10">
        <f t="shared" si="17"/>
        <v>84.10344540843195</v>
      </c>
      <c r="M38" s="10">
        <f>'насел.'!M38+пільги!M38+субсидії!M38+'держ.бюджет'!M38+'місц.-районн.бюджет'!M38+областной!M38+інші!M38</f>
        <v>10791.599999999999</v>
      </c>
      <c r="N38" s="10">
        <f>'насел.'!N38+пільги!N38+субсидії!N38+'держ.бюджет'!N38+'місц.-районн.бюджет'!N38+областной!N38+інші!N38</f>
        <v>8180.799999999999</v>
      </c>
      <c r="O38" s="10">
        <f t="shared" si="11"/>
        <v>75.80710923310724</v>
      </c>
      <c r="P38" s="16">
        <f>'насел.'!P38+пільги!P38+субсидії!P38+'держ.бюджет'!P38+'місц.-районн.бюджет'!P38+областной!P38+інші!P38</f>
        <v>3517.7</v>
      </c>
      <c r="Q38" s="16">
        <f>'насел.'!Q38+пільги!Q38+субсидії!Q38+'держ.бюджет'!Q38+'місц.-районн.бюджет'!Q38+областной!Q38+інші!Q38</f>
        <v>3450.4000000000005</v>
      </c>
      <c r="R38" s="16">
        <f t="shared" si="12"/>
        <v>98.08681809136654</v>
      </c>
      <c r="S38" s="16">
        <f>'насел.'!S38+пільги!S38+субсидії!S38+'держ.бюджет'!S38+'місц.-районн.бюджет'!S38+областной!S38+інші!S38</f>
        <v>3464.3</v>
      </c>
      <c r="T38" s="16">
        <f>'насел.'!T38+пільги!T38+субсидії!T38+'держ.бюджет'!T38+'місц.-районн.бюджет'!T38+областной!T38+інші!T38</f>
        <v>3163</v>
      </c>
      <c r="U38" s="10">
        <f t="shared" si="18"/>
        <v>91.30271627745864</v>
      </c>
      <c r="V38" s="16">
        <f>'насел.'!V38+пільги!V38+субсидії!V38+'держ.бюджет'!V38+'місц.-районн.бюджет'!V38+областной!V38+інші!V38</f>
        <v>3707</v>
      </c>
      <c r="W38" s="16">
        <f>'насел.'!W38+пільги!W38+субсидії!W38+'держ.бюджет'!W38+'місц.-районн.бюджет'!W38+областной!W38+інші!W38</f>
        <v>3071.0999999999995</v>
      </c>
      <c r="X38" s="10">
        <f t="shared" si="19"/>
        <v>82.84596708929051</v>
      </c>
      <c r="Y38" s="16">
        <f>'насел.'!Y38+пільги!Y38+субсидії!Y38+'держ.бюджет'!Y38+'місц.-районн.бюджет'!Y38+областной!Y38+інші!Y38</f>
        <v>10689</v>
      </c>
      <c r="Z38" s="16">
        <f>'насел.'!Z38+пільги!Z38+субсидії!Z38+'держ.бюджет'!Z38+'місц.-районн.бюджет'!Z38+областной!Z38+інші!Z38</f>
        <v>9684.5</v>
      </c>
      <c r="AA38" s="10">
        <f t="shared" si="20"/>
        <v>90.60248853962017</v>
      </c>
      <c r="AB38" s="16">
        <f>'насел.'!AB38+пільги!AB38+субсидії!AB38+'держ.бюджет'!AB38+'місц.-районн.бюджет'!AB38+областной!AB38+інші!AB38</f>
        <v>3669.9</v>
      </c>
      <c r="AC38" s="16">
        <f>'насел.'!AC38+пільги!AC38+субсидії!AC38+'держ.бюджет'!AC38+'місц.-районн.бюджет'!AC38+областной!AC38+інші!AC38</f>
        <v>2700.2999999999997</v>
      </c>
      <c r="AD38" s="10">
        <f t="shared" si="21"/>
        <v>73.57966157115997</v>
      </c>
      <c r="AE38" s="16">
        <f>'насел.'!AE38+пільги!AE38+субсидії!AE38+'держ.бюджет'!AE38+'місц.-районн.бюджет'!AE38+областной!AE38+інші!AE38</f>
        <v>2184.2</v>
      </c>
      <c r="AF38" s="16">
        <f>'насел.'!AF38+пільги!AF38+субсидії!AF38+'держ.бюджет'!AF38+'місц.-районн.бюджет'!AF38+областной!AF38+інші!AF38</f>
        <v>3622.2</v>
      </c>
      <c r="AG38" s="10">
        <f t="shared" si="7"/>
        <v>165.83646186246682</v>
      </c>
      <c r="AH38" s="16">
        <f>'насел.'!AH38+пільги!AH38+субсидії!AH38+'держ.бюджет'!AH38+'місц.-районн.бюджет'!AH38+областной!AH38+інші!AH38</f>
        <v>3499.7</v>
      </c>
      <c r="AI38" s="16">
        <f>'насел.'!AI38+пільги!AI38+субсидії!AI38+'держ.бюджет'!AI38+'місц.-районн.бюджет'!AI38+областной!AI38+інші!AI38</f>
        <v>3623.3</v>
      </c>
      <c r="AJ38" s="10">
        <f t="shared" si="8"/>
        <v>103.53173129125355</v>
      </c>
      <c r="AK38" s="16">
        <f>'насел.'!AK38+пільги!AJ38+субсидії!AK38+'держ.бюджет'!AK38+'місц.-районн.бюджет'!AK38+областной!AK38+інші!AK38</f>
        <v>9353.8</v>
      </c>
      <c r="AL38" s="16">
        <f>'насел.'!AL38+пільги!AK38+субсидії!AL38+'держ.бюджет'!AL38+'місц.-районн.бюджет'!AL38+областной!AL38+інші!AL38</f>
        <v>9945.8</v>
      </c>
      <c r="AM38" s="16">
        <f t="shared" si="9"/>
        <v>106.32897859693387</v>
      </c>
      <c r="AN38" s="16">
        <f>'насел.'!AN38+пільги!AM38+субсидії!AN38+'держ.бюджет'!AN38+'місц.-районн.бюджет'!AN38+областной!AN38+інші!AN38</f>
        <v>0</v>
      </c>
      <c r="AO38" s="16">
        <f>'насел.'!AO38+пільги!AN38+субсидії!AO38+'держ.бюджет'!AO38+'місц.-районн.бюджет'!AO38+областной!AO38+інші!AO38</f>
        <v>0</v>
      </c>
      <c r="AP38" s="16">
        <f>'насел.'!AP38+пільги!AO38+субсидії!AP38+'держ.бюджет'!AP38+'місц.-районн.бюджет'!AP38+областной!AP38+інші!AP38</f>
        <v>0</v>
      </c>
      <c r="AQ38" s="16">
        <f>'насел.'!AQ38+пільги!AP38+субсидії!AQ38+'держ.бюджет'!AQ38+'місц.-районн.бюджет'!AQ38+областной!AQ38+інші!AQ38</f>
        <v>0</v>
      </c>
      <c r="AR38" s="16">
        <f>'насел.'!AR38+пільги!AQ38+субсидії!AR38+'держ.бюджет'!AR38+'місц.-районн.бюджет'!AR38+областной!AR38+інші!AR38</f>
        <v>0</v>
      </c>
      <c r="AS38" s="16">
        <f>'насел.'!AS38+пільги!AR38+субсидії!AS38+'держ.бюджет'!AS38+'місц.-районн.бюджет'!AS38+областной!AS38+інші!AS38</f>
        <v>0</v>
      </c>
      <c r="AT38" s="16">
        <f>'насел.'!AT38+пільги!AS38+субсидії!AT38+'держ.бюджет'!AT38+'місц.-районн.бюджет'!AT38+областной!AT38+інші!AT38</f>
        <v>30834.4</v>
      </c>
      <c r="AU38" s="16">
        <f>'насел.'!AU38+пільги!AT38+субсидії!AU38+'держ.бюджет'!AU38+'місц.-районн.бюджет'!AU38+областной!AU38+інші!AU38</f>
        <v>27811.100000000002</v>
      </c>
      <c r="AV38" s="10">
        <f t="shared" si="10"/>
        <v>90.19504190125315</v>
      </c>
      <c r="AW38" s="16">
        <f>'насел.'!AW38+пільги!AV38+субсидії!AW38+'держ.бюджет'!AW38+'місц.-районн.бюджет'!AW38+областной!AW38+інші!AW38</f>
        <v>3023.3000000000025</v>
      </c>
      <c r="AX38" s="16">
        <f>'насел.'!AX38+пільги!AW38+субсидії!AX38+'держ.бюджет'!AX38+'місц.-районн.бюджет'!AX38+областной!AX38+інші!AX38</f>
        <v>3014.400000000004</v>
      </c>
      <c r="AY38" s="39">
        <f t="shared" si="13"/>
        <v>30834.4</v>
      </c>
      <c r="AZ38" s="39">
        <f t="shared" si="14"/>
        <v>27811.1</v>
      </c>
      <c r="BA38" s="39">
        <f t="shared" si="15"/>
        <v>3023.300000000003</v>
      </c>
      <c r="BB38" s="39">
        <f t="shared" si="16"/>
        <v>3014.4000000000015</v>
      </c>
    </row>
    <row r="39" spans="1:54" ht="34.5" customHeight="1">
      <c r="A39" s="12" t="s">
        <v>34</v>
      </c>
      <c r="B39" s="115" t="s">
        <v>4</v>
      </c>
      <c r="C39" s="16">
        <f>'насел.'!C39+пільги!C39+субсидії!C39+'держ.бюджет'!C39+'місц.-районн.бюджет'!C39+областной!C39+інші!C39</f>
        <v>17426.7</v>
      </c>
      <c r="D39" s="16">
        <f>'насел.'!D39+пільги!D39+субсидії!D39+'держ.бюджет'!D39+'місц.-районн.бюджет'!D39+областной!D39+інші!D39</f>
        <v>5685.799999999999</v>
      </c>
      <c r="E39" s="16">
        <f>'насел.'!E39+пільги!E39+субсидії!E39+'держ.бюджет'!E39+'місц.-районн.бюджет'!E39+областной!E39+інші!E39</f>
        <v>2181.7</v>
      </c>
      <c r="F39" s="10">
        <f t="shared" si="0"/>
        <v>38.37102958246861</v>
      </c>
      <c r="G39" s="16">
        <f>'насел.'!G39+пільги!G39+субсидії!G39+'держ.бюджет'!G39+'місц.-районн.бюджет'!G39+областной!G39+інші!G39</f>
        <v>514.3000000000001</v>
      </c>
      <c r="H39" s="16">
        <f>'насел.'!H39+пільги!H39+субсидії!H39+'держ.бюджет'!H39+'місц.-районн.бюджет'!H39+областной!H39+інші!H39</f>
        <v>3747.6</v>
      </c>
      <c r="I39" s="10">
        <f t="shared" si="1"/>
        <v>728.6797588955861</v>
      </c>
      <c r="J39" s="16">
        <f>'насел.'!J39+пільги!J39+субсидії!J39+'держ.бюджет'!J39+'місц.-районн.бюджет'!J39+областной!J39+інші!J39</f>
        <v>5414.600000000001</v>
      </c>
      <c r="K39" s="16">
        <f>'насел.'!K39+пільги!K39+субсидії!K39+'держ.бюджет'!K39+'місц.-районн.бюджет'!K39+областной!K39+інші!K39</f>
        <v>4836.000000000001</v>
      </c>
      <c r="L39" s="10">
        <f t="shared" si="17"/>
        <v>89.314076755439</v>
      </c>
      <c r="M39" s="10">
        <f>'насел.'!M39+пільги!M39+субсидії!M39+'держ.бюджет'!M39+'місц.-районн.бюджет'!M39+областной!M39+інші!M39</f>
        <v>11614.7</v>
      </c>
      <c r="N39" s="10">
        <f>'насел.'!N39+пільги!N39+субсидії!N39+'держ.бюджет'!N39+'місц.-районн.бюджет'!N39+областной!N39+інші!N39</f>
        <v>10765.300000000001</v>
      </c>
      <c r="O39" s="10">
        <f t="shared" si="11"/>
        <v>92.6868537284648</v>
      </c>
      <c r="P39" s="16">
        <f>'насел.'!P39+пільги!P39+субсидії!P39+'держ.бюджет'!P39+'місц.-районн.бюджет'!P39+областной!P39+інші!P39</f>
        <v>5303.299999999999</v>
      </c>
      <c r="Q39" s="16">
        <f>'насел.'!Q39+пільги!Q39+субсидії!Q39+'держ.бюджет'!Q39+'місц.-районн.бюджет'!Q39+областной!Q39+інші!Q39</f>
        <v>4568.2</v>
      </c>
      <c r="R39" s="16">
        <f t="shared" si="12"/>
        <v>86.13881922576509</v>
      </c>
      <c r="S39" s="16">
        <f>'насел.'!S39+пільги!S39+субсидії!S39+'держ.бюджет'!S39+'місц.-районн.бюджет'!S39+областной!S39+інші!S39</f>
        <v>14837.599999999999</v>
      </c>
      <c r="T39" s="16">
        <f>'насел.'!T39+пільги!T39+субсидії!T39+'держ.бюджет'!T39+'місц.-районн.бюджет'!T39+областной!T39+інші!T39</f>
        <v>5065.400000000001</v>
      </c>
      <c r="U39" s="10">
        <f t="shared" si="18"/>
        <v>34.13894430366098</v>
      </c>
      <c r="V39" s="16">
        <f>'насел.'!V39+пільги!V39+субсидії!V39+'держ.бюджет'!V39+'місц.-районн.бюджет'!V39+областной!V39+інші!V39</f>
        <v>5836.3</v>
      </c>
      <c r="W39" s="16">
        <f>'насел.'!W39+пільги!W39+субсидії!W39+'держ.бюджет'!W39+'місц.-районн.бюджет'!W39+областной!W39+інші!W39</f>
        <v>4415.200000000001</v>
      </c>
      <c r="X39" s="10">
        <f t="shared" si="19"/>
        <v>75.65066908829226</v>
      </c>
      <c r="Y39" s="16">
        <f>'насел.'!Y39+пільги!Y39+субсидії!Y39+'держ.бюджет'!Y39+'місц.-районн.бюджет'!Y39+областной!Y39+інші!Y39</f>
        <v>25977.2</v>
      </c>
      <c r="Z39" s="16">
        <f>'насел.'!Z39+пільги!Z39+субсидії!Z39+'держ.бюджет'!Z39+'місц.-районн.бюджет'!Z39+областной!Z39+інші!Z39</f>
        <v>14048.8</v>
      </c>
      <c r="AA39" s="10">
        <f t="shared" si="20"/>
        <v>54.081271268650966</v>
      </c>
      <c r="AB39" s="16">
        <f>'насел.'!AB39+пільги!AB39+субсидії!AB39+'держ.бюджет'!AB39+'місц.-районн.бюджет'!AB39+областной!AB39+інші!AB39</f>
        <v>5531.899999999999</v>
      </c>
      <c r="AC39" s="16">
        <f>'насел.'!AC39+пільги!AC39+субсидії!AC39+'держ.бюджет'!AC39+'місц.-районн.бюджет'!AC39+областной!AC39+інші!AC39</f>
        <v>5536.800000000001</v>
      </c>
      <c r="AD39" s="10">
        <f t="shared" si="21"/>
        <v>100.08857716155394</v>
      </c>
      <c r="AE39" s="16">
        <f>'насел.'!AE39+пільги!AE39+субсидії!AE39+'держ.бюджет'!AE39+'місц.-районн.бюджет'!AE39+областной!AE39+інші!AE39</f>
        <v>5291.200000000001</v>
      </c>
      <c r="AF39" s="16">
        <f>'насел.'!AF39+пільги!AF39+субсидії!AF39+'держ.бюджет'!AF39+'місц.-районн.бюджет'!AF39+областной!AF39+інші!AF39</f>
        <v>4731.3</v>
      </c>
      <c r="AG39" s="10">
        <f t="shared" si="7"/>
        <v>89.4182794073178</v>
      </c>
      <c r="AH39" s="16">
        <f>'насел.'!AH39+пільги!AH39+субсидії!AH39+'держ.бюджет'!AH39+'місц.-районн.бюджет'!AH39+областной!AH39+інші!AH39</f>
        <v>5567.5</v>
      </c>
      <c r="AI39" s="16">
        <f>'насел.'!AI39+пільги!AI39+субсидії!AI39+'держ.бюджет'!AI39+'місц.-районн.бюджет'!AI39+областной!AI39+інші!AI39</f>
        <v>6584.200000000001</v>
      </c>
      <c r="AJ39" s="10">
        <f t="shared" si="8"/>
        <v>118.2613381230355</v>
      </c>
      <c r="AK39" s="16">
        <f>'насел.'!AK39+пільги!AJ39+субсидії!AK39+'держ.бюджет'!AK39+'місц.-районн.бюджет'!AK39+областной!AK39+інші!AK39</f>
        <v>16390.6</v>
      </c>
      <c r="AL39" s="16">
        <f>'насел.'!AL39+пільги!AK39+субсидії!AL39+'держ.бюджет'!AL39+'місц.-районн.бюджет'!AL39+областной!AL39+інші!AL39</f>
        <v>16852.299999999996</v>
      </c>
      <c r="AM39" s="16">
        <f t="shared" si="9"/>
        <v>102.81685844325403</v>
      </c>
      <c r="AN39" s="16">
        <f>'насел.'!AN39+пільги!AM39+субсидії!AN39+'держ.бюджет'!AN39+'місц.-районн.бюджет'!AN39+областной!AN39+інші!AN39</f>
        <v>0</v>
      </c>
      <c r="AO39" s="16">
        <f>'насел.'!AO39+пільги!AN39+субсидії!AO39+'держ.бюджет'!AO39+'місц.-районн.бюджет'!AO39+областной!AO39+інші!AO39</f>
        <v>0</v>
      </c>
      <c r="AP39" s="16">
        <f>'насел.'!AP39+пільги!AO39+субсидії!AP39+'держ.бюджет'!AP39+'місц.-районн.бюджет'!AP39+областной!AP39+інші!AP39</f>
        <v>0</v>
      </c>
      <c r="AQ39" s="16">
        <f>'насел.'!AQ39+пільги!AP39+субсидії!AQ39+'держ.бюджет'!AQ39+'місц.-районн.бюджет'!AQ39+областной!AQ39+інші!AQ39</f>
        <v>0</v>
      </c>
      <c r="AR39" s="16">
        <f>'насел.'!AR39+пільги!AQ39+субсидії!AR39+'держ.бюджет'!AR39+'місц.-районн.бюджет'!AR39+областной!AR39+інші!AR39</f>
        <v>0</v>
      </c>
      <c r="AS39" s="16">
        <f>'насел.'!AS39+пільги!AR39+субсидії!AS39+'держ.бюджет'!AS39+'місц.-районн.бюджет'!AS39+областной!AS39+інші!AS39</f>
        <v>0</v>
      </c>
      <c r="AT39" s="16">
        <f>'насел.'!AT39+пільги!AS39+субсидії!AT39+'держ.бюджет'!AT39+'місц.-районн.бюджет'!AT39+областной!AT39+інші!AT39</f>
        <v>53982.5</v>
      </c>
      <c r="AU39" s="16">
        <f>'насел.'!AU39+пільги!AT39+субсидії!AU39+'держ.бюджет'!AU39+'місц.-районн.бюджет'!AU39+областной!AU39+інші!AU39</f>
        <v>41666.4</v>
      </c>
      <c r="AV39" s="10">
        <f t="shared" si="10"/>
        <v>77.18501366183486</v>
      </c>
      <c r="AW39" s="16">
        <f>'насел.'!AW39+пільги!AV39+субсидії!AW39+'держ.бюджет'!AW39+'місц.-районн.бюджет'!AW39+областной!AW39+інші!AW39</f>
        <v>12316.100000000002</v>
      </c>
      <c r="AX39" s="16">
        <f>'насел.'!AX39+пільги!AW39+субсидії!AX39+'держ.бюджет'!AX39+'місц.-районн.бюджет'!AX39+областной!AX39+інші!AX39</f>
        <v>29742.8</v>
      </c>
      <c r="AY39" s="39">
        <f t="shared" si="13"/>
        <v>53982.5</v>
      </c>
      <c r="AZ39" s="39">
        <f t="shared" si="14"/>
        <v>41666.40000000001</v>
      </c>
      <c r="BA39" s="39">
        <f t="shared" si="15"/>
        <v>12316.099999999991</v>
      </c>
      <c r="BB39" s="39">
        <f t="shared" si="16"/>
        <v>29742.79999999999</v>
      </c>
    </row>
    <row r="40" spans="1:54" ht="34.5" customHeight="1">
      <c r="A40" s="12" t="s">
        <v>35</v>
      </c>
      <c r="B40" s="115" t="s">
        <v>63</v>
      </c>
      <c r="C40" s="16">
        <f>'насел.'!C40+пільги!C40+субсидії!C40+'держ.бюджет'!C40+'місц.-районн.бюджет'!C40+областной!C40+інші!C40</f>
        <v>2099</v>
      </c>
      <c r="D40" s="16">
        <f>'насел.'!D40+пільги!D40+субсидії!D40+'держ.бюджет'!D40+'місц.-районн.бюджет'!D40+областной!D40+інші!D40</f>
        <v>884.8</v>
      </c>
      <c r="E40" s="16">
        <f>'насел.'!E40+пільги!E40+субсидії!E40+'держ.бюджет'!E40+'місц.-районн.бюджет'!E40+областной!E40+інші!E40</f>
        <v>705.1</v>
      </c>
      <c r="F40" s="10">
        <f t="shared" si="0"/>
        <v>79.69032549728753</v>
      </c>
      <c r="G40" s="16">
        <f>'насел.'!G40+пільги!G40+субсидії!G40+'держ.бюджет'!G40+'місц.-районн.бюджет'!G40+областной!G40+інші!G40</f>
        <v>854.4</v>
      </c>
      <c r="H40" s="16">
        <f>'насел.'!H40+пільги!H40+субсидії!H40+'держ.бюджет'!H40+'місц.-районн.бюджет'!H40+областной!H40+інші!H40</f>
        <v>809.9</v>
      </c>
      <c r="I40" s="10">
        <f t="shared" si="1"/>
        <v>94.79166666666666</v>
      </c>
      <c r="J40" s="16">
        <f>'насел.'!J40+пільги!J40+субсидії!J40+'держ.бюджет'!J40+'місц.-районн.бюджет'!J40+областной!J40+інші!J40</f>
        <v>816.2</v>
      </c>
      <c r="K40" s="16">
        <f>'насел.'!K40+пільги!K40+субсидії!K40+'держ.бюджет'!K40+'місц.-районн.бюджет'!K40+областной!K40+інші!K40</f>
        <v>787.5999999999999</v>
      </c>
      <c r="L40" s="10">
        <f t="shared" si="17"/>
        <v>96.49595687331535</v>
      </c>
      <c r="M40" s="10">
        <f>'насел.'!M40+пільги!M40+субсидії!M40+'держ.бюджет'!M40+'місц.-районн.бюджет'!M40+областной!M40+інші!M40</f>
        <v>2555.3999999999996</v>
      </c>
      <c r="N40" s="10">
        <f>'насел.'!N40+пільги!N40+субсидії!N40+'держ.бюджет'!N40+'місц.-районн.бюджет'!N40+областной!N40+інші!N40</f>
        <v>2302.6</v>
      </c>
      <c r="O40" s="10">
        <f t="shared" si="11"/>
        <v>90.10722391797763</v>
      </c>
      <c r="P40" s="16">
        <f>'насел.'!P40+пільги!P40+субсидії!P40+'держ.бюджет'!P40+'місц.-районн.бюджет'!P40+областной!P40+інші!P40</f>
        <v>855.4000000000001</v>
      </c>
      <c r="Q40" s="16">
        <f>'насел.'!Q40+пільги!Q40+субсидії!Q40+'держ.бюджет'!Q40+'місц.-районн.бюджет'!Q40+областной!Q40+інші!Q40</f>
        <v>740.7</v>
      </c>
      <c r="R40" s="16">
        <f t="shared" si="12"/>
        <v>86.59106850596213</v>
      </c>
      <c r="S40" s="16">
        <f>'насел.'!S40+пільги!S40+субсидії!S40+'держ.бюджет'!S40+'місц.-районн.бюджет'!S40+областной!S40+інші!S40</f>
        <v>891.0999999999999</v>
      </c>
      <c r="T40" s="16">
        <f>'насел.'!T40+пільги!T40+субсидії!T40+'держ.бюджет'!T40+'місц.-районн.бюджет'!T40+областной!T40+інші!T40</f>
        <v>896.7</v>
      </c>
      <c r="U40" s="10">
        <f t="shared" si="18"/>
        <v>100.6284367635507</v>
      </c>
      <c r="V40" s="16">
        <f>'насел.'!V40+пільги!V40+субсидії!V40+'держ.бюджет'!V40+'місц.-районн.бюджет'!V40+областной!V40+інші!V40</f>
        <v>831.3999999999999</v>
      </c>
      <c r="W40" s="16">
        <f>'насел.'!W40+пільги!W40+субсидії!W40+'держ.бюджет'!W40+'місц.-районн.бюджет'!W40+областной!W40+інші!W40</f>
        <v>607.7</v>
      </c>
      <c r="X40" s="10">
        <f t="shared" si="19"/>
        <v>73.09357709886939</v>
      </c>
      <c r="Y40" s="16">
        <f>'насел.'!Y40+пільги!Y40+субсидії!Y40+'держ.бюджет'!Y40+'місц.-районн.бюджет'!Y40+областной!Y40+інші!Y40</f>
        <v>2577.8999999999996</v>
      </c>
      <c r="Z40" s="16">
        <f>'насел.'!Z40+пільги!Z40+субсидії!Z40+'держ.бюджет'!Z40+'місц.-районн.бюджет'!Z40+областной!Z40+інші!Z40</f>
        <v>2245.1</v>
      </c>
      <c r="AA40" s="10">
        <f t="shared" si="20"/>
        <v>87.09026727181039</v>
      </c>
      <c r="AB40" s="16">
        <f>'насел.'!AB40+пільги!AB40+субсидії!AB40+'держ.бюджет'!AB40+'місц.-районн.бюджет'!AB40+областной!AB40+інші!AB40</f>
        <v>868.9000000000001</v>
      </c>
      <c r="AC40" s="16">
        <f>'насел.'!AC40+пільги!AC40+субсидії!AC40+'держ.бюджет'!AC40+'місц.-районн.бюджет'!AC40+областной!AC40+інші!AC40</f>
        <v>836.3</v>
      </c>
      <c r="AD40" s="10">
        <f t="shared" si="21"/>
        <v>96.24812981931176</v>
      </c>
      <c r="AE40" s="16">
        <f>'насел.'!AE40+пільги!AE40+субсидії!AE40+'держ.бюджет'!AE40+'місц.-районн.бюджет'!AE40+областной!AE40+інші!AE40</f>
        <v>827.3</v>
      </c>
      <c r="AF40" s="16">
        <f>'насел.'!AF40+пільги!AF40+субсидії!AF40+'держ.бюджет'!AF40+'місц.-районн.бюджет'!AF40+областной!AF40+інші!AF40</f>
        <v>789.3</v>
      </c>
      <c r="AG40" s="10">
        <f t="shared" si="7"/>
        <v>95.40674483258795</v>
      </c>
      <c r="AH40" s="16">
        <f>'насел.'!AH40+пільги!AH40+субсидії!AH40+'держ.бюджет'!AH40+'місц.-районн.бюджет'!AH40+областной!AH40+інші!AH40</f>
        <v>845.5</v>
      </c>
      <c r="AI40" s="16">
        <f>'насел.'!AI40+пільги!AI40+субсидії!AI40+'держ.бюджет'!AI40+'місц.-районн.бюджет'!AI40+областной!AI40+інші!AI40</f>
        <v>802.9000000000001</v>
      </c>
      <c r="AJ40" s="10">
        <f t="shared" si="8"/>
        <v>94.96156120638676</v>
      </c>
      <c r="AK40" s="16">
        <f>'насел.'!AK40+пільги!AJ40+субсидії!AK40+'держ.бюджет'!AK40+'місц.-районн.бюджет'!AK40+областной!AK40+інші!AK40</f>
        <v>2541.7000000000003</v>
      </c>
      <c r="AL40" s="16">
        <f>'насел.'!AL40+пільги!AK40+субсидії!AL40+'держ.бюджет'!AL40+'місц.-районн.бюджет'!AL40+областной!AL40+інші!AL40</f>
        <v>2428.5</v>
      </c>
      <c r="AM40" s="16">
        <f t="shared" si="9"/>
        <v>95.5462879175355</v>
      </c>
      <c r="AN40" s="16">
        <f>'насел.'!AN40+пільги!AM40+субсидії!AN40+'держ.бюджет'!AN40+'місц.-районн.бюджет'!AN40+областной!AN40+інші!AN40</f>
        <v>0</v>
      </c>
      <c r="AO40" s="16">
        <f>'насел.'!AO40+пільги!AN40+субсидії!AO40+'держ.бюджет'!AO40+'місц.-районн.бюджет'!AO40+областной!AO40+інші!AO40</f>
        <v>0</v>
      </c>
      <c r="AP40" s="16">
        <f>'насел.'!AP40+пільги!AO40+субсидії!AP40+'держ.бюджет'!AP40+'місц.-районн.бюджет'!AP40+областной!AP40+інші!AP40</f>
        <v>0</v>
      </c>
      <c r="AQ40" s="16">
        <f>'насел.'!AQ40+пільги!AP40+субсидії!AQ40+'держ.бюджет'!AQ40+'місц.-районн.бюджет'!AQ40+областной!AQ40+інші!AQ40</f>
        <v>0</v>
      </c>
      <c r="AR40" s="16">
        <f>'насел.'!AR40+пільги!AQ40+субсидії!AR40+'держ.бюджет'!AR40+'місц.-районн.бюджет'!AR40+областной!AR40+інші!AR40</f>
        <v>0</v>
      </c>
      <c r="AS40" s="16">
        <f>'насел.'!AS40+пільги!AR40+субсидії!AS40+'держ.бюджет'!AS40+'місц.-районн.бюджет'!AS40+областной!AS40+інші!AS40</f>
        <v>0</v>
      </c>
      <c r="AT40" s="16">
        <f>'насел.'!AT40+пільги!AS40+субсидії!AT40+'держ.бюджет'!AT40+'місц.-районн.бюджет'!AT40+областной!AT40+інші!AT40</f>
        <v>7675</v>
      </c>
      <c r="AU40" s="16">
        <f>'насел.'!AU40+пільги!AT40+субсидії!AU40+'держ.бюджет'!AU40+'місц.-районн.бюджет'!AU40+областной!AU40+інші!AU40</f>
        <v>6976.200000000001</v>
      </c>
      <c r="AV40" s="10">
        <f t="shared" si="10"/>
        <v>90.89511400651466</v>
      </c>
      <c r="AW40" s="16">
        <f>'насел.'!AW40+пільги!AV40+субсидії!AW40+'держ.бюджет'!AW40+'місц.-районн.бюджет'!AW40+областной!AW40+інші!AW40</f>
        <v>698.7999999999994</v>
      </c>
      <c r="AX40" s="16">
        <f>'насел.'!AX40+пільги!AW40+субсидії!AX40+'держ.бюджет'!AX40+'місц.-районн.бюджет'!AX40+областной!AX40+інші!AX40</f>
        <v>2797.799999999999</v>
      </c>
      <c r="AY40" s="39">
        <f t="shared" si="13"/>
        <v>7674.999999999999</v>
      </c>
      <c r="AZ40" s="39">
        <f t="shared" si="14"/>
        <v>6976.200000000001</v>
      </c>
      <c r="BA40" s="39">
        <f t="shared" si="15"/>
        <v>698.7999999999984</v>
      </c>
      <c r="BB40" s="39">
        <f t="shared" si="16"/>
        <v>2797.7999999999993</v>
      </c>
    </row>
    <row r="41" spans="1:54" ht="34.5" customHeight="1">
      <c r="A41" s="12" t="s">
        <v>36</v>
      </c>
      <c r="B41" s="59" t="s">
        <v>64</v>
      </c>
      <c r="C41" s="16">
        <f>'насел.'!C41+пільги!C41+субсидії!C41+'держ.бюджет'!C41+'місц.-районн.бюджет'!C41+областной!C41+інші!C41</f>
        <v>1967.1</v>
      </c>
      <c r="D41" s="16">
        <f>'насел.'!D41+пільги!D41+субсидії!D41+'держ.бюджет'!D41+'місц.-районн.бюджет'!D41+областной!D41+інші!D41</f>
        <v>2227.9</v>
      </c>
      <c r="E41" s="16">
        <f>'насел.'!E41+пільги!E41+субсидії!E41+'держ.бюджет'!E41+'місц.-районн.бюджет'!E41+областной!E41+інші!E41</f>
        <v>1986</v>
      </c>
      <c r="F41" s="10">
        <f t="shared" si="0"/>
        <v>89.14224157278154</v>
      </c>
      <c r="G41" s="16">
        <f>'насел.'!G41+пільги!G41+субсидії!G41+'держ.бюджет'!G41+'місц.-районн.бюджет'!G41+областной!G41+інші!G41</f>
        <v>2367.3999999999996</v>
      </c>
      <c r="H41" s="16">
        <f>'насел.'!H41+пільги!H41+субсидії!H41+'держ.бюджет'!H41+'місц.-районн.бюджет'!H41+областной!H41+інші!H41</f>
        <v>2518.3</v>
      </c>
      <c r="I41" s="10">
        <f t="shared" si="1"/>
        <v>106.37408127059223</v>
      </c>
      <c r="J41" s="16">
        <f>'насел.'!J41+пільги!J41+субсидії!J41+'держ.бюджет'!J41+'місц.-районн.бюджет'!J41+областной!J41+інші!J41</f>
        <v>2425.1</v>
      </c>
      <c r="K41" s="16">
        <f>'насел.'!K41+пільги!K41+субсидії!K41+'держ.бюджет'!K41+'місц.-районн.бюджет'!K41+областной!K41+інші!K41</f>
        <v>1631.6999999999998</v>
      </c>
      <c r="L41" s="10">
        <f t="shared" si="17"/>
        <v>67.28382334749082</v>
      </c>
      <c r="M41" s="10">
        <f>'насел.'!M41+пільги!M41+субсидії!M41+'держ.бюджет'!M41+'місц.-районн.бюджет'!M41+областной!M41+інші!M41</f>
        <v>7020.4</v>
      </c>
      <c r="N41" s="10">
        <f>'насел.'!N41+пільги!N41+субсидії!N41+'держ.бюджет'!N41+'місц.-районн.бюджет'!N41+областной!N41+інші!N41</f>
        <v>6136</v>
      </c>
      <c r="O41" s="10">
        <f t="shared" si="11"/>
        <v>87.40242721212466</v>
      </c>
      <c r="P41" s="16">
        <f>'насел.'!P41+пільги!P41+субсидії!P41+'держ.бюджет'!P41+'місц.-районн.бюджет'!P41+областной!P41+інші!P41</f>
        <v>2288.6</v>
      </c>
      <c r="Q41" s="16">
        <f>'насел.'!Q41+пільги!Q41+субсидії!Q41+'держ.бюджет'!Q41+'місц.-районн.бюджет'!Q41+областной!Q41+інші!Q41</f>
        <v>1610.7</v>
      </c>
      <c r="R41" s="16">
        <f t="shared" si="12"/>
        <v>70.37927117014769</v>
      </c>
      <c r="S41" s="16">
        <f>'насел.'!S41+пільги!S41+субсидії!S41+'держ.бюджет'!S41+'місц.-районн.бюджет'!S41+областной!S41+інші!S41</f>
        <v>2425.8999999999996</v>
      </c>
      <c r="T41" s="16">
        <f>'насел.'!T41+пільги!T41+субсидії!T41+'держ.бюджет'!T41+'місц.-районн.бюджет'!T41+областной!T41+інші!T41</f>
        <v>1783.8</v>
      </c>
      <c r="U41" s="10">
        <f t="shared" si="18"/>
        <v>73.53147285543511</v>
      </c>
      <c r="V41" s="16">
        <f>'насел.'!V41+пільги!V41+субсидії!V41+'держ.бюджет'!V41+'місц.-районн.бюджет'!V41+областной!V41+інші!V41</f>
        <v>2318.6</v>
      </c>
      <c r="W41" s="16">
        <f>'насел.'!W41+пільги!W41+субсидії!W41+'держ.бюджет'!W41+'місц.-районн.бюджет'!W41+областной!W41+інші!W41</f>
        <v>1752.3</v>
      </c>
      <c r="X41" s="10">
        <f t="shared" si="19"/>
        <v>75.57577848701803</v>
      </c>
      <c r="Y41" s="16">
        <f>'насел.'!Y41+пільги!Y41+субсидії!Y41+'держ.бюджет'!Y41+'місц.-районн.бюджет'!Y41+областной!Y41+інші!Y41</f>
        <v>7033.100000000001</v>
      </c>
      <c r="Z41" s="16">
        <f>'насел.'!Z41+пільги!Z41+субсидії!Z41+'держ.бюджет'!Z41+'місц.-районн.бюджет'!Z41+областной!Z41+інші!Z41</f>
        <v>5146.799999999999</v>
      </c>
      <c r="AA41" s="10">
        <f t="shared" si="20"/>
        <v>73.17967894669489</v>
      </c>
      <c r="AB41" s="16">
        <f>'насел.'!AB41+пільги!AB41+субсидії!AB41+'держ.бюджет'!AB41+'місц.-районн.бюджет'!AB41+областной!AB41+інші!AB41</f>
        <v>2456.1000000000004</v>
      </c>
      <c r="AC41" s="16">
        <f>'насел.'!AC41+пільги!AC41+субсидії!AC41+'держ.бюджет'!AC41+'місц.-районн.бюджет'!AC41+областной!AC41+інші!AC41</f>
        <v>1827</v>
      </c>
      <c r="AD41" s="10">
        <f t="shared" si="21"/>
        <v>74.3862220593624</v>
      </c>
      <c r="AE41" s="16">
        <f>'насел.'!AE41+пільги!AE41+субсидії!AE41+'держ.бюджет'!AE41+'місц.-районн.бюджет'!AE41+областной!AE41+інші!AE41</f>
        <v>2309.6000000000004</v>
      </c>
      <c r="AF41" s="16">
        <f>'насел.'!AF41+пільги!AF41+субсидії!AF41+'держ.бюджет'!AF41+'місц.-районн.бюджет'!AF41+областной!AF41+інші!AF41</f>
        <v>1890.1000000000001</v>
      </c>
      <c r="AG41" s="10">
        <f t="shared" si="7"/>
        <v>81.83668167648077</v>
      </c>
      <c r="AH41" s="16">
        <f>'насел.'!AH41+пільги!AH41+субсидії!AH41+'держ.бюджет'!AH41+'місц.-районн.бюджет'!AH41+областной!AH41+інші!AH41</f>
        <v>2450.89</v>
      </c>
      <c r="AI41" s="16">
        <f>'насел.'!AI41+пільги!AI41+субсидії!AI41+'держ.бюджет'!AI41+'місц.-районн.бюджет'!AI41+областной!AI41+інші!AI41</f>
        <v>2075.7</v>
      </c>
      <c r="AJ41" s="10">
        <f t="shared" si="8"/>
        <v>84.69168342928486</v>
      </c>
      <c r="AK41" s="16">
        <f>'насел.'!AK41+пільги!AJ41+субсидії!AK41+'держ.бюджет'!AK41+'місц.-районн.бюджет'!AK41+областной!AK41+інші!AK41</f>
        <v>7216.589999999999</v>
      </c>
      <c r="AL41" s="16">
        <f>'насел.'!AL41+пільги!AK41+субсидії!AL41+'держ.бюджет'!AL41+'місц.-районн.бюджет'!AL41+областной!AL41+інші!AL41</f>
        <v>5792.8</v>
      </c>
      <c r="AM41" s="16">
        <f t="shared" si="9"/>
        <v>80.27059871767692</v>
      </c>
      <c r="AN41" s="16">
        <f>'насел.'!AN41+пільги!AM41+субсидії!AN41+'держ.бюджет'!AN41+'місц.-районн.бюджет'!AN41+областной!AN41+інші!AN41</f>
        <v>0</v>
      </c>
      <c r="AO41" s="16">
        <f>'насел.'!AO41+пільги!AN41+субсидії!AO41+'держ.бюджет'!AO41+'місц.-районн.бюджет'!AO41+областной!AO41+інші!AO41</f>
        <v>0</v>
      </c>
      <c r="AP41" s="16">
        <f>'насел.'!AP41+пільги!AO41+субсидії!AP41+'держ.бюджет'!AP41+'місц.-районн.бюджет'!AP41+областной!AP41+інші!AP41</f>
        <v>0</v>
      </c>
      <c r="AQ41" s="16">
        <f>'насел.'!AQ41+пільги!AP41+субсидії!AQ41+'держ.бюджет'!AQ41+'місц.-районн.бюджет'!AQ41+областной!AQ41+інші!AQ41</f>
        <v>0</v>
      </c>
      <c r="AR41" s="16">
        <f>'насел.'!AR41+пільги!AQ41+субсидії!AR41+'держ.бюджет'!AR41+'місц.-районн.бюджет'!AR41+областной!AR41+інші!AR41</f>
        <v>0</v>
      </c>
      <c r="AS41" s="16">
        <f>'насел.'!AS41+пільги!AR41+субсидії!AS41+'держ.бюджет'!AS41+'місц.-районн.бюджет'!AS41+областной!AS41+інші!AS41</f>
        <v>0</v>
      </c>
      <c r="AT41" s="16">
        <f>'насел.'!AT41+пільги!AS41+субсидії!AT41+'держ.бюджет'!AT41+'місц.-районн.бюджет'!AT41+областной!AT41+інші!AT41</f>
        <v>21270.089999999993</v>
      </c>
      <c r="AU41" s="16">
        <f>'насел.'!AU41+пільги!AT41+субсидії!AU41+'держ.бюджет'!AU41+'місц.-районн.бюджет'!AU41+областной!AU41+інші!AU41</f>
        <v>17075.600000000002</v>
      </c>
      <c r="AV41" s="10">
        <f t="shared" si="10"/>
        <v>80.27986717498614</v>
      </c>
      <c r="AW41" s="16">
        <f>'насел.'!AW41+пільги!AV41+субсидії!AW41+'держ.бюджет'!AW41+'місц.-районн.бюджет'!AW41+областной!AW41+інші!AW41</f>
        <v>4194.489999999998</v>
      </c>
      <c r="AX41" s="16">
        <f>'насел.'!AX41+пільги!AW41+субсидії!AX41+'держ.бюджет'!AX41+'місц.-районн.бюджет'!AX41+областной!AX41+інші!AX41</f>
        <v>6161.589999999998</v>
      </c>
      <c r="AY41" s="39">
        <f t="shared" si="13"/>
        <v>21270.089999999997</v>
      </c>
      <c r="AZ41" s="39">
        <f t="shared" si="14"/>
        <v>17075.6</v>
      </c>
      <c r="BA41" s="39">
        <f t="shared" si="15"/>
        <v>4194.489999999998</v>
      </c>
      <c r="BB41" s="39">
        <f t="shared" si="16"/>
        <v>6161.5899999999965</v>
      </c>
    </row>
    <row r="42" spans="1:54" ht="34.5" customHeight="1">
      <c r="A42" s="12" t="s">
        <v>37</v>
      </c>
      <c r="B42" s="115" t="s">
        <v>48</v>
      </c>
      <c r="C42" s="16">
        <f>'насел.'!C42+пільги!C42+субсидії!C42+'держ.бюджет'!C42+'місц.-районн.бюджет'!C42+областной!C42+інші!C42</f>
        <v>3762.8</v>
      </c>
      <c r="D42" s="16">
        <f>'насел.'!D42+пільги!D42+субсидії!D42+'держ.бюджет'!D42+'місц.-районн.бюджет'!D42+областной!D42+інші!D42</f>
        <v>2078.5</v>
      </c>
      <c r="E42" s="16">
        <f>'насел.'!E42+пільги!E42+субсидії!E42+'держ.бюджет'!E42+'місц.-районн.бюджет'!E42+областной!E42+інші!E42</f>
        <v>1787.1</v>
      </c>
      <c r="F42" s="10">
        <f t="shared" si="0"/>
        <v>85.98027423622806</v>
      </c>
      <c r="G42" s="16">
        <f>'насел.'!G42+пільги!G42+субсидії!G42+'держ.бюджет'!G42+'місц.-районн.бюджет'!G42+областной!G42+інші!G42</f>
        <v>1941.8999999999999</v>
      </c>
      <c r="H42" s="16">
        <f>'насел.'!H42+пільги!H42+субсидії!H42+'держ.бюджет'!H42+'місц.-районн.бюджет'!H42+областной!H42+інші!H42</f>
        <v>1802.3999999999999</v>
      </c>
      <c r="I42" s="10">
        <f t="shared" si="1"/>
        <v>92.81631391935733</v>
      </c>
      <c r="J42" s="16">
        <f>'насел.'!J42+пільги!J42+субсидії!J42+'держ.бюджет'!J42+'місц.-районн.бюджет'!J42+областной!J42+інші!J42</f>
        <v>1924.8999999999999</v>
      </c>
      <c r="K42" s="16">
        <f>'насел.'!K42+пільги!K42+субсидії!K42+'держ.бюджет'!K42+'місц.-районн.бюджет'!K42+областной!K42+інші!K42</f>
        <v>1718.8000000000002</v>
      </c>
      <c r="L42" s="10">
        <f t="shared" si="17"/>
        <v>89.29295028313162</v>
      </c>
      <c r="M42" s="10">
        <f>'насел.'!M42+пільги!M42+субсидії!M42+'держ.бюджет'!M42+'місц.-районн.бюджет'!M42+областной!M42+інші!M42</f>
        <v>5945.300000000001</v>
      </c>
      <c r="N42" s="10">
        <f>'насел.'!N42+пільги!N42+субсидії!N42+'держ.бюджет'!N42+'місц.-районн.бюджет'!N42+областной!N42+інші!N42</f>
        <v>5308.299999999999</v>
      </c>
      <c r="O42" s="10">
        <f t="shared" si="11"/>
        <v>89.28565421425326</v>
      </c>
      <c r="P42" s="16">
        <f>'насел.'!P42+пільги!P42+субсидії!P42+'держ.бюджет'!P42+'місц.-районн.бюджет'!P42+областной!P42+інші!P42</f>
        <v>1909.8999999999999</v>
      </c>
      <c r="Q42" s="16">
        <f>'насел.'!Q42+пільги!Q42+субсидії!Q42+'держ.бюджет'!Q42+'місц.-районн.бюджет'!Q42+областной!Q42+інші!Q42</f>
        <v>1811.3999999999999</v>
      </c>
      <c r="R42" s="16">
        <f t="shared" si="12"/>
        <v>94.84266191947222</v>
      </c>
      <c r="S42" s="16">
        <f>'насел.'!S42+пільги!S42+субсидії!S42+'держ.бюджет'!S42+'місц.-районн.бюджет'!S42+областной!S42+інші!S42</f>
        <v>2348.4999999999995</v>
      </c>
      <c r="T42" s="16">
        <f>'насел.'!T42+пільги!T42+субсидії!T42+'держ.бюджет'!T42+'місц.-районн.бюджет'!T42+областной!T42+інші!T42</f>
        <v>1766.1999999999998</v>
      </c>
      <c r="U42" s="10">
        <f>T42/S42*100</f>
        <v>75.2054502874175</v>
      </c>
      <c r="V42" s="16">
        <f>'насел.'!V42+пільги!V42+субсидії!V42+'держ.бюджет'!V42+'місц.-районн.бюджет'!V42+областной!V42+інші!V42</f>
        <v>2135.9</v>
      </c>
      <c r="W42" s="16">
        <f>'насел.'!W42+пільги!W42+субсидії!W42+'держ.бюджет'!W42+'місц.-районн.бюджет'!W42+областной!W42+інші!W42</f>
        <v>1805.3999999999999</v>
      </c>
      <c r="X42" s="10">
        <f>W42/V42*100</f>
        <v>84.526429139941</v>
      </c>
      <c r="Y42" s="16">
        <f>'насел.'!Y42+пільги!Y42+субсидії!Y42+'держ.бюджет'!Y42+'місц.-районн.бюджет'!Y42+областной!Y42+інші!Y42</f>
        <v>6394.300000000001</v>
      </c>
      <c r="Z42" s="16">
        <f>'насел.'!Z42+пільги!Z42+субсидії!Z42+'держ.бюджет'!Z42+'місц.-районн.бюджет'!Z42+областной!Z42+інші!Z42</f>
        <v>5383.000000000001</v>
      </c>
      <c r="AA42" s="10">
        <f t="shared" si="20"/>
        <v>84.18435168822232</v>
      </c>
      <c r="AB42" s="16">
        <f>'насел.'!AB42+пільги!AB42+субсидії!AB42+'держ.бюджет'!AB42+'місц.-районн.бюджет'!AB42+областной!AB42+інші!AB42</f>
        <v>3044.3</v>
      </c>
      <c r="AC42" s="16">
        <f>'насел.'!AC42+пільги!AC42+субсидії!AC42+'держ.бюджет'!AC42+'місц.-районн.бюджет'!AC42+областной!AC42+інші!AC42</f>
        <v>1921.3999999999999</v>
      </c>
      <c r="AD42" s="10">
        <f>AC42/AB42*100</f>
        <v>63.11467332391681</v>
      </c>
      <c r="AE42" s="16">
        <f>'насел.'!AE42+пільги!AE42+субсидії!AE42+'держ.бюджет'!AE42+'місц.-районн.бюджет'!AE42+областной!AE42+інші!AE42</f>
        <v>2972.8</v>
      </c>
      <c r="AF42" s="16">
        <f>'насел.'!AF42+пільги!AF42+субсидії!AF42+'держ.бюджет'!AF42+'місц.-районн.бюджет'!AF42+областной!AF42+інші!AF42</f>
        <v>2344.2</v>
      </c>
      <c r="AG42" s="10">
        <f t="shared" si="7"/>
        <v>78.85495156081808</v>
      </c>
      <c r="AH42" s="16">
        <f>'насел.'!AH42+пільги!AH42+субсидії!AH42+'держ.бюджет'!AH42+'місц.-районн.бюджет'!AH42+областной!AH42+інші!AH42</f>
        <v>2949.1</v>
      </c>
      <c r="AI42" s="16">
        <f>'насел.'!AI42+пільги!AI42+субсидії!AI42+'держ.бюджет'!AI42+'місц.-районн.бюджет'!AI42+областной!AI42+інші!AI42</f>
        <v>2865.5000000000005</v>
      </c>
      <c r="AJ42" s="10">
        <f t="shared" si="8"/>
        <v>97.16523685192094</v>
      </c>
      <c r="AK42" s="16">
        <f>'насел.'!AK42+пільги!AJ42+субсидії!AK42+'держ.бюджет'!AK42+'місц.-районн.бюджет'!AK42+областной!AK42+інші!AK42</f>
        <v>8966.2</v>
      </c>
      <c r="AL42" s="16">
        <f>'насел.'!AL42+пільги!AK42+субсидії!AL42+'держ.бюджет'!AL42+'місц.-районн.бюджет'!AL42+областной!AL42+інші!AL42</f>
        <v>7131.1</v>
      </c>
      <c r="AM42" s="16">
        <f t="shared" si="9"/>
        <v>79.53313555352322</v>
      </c>
      <c r="AN42" s="16">
        <f>'насел.'!AN42+пільги!AM42+субсидії!AN42+'держ.бюджет'!AN42+'місц.-районн.бюджет'!AN42+областной!AN42+інші!AN42</f>
        <v>0</v>
      </c>
      <c r="AO42" s="16">
        <f>'насел.'!AO42+пільги!AN42+субсидії!AO42+'держ.бюджет'!AO42+'місц.-районн.бюджет'!AO42+областной!AO42+інші!AO42</f>
        <v>0</v>
      </c>
      <c r="AP42" s="16">
        <f>'насел.'!AP42+пільги!AO42+субсидії!AP42+'держ.бюджет'!AP42+'місц.-районн.бюджет'!AP42+областной!AP42+інші!AP42</f>
        <v>0</v>
      </c>
      <c r="AQ42" s="16">
        <f>'насел.'!AQ42+пільги!AP42+субсидії!AQ42+'держ.бюджет'!AQ42+'місц.-районн.бюджет'!AQ42+областной!AQ42+інші!AQ42</f>
        <v>0</v>
      </c>
      <c r="AR42" s="16">
        <f>'насел.'!AR42+пільги!AQ42+субсидії!AR42+'держ.бюджет'!AR42+'місц.-районн.бюджет'!AR42+областной!AR42+інші!AR42</f>
        <v>0</v>
      </c>
      <c r="AS42" s="16">
        <f>'насел.'!AS42+пільги!AR42+субсидії!AS42+'держ.бюджет'!AS42+'місц.-районн.бюджет'!AS42+областной!AS42+інші!AS42</f>
        <v>0</v>
      </c>
      <c r="AT42" s="16">
        <f>'насел.'!AT42+пільги!AS42+субсидії!AT42+'держ.бюджет'!AT42+'місц.-районн.бюджет'!AT42+областной!AT42+інші!AT42</f>
        <v>21305.8</v>
      </c>
      <c r="AU42" s="16">
        <f>'насел.'!AU42+пільги!AT42+субсидії!AU42+'держ.бюджет'!AU42+'місц.-районн.бюджет'!AU42+областной!AU42+інші!AU42</f>
        <v>17822.4</v>
      </c>
      <c r="AV42" s="10">
        <f t="shared" si="10"/>
        <v>83.65046137671433</v>
      </c>
      <c r="AW42" s="16">
        <f>'насел.'!AW42+пільги!AV42+субсидії!AW42+'держ.бюджет'!AW42+'місц.-районн.бюджет'!AW42+областной!AW42+інші!AW42</f>
        <v>3483.3999999999987</v>
      </c>
      <c r="AX42" s="16">
        <f>'насел.'!AX42+пільги!AW42+субсидії!AX42+'держ.бюджет'!AX42+'місц.-районн.бюджет'!AX42+областной!AX42+інші!AX42</f>
        <v>7246.199999999997</v>
      </c>
      <c r="AY42" s="39">
        <f t="shared" si="13"/>
        <v>21305.8</v>
      </c>
      <c r="AZ42" s="39">
        <f t="shared" si="14"/>
        <v>17822.399999999998</v>
      </c>
      <c r="BA42" s="39">
        <f t="shared" si="15"/>
        <v>3483.4000000000015</v>
      </c>
      <c r="BB42" s="39">
        <f t="shared" si="16"/>
        <v>7246.200000000001</v>
      </c>
    </row>
    <row r="43" spans="1:54" s="11" customFormat="1" ht="34.5" customHeight="1">
      <c r="A43" s="12" t="s">
        <v>38</v>
      </c>
      <c r="B43" s="14" t="s">
        <v>66</v>
      </c>
      <c r="C43" s="16">
        <f>'насел.'!C43+пільги!C43+субсидії!C43+'держ.бюджет'!C43+'місц.-районн.бюджет'!C43+областной!C43+інші!C43</f>
        <v>1055255.9</v>
      </c>
      <c r="D43" s="16">
        <f>'насел.'!D43+пільги!D43+субсидії!D43+'держ.бюджет'!D43+'місц.-районн.бюджет'!D43+областной!D43+інші!D43</f>
        <v>153846.2</v>
      </c>
      <c r="E43" s="16">
        <f>'насел.'!E43+пільги!E43+субсидії!E43+'держ.бюджет'!E43+'місц.-районн.бюджет'!E43+областной!E43+інші!E43</f>
        <v>138347.1</v>
      </c>
      <c r="F43" s="10">
        <f t="shared" si="0"/>
        <v>89.9255880223236</v>
      </c>
      <c r="G43" s="16">
        <f>'насел.'!G43+пільги!G43+субсидії!G43+'держ.бюджет'!G43+'місц.-районн.бюджет'!G43+областной!G43+інші!G43</f>
        <v>146869.7</v>
      </c>
      <c r="H43" s="16">
        <f>'насел.'!H43+пільги!H43+субсидії!H43+'держ.бюджет'!H43+'місц.-районн.бюджет'!H43+областной!H43+інші!H43</f>
        <v>129849.5</v>
      </c>
      <c r="I43" s="10">
        <f t="shared" si="1"/>
        <v>88.41136054611673</v>
      </c>
      <c r="J43" s="16">
        <f>'насел.'!J43+пільги!J43+субсидії!J43+'держ.бюджет'!J43+'місц.-районн.бюджет'!J43+областной!J43+інші!J43</f>
        <v>146821</v>
      </c>
      <c r="K43" s="16">
        <f>'насел.'!K43+пільги!K43+субсидії!K43+'держ.бюджет'!K43+'місц.-районн.бюджет'!K43+областной!K43+інші!K43</f>
        <v>128759.60000000002</v>
      </c>
      <c r="L43" s="10">
        <f t="shared" si="17"/>
        <v>87.69835377772935</v>
      </c>
      <c r="M43" s="10">
        <f>'насел.'!M43+пільги!M43+субсидії!M43+'держ.бюджет'!M43+'місц.-районн.бюджет'!M43+областной!M43+інші!M43</f>
        <v>447536.9</v>
      </c>
      <c r="N43" s="10">
        <f>'насел.'!N43+пільги!N43+субсидії!N43+'держ.бюджет'!N43+'місц.-районн.бюджет'!N43+областной!N43+інші!N43</f>
        <v>396956.20000000007</v>
      </c>
      <c r="O43" s="10">
        <f t="shared" si="11"/>
        <v>88.69798222224804</v>
      </c>
      <c r="P43" s="16">
        <f>'насел.'!P43+пільги!P43+субсидії!P43+'держ.бюджет'!P43+'місц.-районн.бюджет'!P43+областной!P43+інші!P43</f>
        <v>148794.30000000002</v>
      </c>
      <c r="Q43" s="16">
        <f>'насел.'!Q43+пільги!Q43+субсидії!Q43+'держ.бюджет'!Q43+'місц.-районн.бюджет'!Q43+областной!Q43+інші!Q43</f>
        <v>122278.6</v>
      </c>
      <c r="R43" s="16">
        <f t="shared" si="12"/>
        <v>82.17962650450991</v>
      </c>
      <c r="S43" s="16">
        <f>'насел.'!S43+пільги!S43+субсидії!S43+'держ.бюджет'!S43+'місц.-районн.бюджет'!S43+областной!S43+інші!S43</f>
        <v>159214.39999999997</v>
      </c>
      <c r="T43" s="16">
        <f>'насел.'!T43+пільги!T43+субсидії!T43+'держ.бюджет'!T43+'місц.-районн.бюджет'!T43+областной!T43+інші!T43</f>
        <v>139054.5</v>
      </c>
      <c r="U43" s="16">
        <f>SUM(U44:U44)</f>
        <v>87.33789154749823</v>
      </c>
      <c r="V43" s="16">
        <f>'насел.'!V43+пільги!V43+субсидії!V43+'держ.бюджет'!V43+'місц.-районн.бюджет'!V43+областной!V43+інші!V43</f>
        <v>148477.9</v>
      </c>
      <c r="W43" s="16">
        <f>'насел.'!W43+пільги!W43+субсидії!W43+'держ.бюджет'!W43+'місц.-районн.бюджет'!W43+областной!W43+інші!W43</f>
        <v>122797.3</v>
      </c>
      <c r="X43" s="16">
        <f>SUM(X44:X44)</f>
        <v>82.7040926629485</v>
      </c>
      <c r="Y43" s="16">
        <f>'насел.'!Y43+пільги!Y43+субсидії!Y43+'держ.бюджет'!Y43+'місц.-районн.бюджет'!Y43+областной!Y43+інші!Y43</f>
        <v>456486.6</v>
      </c>
      <c r="Z43" s="16">
        <f>'насел.'!Z43+пільги!Z43+субсидії!Z43+'держ.бюджет'!Z43+'місц.-районн.бюджет'!Z43+областной!Z43+інші!Z43</f>
        <v>384130.4</v>
      </c>
      <c r="AA43" s="10">
        <f t="shared" si="20"/>
        <v>84.14932661769262</v>
      </c>
      <c r="AB43" s="16">
        <f>'насел.'!AB43+пільги!AB43+субсидії!AB43+'держ.бюджет'!AB43+'місц.-районн.бюджет'!AB43+областной!AB43+інші!AB43</f>
        <v>154396.09999999998</v>
      </c>
      <c r="AC43" s="16">
        <f>'насел.'!AC43+пільги!AC43+субсидії!AC43+'держ.бюджет'!AC43+'місц.-районн.бюджет'!AC43+областной!AC43+інші!AC43</f>
        <v>129539.00000000001</v>
      </c>
      <c r="AD43" s="16">
        <f>SUM(AD44:AD44)</f>
        <v>83.90043530892298</v>
      </c>
      <c r="AE43" s="16">
        <f>'насел.'!AE43+пільги!AE43+субсидії!AE43+'держ.бюджет'!AE43+'місц.-районн.бюджет'!AE43+областной!AE43+інші!AE43</f>
        <v>151095.2</v>
      </c>
      <c r="AF43" s="16">
        <f>'насел.'!AF43+пільги!AF43+субсидії!AF43+'держ.бюджет'!AF43+'місц.-районн.бюджет'!AF43+областной!AF43+інші!AF43</f>
        <v>120365.70000000001</v>
      </c>
      <c r="AG43" s="10">
        <f t="shared" si="7"/>
        <v>79.66216001567224</v>
      </c>
      <c r="AH43" s="16">
        <f>'насел.'!AH43+пільги!AH43+субсидії!AH43+'держ.бюджет'!AH43+'місц.-районн.бюджет'!AH43+областной!AH43+інші!AH43</f>
        <v>151743.3</v>
      </c>
      <c r="AI43" s="16">
        <f>'насел.'!AI43+пільги!AI43+субсидії!AI43+'держ.бюджет'!AI43+'місц.-районн.бюджет'!AI43+областной!AI43+інші!AI43</f>
        <v>127415.99999999997</v>
      </c>
      <c r="AJ43" s="10">
        <f t="shared" si="8"/>
        <v>83.96812248053125</v>
      </c>
      <c r="AK43" s="16">
        <f>'насел.'!AK43+пільги!AJ43+субсидії!AK43+'держ.бюджет'!AK43+'місц.-районн.бюджет'!AK43+областной!AK43+інші!AK43</f>
        <v>457234.60000000003</v>
      </c>
      <c r="AL43" s="16">
        <f>'насел.'!AL43+пільги!AK43+субсидії!AL43+'держ.бюджет'!AL43+'місц.-районн.бюджет'!AL43+областной!AL43+інші!AL43</f>
        <v>377320.70000000007</v>
      </c>
      <c r="AM43" s="16">
        <f t="shared" si="9"/>
        <v>82.52234192250543</v>
      </c>
      <c r="AN43" s="16">
        <f>'насел.'!AN43+пільги!AM43+субсидії!AN43+'держ.бюджет'!AN43+'місц.-районн.бюджет'!AN43+областной!AN43+інші!AN43</f>
        <v>0</v>
      </c>
      <c r="AO43" s="16">
        <f>'насел.'!AO43+пільги!AN43+субсидії!AO43+'держ.бюджет'!AO43+'місц.-районн.бюджет'!AO43+областной!AO43+інші!AO43</f>
        <v>0</v>
      </c>
      <c r="AP43" s="16">
        <f>'насел.'!AP43+пільги!AO43+субсидії!AP43+'держ.бюджет'!AP43+'місц.-районн.бюджет'!AP43+областной!AP43+інші!AP43</f>
        <v>0</v>
      </c>
      <c r="AQ43" s="16">
        <f>'насел.'!AQ43+пільги!AP43+субсидії!AQ43+'держ.бюджет'!AQ43+'місц.-районн.бюджет'!AQ43+областной!AQ43+інші!AQ43</f>
        <v>0</v>
      </c>
      <c r="AR43" s="16">
        <f>'насел.'!AR43+пільги!AQ43+субсидії!AR43+'держ.бюджет'!AR43+'місц.-районн.бюджет'!AR43+областной!AR43+інші!AR43</f>
        <v>0</v>
      </c>
      <c r="AS43" s="16">
        <f>'насел.'!AS43+пільги!AR43+субсидії!AS43+'держ.бюджет'!AS43+'місц.-районн.бюджет'!AS43+областной!AS43+інші!AS43</f>
        <v>0</v>
      </c>
      <c r="AT43" s="16">
        <f>'насел.'!AT43+пільги!AS43+субсидії!AT43+'держ.бюджет'!AT43+'місц.-районн.бюджет'!AT43+областной!AT43+інші!AT43</f>
        <v>1361258.1</v>
      </c>
      <c r="AU43" s="16">
        <f>'насел.'!AU43+пільги!AT43+субсидії!AU43+'держ.бюджет'!AU43+'місц.-районн.бюджет'!AU43+областной!AU43+інші!AU43</f>
        <v>1158407.2999999998</v>
      </c>
      <c r="AV43" s="10">
        <f t="shared" si="10"/>
        <v>85.09828518192103</v>
      </c>
      <c r="AW43" s="16">
        <f>SUM(AW44:AW44)</f>
        <v>202850.80000000028</v>
      </c>
      <c r="AX43" s="16">
        <f>SUM(AX44:AX44)</f>
        <v>1258106.7000000002</v>
      </c>
      <c r="AY43" s="39">
        <f t="shared" si="13"/>
        <v>1361258.1</v>
      </c>
      <c r="AZ43" s="39">
        <f t="shared" si="14"/>
        <v>1158407.3</v>
      </c>
      <c r="BA43" s="39">
        <f t="shared" si="15"/>
        <v>202850.80000000005</v>
      </c>
      <c r="BB43" s="39">
        <f t="shared" si="16"/>
        <v>1258106.7</v>
      </c>
    </row>
    <row r="44" spans="1:54" s="11" customFormat="1" ht="34.5" customHeight="1">
      <c r="A44" s="8"/>
      <c r="B44" s="38" t="s">
        <v>67</v>
      </c>
      <c r="C44" s="16">
        <f>'насел.'!C44+пільги!C44+субсидії!C44+'держ.бюджет'!C44+'місц.-районн.бюджет'!C44+областной!C44+інші!C44</f>
        <v>1055255.9</v>
      </c>
      <c r="D44" s="16">
        <f>'насел.'!D44+пільги!D44+субсидії!D44+'держ.бюджет'!D44+'місц.-районн.бюджет'!D44+областной!D44+інші!D44</f>
        <v>153846.2</v>
      </c>
      <c r="E44" s="16">
        <f>'насел.'!E44+пільги!E44+субсидії!E44+'держ.бюджет'!E44+'місц.-районн.бюджет'!E44+областной!E44+інші!E44</f>
        <v>138347.1</v>
      </c>
      <c r="F44" s="10">
        <f t="shared" si="0"/>
        <v>89.9255880223236</v>
      </c>
      <c r="G44" s="16">
        <f>'насел.'!G44+пільги!G44+субсидії!G44+'держ.бюджет'!G44+'місц.-районн.бюджет'!G44+областной!G44+інші!G44</f>
        <v>146869.7</v>
      </c>
      <c r="H44" s="16">
        <f>'насел.'!H44+пільги!H44+субсидії!H44+'держ.бюджет'!H44+'місц.-районн.бюджет'!H44+областной!H44+інші!H44</f>
        <v>129849.5</v>
      </c>
      <c r="I44" s="10">
        <f t="shared" si="1"/>
        <v>88.41136054611673</v>
      </c>
      <c r="J44" s="16">
        <f>'насел.'!J44+пільги!J44+субсидії!J44+'держ.бюджет'!J44+'місц.-районн.бюджет'!J44+областной!J44+інші!J44</f>
        <v>146821</v>
      </c>
      <c r="K44" s="16">
        <f>'насел.'!K44+пільги!K44+субсидії!K44+'держ.бюджет'!K44+'місц.-районн.бюджет'!K44+областной!K44+інші!K44</f>
        <v>128759.60000000002</v>
      </c>
      <c r="L44" s="10">
        <f t="shared" si="17"/>
        <v>87.69835377772935</v>
      </c>
      <c r="M44" s="10">
        <f>'насел.'!M44+пільги!M44+субсидії!M44+'держ.бюджет'!M44+'місц.-районн.бюджет'!M44+областной!M44+інші!M44</f>
        <v>447536.9</v>
      </c>
      <c r="N44" s="10">
        <f>'насел.'!N44+пільги!N44+субсидії!N44+'держ.бюджет'!N44+'місц.-районн.бюджет'!N44+областной!N44+інші!N44</f>
        <v>396956.20000000007</v>
      </c>
      <c r="O44" s="10">
        <f t="shared" si="11"/>
        <v>88.69798222224804</v>
      </c>
      <c r="P44" s="16">
        <f>'насел.'!P44+пільги!P44+субсидії!P44+'держ.бюджет'!P44+'місц.-районн.бюджет'!P44+областной!P44+інші!P44</f>
        <v>148794.30000000002</v>
      </c>
      <c r="Q44" s="16">
        <f>'насел.'!Q44+пільги!Q44+субсидії!Q44+'держ.бюджет'!Q44+'місц.-районн.бюджет'!Q44+областной!Q44+інші!Q44</f>
        <v>122278.6</v>
      </c>
      <c r="R44" s="16">
        <f t="shared" si="12"/>
        <v>82.17962650450991</v>
      </c>
      <c r="S44" s="16">
        <f>'насел.'!S44+пільги!S44+субсидії!S44+'держ.бюджет'!S44+'місц.-районн.бюджет'!S44+областной!S44+інші!S44</f>
        <v>159214.39999999997</v>
      </c>
      <c r="T44" s="16">
        <f>'насел.'!T44+пільги!T44+субсидії!T44+'держ.бюджет'!T44+'місц.-районн.бюджет'!T44+областной!T44+інші!T44</f>
        <v>139054.5</v>
      </c>
      <c r="U44" s="10">
        <f>T44/S44*100</f>
        <v>87.33789154749823</v>
      </c>
      <c r="V44" s="16">
        <f>'насел.'!V44+пільги!V44+субсидії!V44+'держ.бюджет'!V44+'місц.-районн.бюджет'!V44+областной!V44+інші!V44</f>
        <v>148477.9</v>
      </c>
      <c r="W44" s="16">
        <f>'насел.'!W44+пільги!W44+субсидії!W44+'держ.бюджет'!W44+'місц.-районн.бюджет'!W44+областной!W44+інші!W44</f>
        <v>122797.3</v>
      </c>
      <c r="X44" s="10">
        <f>W44/V44*100</f>
        <v>82.7040926629485</v>
      </c>
      <c r="Y44" s="16">
        <f>'насел.'!Y44+пільги!Y44+субсидії!Y44+'держ.бюджет'!Y44+'місц.-районн.бюджет'!Y44+областной!Y44+інші!Y44</f>
        <v>456486.6</v>
      </c>
      <c r="Z44" s="16">
        <f>'насел.'!Z44+пільги!Z44+субсидії!Z44+'держ.бюджет'!Z44+'місц.-районн.бюджет'!Z44+областной!Z44+інші!Z44</f>
        <v>384130.4</v>
      </c>
      <c r="AA44" s="10">
        <f t="shared" si="20"/>
        <v>84.14932661769262</v>
      </c>
      <c r="AB44" s="16">
        <f>'насел.'!AB44+пільги!AB44+субсидії!AB44+'держ.бюджет'!AB44+'місц.-районн.бюджет'!AB44+областной!AB44+інші!AB44</f>
        <v>154396.09999999998</v>
      </c>
      <c r="AC44" s="16">
        <f>'насел.'!AC44+пільги!AC44+субсидії!AC44+'держ.бюджет'!AC44+'місц.-районн.бюджет'!AC44+областной!AC44+інші!AC44</f>
        <v>129539.00000000001</v>
      </c>
      <c r="AD44" s="10">
        <f>AC44/AB44*100</f>
        <v>83.90043530892298</v>
      </c>
      <c r="AE44" s="16">
        <f>'насел.'!AE44+пільги!AE44+субсидії!AE44+'держ.бюджет'!AE44+'місц.-районн.бюджет'!AE44+областной!AE44+інші!AE44</f>
        <v>151095.2</v>
      </c>
      <c r="AF44" s="16">
        <f>'насел.'!AF44+пільги!AF44+субсидії!AF44+'держ.бюджет'!AF44+'місц.-районн.бюджет'!AF44+областной!AF44+інші!AF44</f>
        <v>120365.70000000001</v>
      </c>
      <c r="AG44" s="10">
        <f t="shared" si="7"/>
        <v>79.66216001567224</v>
      </c>
      <c r="AH44" s="16">
        <f>'насел.'!AH44+пільги!AH44+субсидії!AH44+'держ.бюджет'!AH44+'місц.-районн.бюджет'!AH44+областной!AH44+інші!AH44</f>
        <v>151743.3</v>
      </c>
      <c r="AI44" s="16">
        <f>'насел.'!AI44+пільги!AI44+субсидії!AI44+'держ.бюджет'!AI44+'місц.-районн.бюджет'!AI44+областной!AI44+інші!AI44</f>
        <v>127415.99999999997</v>
      </c>
      <c r="AJ44" s="10">
        <f t="shared" si="8"/>
        <v>83.96812248053125</v>
      </c>
      <c r="AK44" s="16">
        <f>'насел.'!AK44+пільги!AJ44+субсидії!AK44+'держ.бюджет'!AK44+'місц.-районн.бюджет'!AK44+областной!AK44+інші!AK44</f>
        <v>457234.60000000003</v>
      </c>
      <c r="AL44" s="16">
        <f>'насел.'!AL44+пільги!AK44+субсидії!AL44+'держ.бюджет'!AL44+'місц.-районн.бюджет'!AL44+областной!AL44+інші!AL44</f>
        <v>377320.70000000007</v>
      </c>
      <c r="AM44" s="16">
        <f t="shared" si="9"/>
        <v>82.52234192250543</v>
      </c>
      <c r="AN44" s="16">
        <f>'насел.'!AN44+пільги!AM44+субсидії!AN44+'держ.бюджет'!AN44+'місц.-районн.бюджет'!AN44+областной!AN44+інші!AN44</f>
        <v>0</v>
      </c>
      <c r="AO44" s="16">
        <f>'насел.'!AO44+пільги!AN44+субсидії!AO44+'держ.бюджет'!AO44+'місц.-районн.бюджет'!AO44+областной!AO44+інші!AO44</f>
        <v>0</v>
      </c>
      <c r="AP44" s="16">
        <f>'насел.'!AP44+пільги!AO44+субсидії!AP44+'держ.бюджет'!AP44+'місц.-районн.бюджет'!AP44+областной!AP44+інші!AP44</f>
        <v>0</v>
      </c>
      <c r="AQ44" s="16">
        <f>'насел.'!AQ44+пільги!AP44+субсидії!AQ44+'держ.бюджет'!AQ44+'місц.-районн.бюджет'!AQ44+областной!AQ44+інші!AQ44</f>
        <v>0</v>
      </c>
      <c r="AR44" s="16">
        <f>'насел.'!AR44+пільги!AQ44+субсидії!AR44+'держ.бюджет'!AR44+'місц.-районн.бюджет'!AR44+областной!AR44+інші!AR44</f>
        <v>0</v>
      </c>
      <c r="AS44" s="16">
        <f>'насел.'!AS44+пільги!AR44+субсидії!AS44+'держ.бюджет'!AS44+'місц.-районн.бюджет'!AS44+областной!AS44+інші!AS44</f>
        <v>0</v>
      </c>
      <c r="AT44" s="16">
        <f>'насел.'!AT44+пільги!AS44+субсидії!AT44+'держ.бюджет'!AT44+'місц.-районн.бюджет'!AT44+областной!AT44+інші!AT44</f>
        <v>1361258.1</v>
      </c>
      <c r="AU44" s="16">
        <f>'насел.'!AU44+пільги!AT44+субсидії!AU44+'держ.бюджет'!AU44+'місц.-районн.бюджет'!AU44+областной!AU44+інші!AU44</f>
        <v>1158407.2999999998</v>
      </c>
      <c r="AV44" s="10">
        <f t="shared" si="10"/>
        <v>85.09828518192103</v>
      </c>
      <c r="AW44" s="10">
        <f>AT44-AU44</f>
        <v>202850.80000000028</v>
      </c>
      <c r="AX44" s="13">
        <f>'насел.'!AX44+пільги!AW44+субсидії!AX44+'держ.бюджет'!AX44+'місц.-районн.бюджет'!AX44+областной!AX44+інші!AX44</f>
        <v>1258106.7000000002</v>
      </c>
      <c r="AY44" s="39">
        <f t="shared" si="13"/>
        <v>1361258.1</v>
      </c>
      <c r="AZ44" s="39">
        <f t="shared" si="14"/>
        <v>1158407.3</v>
      </c>
      <c r="BA44" s="39">
        <f t="shared" si="15"/>
        <v>202850.80000000005</v>
      </c>
      <c r="BB44" s="39">
        <f t="shared" si="16"/>
        <v>1258106.7</v>
      </c>
    </row>
    <row r="45" spans="1:54" ht="34.5" customHeight="1">
      <c r="A45" s="12"/>
      <c r="B45" s="14" t="s">
        <v>96</v>
      </c>
      <c r="C45" s="16">
        <f>'насел.'!C45+пільги!C45+субсидії!C45+'держ.бюджет'!C45+'місц.-районн.бюджет'!C45+областной!C45+інші!C45</f>
        <v>1100974</v>
      </c>
      <c r="D45" s="16">
        <f>'насел.'!D45+пільги!D45+субсидії!D45+'держ.бюджет'!D45+'місц.-районн.бюджет'!D45+областной!D45+інші!D45</f>
        <v>187600.5</v>
      </c>
      <c r="E45" s="16">
        <f>'насел.'!E45+пільги!E45+субсидії!E45+'держ.бюджет'!E45+'місц.-районн.бюджет'!E45+областной!E45+інші!E45</f>
        <v>166518.9</v>
      </c>
      <c r="F45" s="10">
        <f t="shared" si="0"/>
        <v>88.76250329823215</v>
      </c>
      <c r="G45" s="16">
        <f>'насел.'!G45+пільги!G45+субсидії!G45+'держ.бюджет'!G45+'місц.-районн.бюджет'!G45+областной!G45+інші!G45</f>
        <v>175734.4</v>
      </c>
      <c r="H45" s="16">
        <f>'насел.'!H45+пільги!H45+субсидії!H45+'держ.бюджет'!H45+'місц.-районн.бюджет'!H45+областной!H45+інші!H45</f>
        <v>161503.2</v>
      </c>
      <c r="I45" s="10">
        <f t="shared" si="1"/>
        <v>91.90187009487045</v>
      </c>
      <c r="J45" s="16">
        <f>'насел.'!J45+пільги!J45+субсидії!J45+'держ.бюджет'!J45+'місц.-районн.бюджет'!J45+областной!J45+інші!J45</f>
        <v>181438</v>
      </c>
      <c r="K45" s="16">
        <f>'насел.'!K45+пільги!K45+субсидії!K45+'держ.бюджет'!K45+'місц.-районн.бюджет'!K45+областной!K45+інші!K45</f>
        <v>159119.50000000003</v>
      </c>
      <c r="L45" s="10">
        <f t="shared" si="17"/>
        <v>87.69910382610038</v>
      </c>
      <c r="M45" s="10">
        <f>'насел.'!M45+пільги!M45+субсидії!M45+'держ.бюджет'!M45+'місц.-районн.бюджет'!M45+областной!M45+інші!M45</f>
        <v>544772.8999999999</v>
      </c>
      <c r="N45" s="10">
        <f>'насел.'!N45+пільги!N45+субсидії!N45+'держ.бюджет'!N45+'місц.-районн.бюджет'!N45+областной!N45+інші!N45</f>
        <v>487141.6</v>
      </c>
      <c r="O45" s="10">
        <f t="shared" si="11"/>
        <v>89.42104131831816</v>
      </c>
      <c r="P45" s="16">
        <f>'насел.'!P45+пільги!P45+субсидії!P45+'держ.бюджет'!P45+'місц.-районн.бюджет'!P45+областной!P45+інші!P45</f>
        <v>182083.30000000002</v>
      </c>
      <c r="Q45" s="16">
        <f>'насел.'!Q45+пільги!Q45+субсидії!Q45+'держ.бюджет'!Q45+'місц.-районн.бюджет'!Q45+областной!Q45+інші!Q45</f>
        <v>150250.3</v>
      </c>
      <c r="R45" s="16">
        <f t="shared" si="12"/>
        <v>82.51734233727089</v>
      </c>
      <c r="S45" s="16">
        <f>'насел.'!S45+пільги!S45+субсидії!S45+'держ.бюджет'!S45+'місц.-районн.бюджет'!S45+областной!S45+інші!S45</f>
        <v>205917.84</v>
      </c>
      <c r="T45" s="16">
        <f>'насел.'!T45+пільги!T45+субсидії!T45+'держ.бюджет'!T45+'місц.-районн.бюджет'!T45+областной!T45+інші!T45</f>
        <v>169709.53999999998</v>
      </c>
      <c r="U45" s="10">
        <f>T45/S45*100</f>
        <v>82.41614228276674</v>
      </c>
      <c r="V45" s="16">
        <f>'насел.'!V45+пільги!V45+субсидії!V45+'держ.бюджет'!V45+'місц.-районн.бюджет'!V45+областной!V45+інші!V45</f>
        <v>185874</v>
      </c>
      <c r="W45" s="16">
        <f>'насел.'!W45+пільги!W45+субсидії!W45+'держ.бюджет'!W45+'місц.-районн.бюджет'!W45+областной!W45+інші!W45</f>
        <v>152411.7</v>
      </c>
      <c r="X45" s="10">
        <f>W45/V45*100</f>
        <v>81.99732076567999</v>
      </c>
      <c r="Y45" s="16">
        <f>'насел.'!Y45+пільги!Y45+субсидії!Y45+'держ.бюджет'!Y45+'місц.-районн.бюджет'!Y45+областной!Y45+інші!Y45</f>
        <v>573875.1400000001</v>
      </c>
      <c r="Z45" s="16">
        <f>'насел.'!Z45+пільги!Z45+субсидії!Z45+'держ.бюджет'!Z45+'місц.-районн.бюджет'!Z45+областной!Z45+інші!Z45</f>
        <v>472371.54000000004</v>
      </c>
      <c r="AA45" s="10">
        <f t="shared" si="20"/>
        <v>82.31259852099534</v>
      </c>
      <c r="AB45" s="16">
        <f>'насел.'!AB45+пільги!AB45+субсидії!AB45+'держ.бюджет'!AB45+'місц.-районн.бюджет'!AB45+областной!AB45+інші!AB45</f>
        <v>192030.8</v>
      </c>
      <c r="AC45" s="16">
        <f>'насел.'!AC45+пільги!AC45+субсидії!AC45+'держ.бюджет'!AC45+'місц.-районн.бюджет'!AC45+областной!AC45+інші!AC45</f>
        <v>163196.30000000002</v>
      </c>
      <c r="AD45" s="10">
        <f>AC45/AB45*100</f>
        <v>84.98443999608398</v>
      </c>
      <c r="AE45" s="16">
        <f>'насел.'!AE45+пільги!AE45+субсидії!AE45+'держ.бюджет'!AE45+'місц.-районн.бюджет'!AE45+областной!AE45+інші!AE45</f>
        <v>187019.19999999998</v>
      </c>
      <c r="AF45" s="16">
        <f>'насел.'!AF45+пільги!AF45+субсидії!AF45+'держ.бюджет'!AF45+'місц.-районн.бюджет'!AF45+областной!AF45+інші!AF45</f>
        <v>153327.4</v>
      </c>
      <c r="AG45" s="10">
        <f t="shared" si="7"/>
        <v>81.98484433683815</v>
      </c>
      <c r="AH45" s="16">
        <f>'насел.'!AH45+пільги!AH45+субсидії!AH45+'держ.бюджет'!AH45+'місц.-районн.бюджет'!AH45+областной!AH45+інші!AH45</f>
        <v>190349.29000000004</v>
      </c>
      <c r="AI45" s="16">
        <f>'насел.'!AI45+пільги!AI45+субсидії!AI45+'держ.бюджет'!AI45+'місц.-районн.бюджет'!AI45+областной!AI45+інші!AI45</f>
        <v>165855.19999999995</v>
      </c>
      <c r="AJ45" s="10">
        <f t="shared" si="8"/>
        <v>87.13202975435313</v>
      </c>
      <c r="AK45" s="16">
        <f>'насел.'!AK45+пільги!AJ45+субсидії!AK45+'держ.бюджет'!AK45+'місц.-районн.бюджет'!AK45+областной!AK45+інші!AK45</f>
        <v>561364.1900000001</v>
      </c>
      <c r="AL45" s="16">
        <f>'насел.'!AL45+пільги!AK45+субсидії!AL45+'держ.бюджет'!AL45+'місц.-районн.бюджет'!AL45+областной!AL45+інші!AL45</f>
        <v>474016.0999999999</v>
      </c>
      <c r="AM45" s="16">
        <f t="shared" si="9"/>
        <v>84.44003170205778</v>
      </c>
      <c r="AN45" s="16">
        <f>'насел.'!AN45+пільги!AM45+субсидії!AN45+'держ.бюджет'!AN45+'місц.-районн.бюджет'!AN45+областной!AN45+інші!AN45</f>
        <v>0</v>
      </c>
      <c r="AO45" s="16">
        <f>'насел.'!AO45+пільги!AN45+субсидії!AO45+'держ.бюджет'!AO45+'місц.-районн.бюджет'!AO45+областной!AO45+інші!AO45</f>
        <v>0</v>
      </c>
      <c r="AP45" s="16">
        <f>'насел.'!AP45+пільги!AO45+субсидії!AP45+'держ.бюджет'!AP45+'місц.-районн.бюджет'!AP45+областной!AP45+інші!AP45</f>
        <v>0</v>
      </c>
      <c r="AQ45" s="16">
        <f>'насел.'!AQ45+пільги!AP45+субсидії!AQ45+'держ.бюджет'!AQ45+'місц.-районн.бюджет'!AQ45+областной!AQ45+інші!AQ45</f>
        <v>0</v>
      </c>
      <c r="AR45" s="16">
        <f>'насел.'!AR45+пільги!AQ45+субсидії!AR45+'держ.бюджет'!AR45+'місц.-районн.бюджет'!AR45+областной!AR45+інші!AR45</f>
        <v>0</v>
      </c>
      <c r="AS45" s="16">
        <f>'насел.'!AS45+пільги!AR45+субсидії!AS45+'держ.бюджет'!AS45+'місц.-районн.бюджет'!AS45+областной!AS45+інші!AS45</f>
        <v>0</v>
      </c>
      <c r="AT45" s="16">
        <f>'насел.'!AT45+пільги!AS45+субсидії!AT45+'держ.бюджет'!AT45+'місц.-районн.бюджет'!AT45+областной!AT45+інші!AT45</f>
        <v>1688047.3300000003</v>
      </c>
      <c r="AU45" s="16">
        <f>'насел.'!AU45+пільги!AT45+субсидії!AU45+'держ.бюджет'!AU45+'місц.-районн.бюджет'!AU45+областной!AU45+інші!AU45</f>
        <v>1441892.04</v>
      </c>
      <c r="AV45" s="10">
        <f t="shared" si="10"/>
        <v>85.41774951298314</v>
      </c>
      <c r="AW45" s="16">
        <f>'насел.'!AW45+пільги!AV45+субсидії!AW45+'держ.бюджет'!AW45+'місц.-районн.бюджет'!AW45+областной!AW45+інші!AW45</f>
        <v>246155.29000000015</v>
      </c>
      <c r="AX45" s="16">
        <f>'насел.'!AX45+пільги!AW45+субсидії!AX45+'держ.бюджет'!AX45+'місц.-районн.бюджет'!AX45+областной!AX45+інші!AX45</f>
        <v>1347129.29</v>
      </c>
      <c r="AY45" s="39">
        <f t="shared" si="13"/>
        <v>1688047.33</v>
      </c>
      <c r="AZ45" s="39">
        <f t="shared" si="14"/>
        <v>1441892.0399999998</v>
      </c>
      <c r="BA45" s="39">
        <f t="shared" si="15"/>
        <v>246155.29000000027</v>
      </c>
      <c r="BB45" s="39">
        <f t="shared" si="16"/>
        <v>1347129.2900000003</v>
      </c>
    </row>
    <row r="46" spans="1:54" s="111" customFormat="1" ht="57.75" customHeight="1">
      <c r="A46" s="144"/>
      <c r="B46" s="160" t="s">
        <v>99</v>
      </c>
      <c r="C46" s="160"/>
      <c r="D46" s="160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28" t="s">
        <v>100</v>
      </c>
      <c r="AY46" s="146"/>
      <c r="AZ46" s="146"/>
      <c r="BA46" s="131"/>
      <c r="BB46" s="131"/>
    </row>
    <row r="47" spans="1:62" ht="3.7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3">
        <f>SUM(AY7:AY44)</f>
        <v>3407236.8000000003</v>
      </c>
      <c r="AZ47" s="148"/>
      <c r="BH47" s="11"/>
      <c r="BI47" s="11"/>
      <c r="BJ47" s="17"/>
    </row>
    <row r="48" spans="2:50" ht="32.25" customHeight="1" hidden="1">
      <c r="B48" s="149"/>
      <c r="C48" s="150" t="e">
        <f>'насел.'!C45+пільги!C45+субсидії!C45+'держ.бюджет'!C45+областной!C45+'місц.-районн.бюджет'!C45+#REF!+інші!C45</f>
        <v>#REF!</v>
      </c>
      <c r="D48" s="151"/>
      <c r="E48" s="151"/>
      <c r="F48" s="151"/>
      <c r="G48" s="20"/>
      <c r="H48" s="20"/>
      <c r="I48" s="21"/>
      <c r="J48" s="20"/>
      <c r="K48" s="20"/>
      <c r="L48" s="21"/>
      <c r="M48" s="21"/>
      <c r="N48" s="21"/>
      <c r="O48" s="21"/>
      <c r="P48" s="150"/>
      <c r="Q48" s="150"/>
      <c r="R48" s="151"/>
      <c r="S48" s="150"/>
      <c r="T48" s="150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0"/>
      <c r="AU48" s="150"/>
      <c r="AV48" s="151"/>
      <c r="AW48" s="150"/>
      <c r="AX48" s="150" t="e">
        <f>#REF!-#REF!</f>
        <v>#REF!</v>
      </c>
    </row>
    <row r="49" spans="1:63" s="11" customFormat="1" ht="25.5" customHeight="1">
      <c r="A49" s="18"/>
      <c r="B49" s="18"/>
      <c r="C49" s="19"/>
      <c r="D49" s="21"/>
      <c r="E49" s="21"/>
      <c r="F49" s="21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>
        <f>C45+AT45-AU45</f>
        <v>1347129.29</v>
      </c>
      <c r="AZ49" s="21"/>
      <c r="BA49" s="21"/>
      <c r="BB49" s="21"/>
      <c r="BC49" s="21"/>
      <c r="BD49" s="21"/>
      <c r="BE49" s="20"/>
      <c r="BF49" s="6"/>
      <c r="BG49" s="6"/>
      <c r="BH49" s="22"/>
      <c r="BI49" s="6"/>
      <c r="BK49" s="6"/>
    </row>
    <row r="50" spans="1:63" s="11" customFormat="1" ht="19.5" customHeight="1" hidden="1">
      <c r="A50" s="23"/>
      <c r="B50" s="11" t="s">
        <v>70</v>
      </c>
      <c r="C50" s="19"/>
      <c r="D50" s="21"/>
      <c r="E50" s="21"/>
      <c r="F50" s="21"/>
      <c r="G50" s="17"/>
      <c r="H50" s="17"/>
      <c r="I50" s="48"/>
      <c r="J50" s="17"/>
      <c r="K50" s="17"/>
      <c r="L50" s="48"/>
      <c r="M50" s="48"/>
      <c r="N50" s="48"/>
      <c r="O50" s="48"/>
      <c r="P50" s="20"/>
      <c r="Q50" s="20"/>
      <c r="R50" s="21"/>
      <c r="S50" s="20"/>
      <c r="T50" s="20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0"/>
      <c r="BF50" s="6"/>
      <c r="BG50" s="6"/>
      <c r="BH50" s="22"/>
      <c r="BI50" s="6"/>
      <c r="BK50" s="6"/>
    </row>
    <row r="51" spans="1:63" s="11" customFormat="1" ht="7.5" customHeight="1" hidden="1">
      <c r="A51" s="18"/>
      <c r="C51" s="19"/>
      <c r="D51" s="21"/>
      <c r="E51" s="21"/>
      <c r="F51" s="21"/>
      <c r="G51" s="27"/>
      <c r="H51" s="27"/>
      <c r="I51" s="49"/>
      <c r="J51" s="27"/>
      <c r="K51" s="27"/>
      <c r="L51" s="49"/>
      <c r="M51" s="49"/>
      <c r="N51" s="49"/>
      <c r="O51" s="49"/>
      <c r="P51" s="20"/>
      <c r="Q51" s="20"/>
      <c r="R51" s="21"/>
      <c r="S51" s="20"/>
      <c r="T51" s="2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0"/>
      <c r="BF51" s="6"/>
      <c r="BG51" s="6"/>
      <c r="BH51" s="22"/>
      <c r="BI51" s="6"/>
      <c r="BK51" s="6"/>
    </row>
    <row r="52" spans="1:63" s="11" customFormat="1" ht="19.5" customHeight="1" hidden="1">
      <c r="A52" s="23"/>
      <c r="B52" s="11" t="s">
        <v>71</v>
      </c>
      <c r="C52" s="19"/>
      <c r="D52" s="21"/>
      <c r="E52" s="21"/>
      <c r="F52" s="21"/>
      <c r="G52" s="31"/>
      <c r="H52" s="31"/>
      <c r="I52" s="32"/>
      <c r="J52" s="31"/>
      <c r="K52" s="31"/>
      <c r="L52" s="32"/>
      <c r="M52" s="32"/>
      <c r="N52" s="32"/>
      <c r="O52" s="32"/>
      <c r="P52" s="20"/>
      <c r="Q52" s="20"/>
      <c r="R52" s="21"/>
      <c r="S52" s="20"/>
      <c r="T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0"/>
      <c r="BF52" s="6"/>
      <c r="BG52" s="6"/>
      <c r="BH52" s="22"/>
      <c r="BI52" s="6"/>
      <c r="BK52" s="6"/>
    </row>
    <row r="53" spans="1:63" ht="24.75" customHeight="1">
      <c r="A53" s="2"/>
      <c r="C53" s="24"/>
      <c r="D53" s="48"/>
      <c r="E53" s="48"/>
      <c r="F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7"/>
      <c r="AU53" s="17"/>
      <c r="AV53" s="48"/>
      <c r="AW53" s="17"/>
      <c r="AX53" s="17"/>
      <c r="AY53" s="17"/>
      <c r="AZ53" s="17"/>
      <c r="BA53" s="17"/>
      <c r="BB53" s="17"/>
      <c r="BC53" s="17"/>
      <c r="BD53" s="17"/>
      <c r="BE53" s="17"/>
      <c r="BF53" s="7"/>
      <c r="BG53" s="7"/>
      <c r="BH53" s="25"/>
      <c r="BI53" s="7"/>
      <c r="BK53" s="7"/>
    </row>
    <row r="54" spans="1:51" s="29" customFormat="1" ht="42" customHeight="1">
      <c r="A54" s="26"/>
      <c r="B54" s="173" t="s">
        <v>76</v>
      </c>
      <c r="C54" s="173"/>
      <c r="D54" s="49"/>
      <c r="E54" s="49"/>
      <c r="F54" s="49"/>
      <c r="G54" s="2"/>
      <c r="H54" s="2"/>
      <c r="I54" s="11"/>
      <c r="J54" s="2"/>
      <c r="K54" s="2"/>
      <c r="L54" s="11"/>
      <c r="M54" s="11"/>
      <c r="N54" s="11"/>
      <c r="O54" s="11"/>
      <c r="P54" s="27"/>
      <c r="Q54" s="27"/>
      <c r="R54" s="49"/>
      <c r="S54" s="27"/>
      <c r="T54" s="27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27"/>
      <c r="AU54" s="27"/>
      <c r="AV54" s="49"/>
      <c r="AW54" s="152" t="s">
        <v>75</v>
      </c>
      <c r="AX54" s="153"/>
      <c r="AY54" s="28"/>
    </row>
    <row r="55" spans="1:50" ht="73.5" customHeight="1" hidden="1">
      <c r="A55" s="172" t="s">
        <v>72</v>
      </c>
      <c r="B55" s="172"/>
      <c r="C55" s="30"/>
      <c r="D55" s="32"/>
      <c r="E55" s="32"/>
      <c r="F55" s="32"/>
      <c r="P55" s="31"/>
      <c r="Q55" s="31"/>
      <c r="R55" s="32"/>
      <c r="S55" s="31"/>
      <c r="T55" s="31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1"/>
      <c r="AU55" s="31"/>
      <c r="AV55" s="32"/>
      <c r="AX55" s="4" t="s">
        <v>73</v>
      </c>
    </row>
  </sheetData>
  <sheetProtection/>
  <mergeCells count="24">
    <mergeCell ref="AP5:AQ5"/>
    <mergeCell ref="M5:O5"/>
    <mergeCell ref="D5:F5"/>
    <mergeCell ref="V5:X5"/>
    <mergeCell ref="AR5:AS5"/>
    <mergeCell ref="AE5:AG5"/>
    <mergeCell ref="A55:B55"/>
    <mergeCell ref="B54:C54"/>
    <mergeCell ref="AK5:AM5"/>
    <mergeCell ref="G5:I5"/>
    <mergeCell ref="AN5:AO5"/>
    <mergeCell ref="J5:L5"/>
    <mergeCell ref="AB5:AD5"/>
    <mergeCell ref="AH5:AJ5"/>
    <mergeCell ref="B2:AX3"/>
    <mergeCell ref="B46:D46"/>
    <mergeCell ref="D1:AX1"/>
    <mergeCell ref="B4:C4"/>
    <mergeCell ref="S5:U5"/>
    <mergeCell ref="Y5:AA5"/>
    <mergeCell ref="P5:R5"/>
    <mergeCell ref="AX5:AX6"/>
    <mergeCell ref="AW5:AW6"/>
    <mergeCell ref="AT5:AV5"/>
  </mergeCells>
  <printOptions horizontalCentered="1"/>
  <pageMargins left="0" right="0" top="0" bottom="0" header="0" footer="0"/>
  <pageSetup fitToHeight="1" fitToWidth="1" horizontalDpi="600" verticalDpi="600" orientation="landscape" paperSize="9" scale="35" r:id="rId1"/>
  <rowBreaks count="1" manualBreakCount="1">
    <brk id="30" min="1" max="48" man="1"/>
  </rowBreaks>
  <colBreaks count="1" manualBreakCount="1">
    <brk id="4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70" zoomScaleNormal="50" zoomScaleSheetLayoutView="70" zoomScalePageLayoutView="0" workbookViewId="0" topLeftCell="A3">
      <pane xSplit="6" ySplit="5" topLeftCell="AH4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Z46" sqref="AZ46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16" hidden="1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customWidth="1"/>
    <col min="14" max="14" width="14.125" style="11" customWidth="1"/>
    <col min="15" max="15" width="11.00390625" style="11" customWidth="1"/>
    <col min="16" max="17" width="14.75390625" style="2" hidden="1" customWidth="1"/>
    <col min="18" max="18" width="11.00390625" style="11" hidden="1" customWidth="1"/>
    <col min="19" max="20" width="14.75390625" style="2" hidden="1" customWidth="1"/>
    <col min="21" max="21" width="11.00390625" style="11" hidden="1" customWidth="1"/>
    <col min="22" max="22" width="14.75390625" style="11" hidden="1" customWidth="1"/>
    <col min="23" max="23" width="12.125" style="11" hidden="1" customWidth="1"/>
    <col min="24" max="24" width="11.00390625" style="11" hidden="1" customWidth="1"/>
    <col min="25" max="25" width="15.75390625" style="11" customWidth="1"/>
    <col min="26" max="26" width="12.25390625" style="11" customWidth="1"/>
    <col min="27" max="27" width="11.00390625" style="11" customWidth="1"/>
    <col min="28" max="28" width="14.75390625" style="11" customWidth="1"/>
    <col min="29" max="29" width="12.125" style="11" customWidth="1"/>
    <col min="30" max="30" width="11.00390625" style="11" customWidth="1"/>
    <col min="31" max="31" width="14.75390625" style="11" customWidth="1"/>
    <col min="32" max="32" width="12.125" style="11" customWidth="1"/>
    <col min="33" max="33" width="11.00390625" style="11" customWidth="1"/>
    <col min="34" max="34" width="13.875" style="11" customWidth="1"/>
    <col min="35" max="35" width="13.25390625" style="11" customWidth="1"/>
    <col min="36" max="36" width="11.75390625" style="11" customWidth="1"/>
    <col min="37" max="37" width="15.75390625" style="11" hidden="1" customWidth="1"/>
    <col min="38" max="38" width="12.25390625" style="11" hidden="1" customWidth="1"/>
    <col min="39" max="39" width="11.00390625" style="11" hidden="1" customWidth="1"/>
    <col min="40" max="40" width="13.875" style="11" hidden="1" customWidth="1"/>
    <col min="41" max="41" width="13.00390625" style="11" hidden="1" customWidth="1"/>
    <col min="42" max="42" width="13.875" style="11" hidden="1" customWidth="1"/>
    <col min="43" max="43" width="11.75390625" style="11" hidden="1" customWidth="1"/>
    <col min="44" max="44" width="13.875" style="11" hidden="1" customWidth="1"/>
    <col min="45" max="45" width="11.75390625" style="11" hidden="1" customWidth="1"/>
    <col min="46" max="47" width="14.75390625" style="2" customWidth="1"/>
    <col min="48" max="48" width="11.75390625" style="11" customWidth="1"/>
    <col min="49" max="49" width="19.62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15" customHeight="1">
      <c r="I1" s="174" t="s">
        <v>68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1" customFormat="1" ht="60" customHeight="1">
      <c r="A2" s="50"/>
      <c r="B2" s="159" t="s">
        <v>116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</row>
    <row r="3" spans="1:50" s="140" customFormat="1" ht="60" customHeight="1">
      <c r="A3" s="13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</row>
    <row r="4" spans="2:50" ht="49.5" customHeight="1">
      <c r="B4" s="163"/>
      <c r="C4" s="163"/>
      <c r="D4" s="163"/>
      <c r="E4" s="163"/>
      <c r="F4" s="16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86</v>
      </c>
    </row>
    <row r="5" spans="1:50" ht="58.5" customHeight="1">
      <c r="A5" s="41" t="s">
        <v>46</v>
      </c>
      <c r="B5" s="42"/>
      <c r="C5" s="43" t="s">
        <v>1</v>
      </c>
      <c r="D5" s="169" t="s">
        <v>102</v>
      </c>
      <c r="E5" s="170"/>
      <c r="F5" s="171"/>
      <c r="G5" s="164" t="s">
        <v>105</v>
      </c>
      <c r="H5" s="165"/>
      <c r="I5" s="166"/>
      <c r="J5" s="164" t="s">
        <v>106</v>
      </c>
      <c r="K5" s="165"/>
      <c r="L5" s="166"/>
      <c r="M5" s="164" t="s">
        <v>107</v>
      </c>
      <c r="N5" s="165"/>
      <c r="O5" s="166"/>
      <c r="P5" s="164" t="s">
        <v>108</v>
      </c>
      <c r="Q5" s="165"/>
      <c r="R5" s="166"/>
      <c r="S5" s="176" t="s">
        <v>110</v>
      </c>
      <c r="T5" s="177"/>
      <c r="U5" s="178"/>
      <c r="V5" s="176" t="s">
        <v>111</v>
      </c>
      <c r="W5" s="177"/>
      <c r="X5" s="178"/>
      <c r="Y5" s="164" t="s">
        <v>112</v>
      </c>
      <c r="Z5" s="165"/>
      <c r="AA5" s="166"/>
      <c r="AB5" s="164" t="s">
        <v>113</v>
      </c>
      <c r="AC5" s="165"/>
      <c r="AD5" s="166"/>
      <c r="AE5" s="164" t="s">
        <v>114</v>
      </c>
      <c r="AF5" s="165"/>
      <c r="AG5" s="166"/>
      <c r="AH5" s="164" t="s">
        <v>123</v>
      </c>
      <c r="AI5" s="165"/>
      <c r="AJ5" s="166"/>
      <c r="AK5" s="164" t="s">
        <v>84</v>
      </c>
      <c r="AL5" s="165"/>
      <c r="AM5" s="166"/>
      <c r="AN5" s="164" t="s">
        <v>79</v>
      </c>
      <c r="AO5" s="166"/>
      <c r="AP5" s="164" t="s">
        <v>80</v>
      </c>
      <c r="AQ5" s="166"/>
      <c r="AR5" s="164" t="s">
        <v>81</v>
      </c>
      <c r="AS5" s="166"/>
      <c r="AT5" s="169" t="s">
        <v>103</v>
      </c>
      <c r="AU5" s="170"/>
      <c r="AV5" s="171"/>
      <c r="AW5" s="167" t="s">
        <v>124</v>
      </c>
      <c r="AX5" s="167" t="s">
        <v>125</v>
      </c>
    </row>
    <row r="6" spans="1:50" ht="54.75" customHeight="1">
      <c r="A6" s="44" t="s">
        <v>47</v>
      </c>
      <c r="B6" s="45" t="s">
        <v>97</v>
      </c>
      <c r="C6" s="40" t="s">
        <v>104</v>
      </c>
      <c r="D6" s="45" t="s">
        <v>78</v>
      </c>
      <c r="E6" s="45" t="s">
        <v>69</v>
      </c>
      <c r="F6" s="11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85</v>
      </c>
      <c r="AU6" s="45" t="s">
        <v>69</v>
      </c>
      <c r="AV6" s="47" t="s">
        <v>0</v>
      </c>
      <c r="AW6" s="168"/>
      <c r="AX6" s="168"/>
    </row>
    <row r="7" spans="1:61" s="11" customFormat="1" ht="34.5" customHeight="1">
      <c r="A7" s="8"/>
      <c r="B7" s="112" t="s">
        <v>98</v>
      </c>
      <c r="C7" s="10">
        <f>SUM(C8:C42)-C33-C34</f>
        <v>30115.499999999996</v>
      </c>
      <c r="D7" s="10">
        <f>SUM(D8:D42)-D33-D34</f>
        <v>13325</v>
      </c>
      <c r="E7" s="10">
        <f aca="true" t="shared" si="0" ref="E7:AU7">SUM(E8:E42)-E33-E34</f>
        <v>16502.3</v>
      </c>
      <c r="F7" s="52">
        <f aca="true" t="shared" si="1" ref="F7:F31">E7/D7*100</f>
        <v>123.84465290806754</v>
      </c>
      <c r="G7" s="10">
        <f t="shared" si="0"/>
        <v>22668.199999999997</v>
      </c>
      <c r="H7" s="10">
        <f t="shared" si="0"/>
        <v>14738.6</v>
      </c>
      <c r="I7" s="10">
        <f>H7/G7*100</f>
        <v>65.01883696102911</v>
      </c>
      <c r="J7" s="10">
        <f t="shared" si="0"/>
        <v>27641.899999999998</v>
      </c>
      <c r="K7" s="10">
        <f t="shared" si="0"/>
        <v>19396.699999999997</v>
      </c>
      <c r="L7" s="10">
        <f t="shared" si="0"/>
        <v>2422.759057167827</v>
      </c>
      <c r="M7" s="10">
        <f t="shared" si="0"/>
        <v>63635.1</v>
      </c>
      <c r="N7" s="10">
        <f t="shared" si="0"/>
        <v>50637.6</v>
      </c>
      <c r="O7" s="10">
        <f>N7/M7*100</f>
        <v>79.5749515597524</v>
      </c>
      <c r="P7" s="10">
        <f t="shared" si="0"/>
        <v>24706.5</v>
      </c>
      <c r="Q7" s="10">
        <f t="shared" si="0"/>
        <v>19574.2</v>
      </c>
      <c r="R7" s="10">
        <f>Q7/P7*100</f>
        <v>79.22692408880255</v>
      </c>
      <c r="S7" s="10">
        <f t="shared" si="0"/>
        <v>41505.840000000004</v>
      </c>
      <c r="T7" s="10">
        <f t="shared" si="0"/>
        <v>22899.239999999998</v>
      </c>
      <c r="U7" s="10">
        <f>T7/S7*100</f>
        <v>55.171127725640524</v>
      </c>
      <c r="V7" s="10">
        <f t="shared" si="0"/>
        <v>29247.500000000004</v>
      </c>
      <c r="W7" s="10">
        <f t="shared" si="0"/>
        <v>22259.199999999997</v>
      </c>
      <c r="X7" s="10">
        <f aca="true" t="shared" si="2" ref="X7:X24">W7/V7*100</f>
        <v>76.10633387469012</v>
      </c>
      <c r="Y7" s="10">
        <f t="shared" si="0"/>
        <v>95459.84</v>
      </c>
      <c r="Z7" s="10">
        <f t="shared" si="0"/>
        <v>64732.64</v>
      </c>
      <c r="AA7" s="10">
        <f aca="true" t="shared" si="3" ref="AA7:AA34">Z7/Y7*100</f>
        <v>67.81138539515675</v>
      </c>
      <c r="AB7" s="10">
        <f t="shared" si="0"/>
        <v>28351.599999999995</v>
      </c>
      <c r="AC7" s="10">
        <f t="shared" si="0"/>
        <v>26002.300000000003</v>
      </c>
      <c r="AD7" s="10">
        <f aca="true" t="shared" si="4" ref="AD7:AD45">AC7/AB7*100</f>
        <v>91.71369517064295</v>
      </c>
      <c r="AE7" s="10">
        <f t="shared" si="0"/>
        <v>25184.4</v>
      </c>
      <c r="AF7" s="10">
        <f t="shared" si="0"/>
        <v>25506</v>
      </c>
      <c r="AG7" s="10">
        <f aca="true" t="shared" si="5" ref="AG7:AG45">AF7/AE7*100</f>
        <v>101.27698098823082</v>
      </c>
      <c r="AH7" s="10">
        <f t="shared" si="0"/>
        <v>29120.1</v>
      </c>
      <c r="AI7" s="10">
        <f t="shared" si="0"/>
        <v>26418.7</v>
      </c>
      <c r="AJ7" s="10">
        <f aca="true" t="shared" si="6" ref="AJ7:AJ45">AI7/AH7*100</f>
        <v>90.72324614269868</v>
      </c>
      <c r="AK7" s="10">
        <f t="shared" si="0"/>
        <v>74620.99999999997</v>
      </c>
      <c r="AL7" s="10">
        <f t="shared" si="0"/>
        <v>69564.19999999998</v>
      </c>
      <c r="AM7" s="10">
        <f t="shared" si="0"/>
        <v>2819.595707608305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0</v>
      </c>
      <c r="AT7" s="10">
        <f>SUM(AT8:AT42)-AT33-AT34</f>
        <v>241751.03999999998</v>
      </c>
      <c r="AU7" s="10">
        <f t="shared" si="0"/>
        <v>193297.24000000002</v>
      </c>
      <c r="AV7" s="10">
        <f aca="true" t="shared" si="7" ref="AV7:AV44">AU7/AT7*100</f>
        <v>79.95714930533497</v>
      </c>
      <c r="AW7" s="10">
        <f>SUM(AW8:AW42)-AW33-AW34</f>
        <v>48453.8</v>
      </c>
      <c r="AX7" s="10">
        <f>SUM(AX8:AX42)-AX33-AX34</f>
        <v>78569.3</v>
      </c>
      <c r="AY7" s="20">
        <f>M7+Y7+AB7+AE7+AH7</f>
        <v>241751.04</v>
      </c>
      <c r="AZ7" s="20">
        <f>N7+Z7+AC7+AF7+AI7</f>
        <v>193297.24</v>
      </c>
      <c r="BA7" s="69">
        <f>C7+AY7-AZ7</f>
        <v>78569.29999999999</v>
      </c>
      <c r="BB7" s="20"/>
      <c r="BC7" s="20"/>
      <c r="BD7" s="20"/>
      <c r="BE7" s="20"/>
      <c r="BF7" s="18"/>
      <c r="BG7" s="18"/>
      <c r="BH7" s="18"/>
      <c r="BI7" s="18"/>
    </row>
    <row r="8" spans="1:61" ht="34.5" customHeight="1">
      <c r="A8" s="12" t="s">
        <v>5</v>
      </c>
      <c r="B8" s="57" t="s">
        <v>49</v>
      </c>
      <c r="C8" s="70">
        <v>-1131.5</v>
      </c>
      <c r="D8" s="35">
        <v>852.6</v>
      </c>
      <c r="E8" s="35">
        <v>1204.8</v>
      </c>
      <c r="F8" s="52">
        <f t="shared" si="1"/>
        <v>141.30893736805066</v>
      </c>
      <c r="G8" s="35">
        <v>1704.3</v>
      </c>
      <c r="H8" s="35">
        <v>1093.8</v>
      </c>
      <c r="I8" s="10">
        <f aca="true" t="shared" si="8" ref="I8:I45">H8/G8*100</f>
        <v>64.17884175321245</v>
      </c>
      <c r="J8" s="35">
        <v>1670</v>
      </c>
      <c r="K8" s="35">
        <v>1324.9</v>
      </c>
      <c r="L8" s="10">
        <f aca="true" t="shared" si="9" ref="L8:L25">K8/J8*100</f>
        <v>79.33532934131738</v>
      </c>
      <c r="M8" s="71">
        <f>D8+G8+J8</f>
        <v>4226.9</v>
      </c>
      <c r="N8" s="71">
        <f>E8+H8+K8</f>
        <v>3623.5</v>
      </c>
      <c r="O8" s="10">
        <f aca="true" t="shared" si="10" ref="O8:O45">N8/M8*100</f>
        <v>85.72476282855048</v>
      </c>
      <c r="P8" s="35">
        <v>1708.3</v>
      </c>
      <c r="Q8" s="35">
        <v>1291.8</v>
      </c>
      <c r="R8" s="10">
        <f aca="true" t="shared" si="11" ref="R8:R45">Q8/P8*100</f>
        <v>75.61903646900427</v>
      </c>
      <c r="S8" s="35">
        <v>2314.6</v>
      </c>
      <c r="T8" s="35">
        <v>1464.8</v>
      </c>
      <c r="U8" s="10">
        <f aca="true" t="shared" si="12" ref="U8:U45">T8/S8*100</f>
        <v>63.2852328696103</v>
      </c>
      <c r="V8" s="35">
        <v>1853.8</v>
      </c>
      <c r="W8" s="35">
        <v>1419.6</v>
      </c>
      <c r="X8" s="10">
        <f t="shared" si="2"/>
        <v>76.57784011220195</v>
      </c>
      <c r="Y8" s="71">
        <f>P8+S8+V8</f>
        <v>5876.7</v>
      </c>
      <c r="Z8" s="71">
        <f>Q8+T8+W8</f>
        <v>4176.2</v>
      </c>
      <c r="AA8" s="10">
        <f t="shared" si="3"/>
        <v>71.06369220821209</v>
      </c>
      <c r="AB8" s="35">
        <v>1759.4</v>
      </c>
      <c r="AC8" s="35">
        <v>1660.7</v>
      </c>
      <c r="AD8" s="10">
        <f t="shared" si="4"/>
        <v>94.39013299988632</v>
      </c>
      <c r="AE8" s="35">
        <v>1749.7</v>
      </c>
      <c r="AF8" s="35">
        <v>1503.8</v>
      </c>
      <c r="AG8" s="10">
        <f t="shared" si="5"/>
        <v>85.94616219923415</v>
      </c>
      <c r="AH8" s="35">
        <v>1629.4</v>
      </c>
      <c r="AI8" s="35">
        <v>1721.6</v>
      </c>
      <c r="AJ8" s="10">
        <f t="shared" si="6"/>
        <v>105.65852461028598</v>
      </c>
      <c r="AK8" s="71">
        <f>AB8+AE8+AH8</f>
        <v>5138.5</v>
      </c>
      <c r="AL8" s="71">
        <f>AC8+AF8+AI8</f>
        <v>4886.1</v>
      </c>
      <c r="AM8" s="10">
        <f aca="true" t="shared" si="13" ref="AM8:AM28">AL8/AK8*100</f>
        <v>95.08806071810841</v>
      </c>
      <c r="AN8" s="35"/>
      <c r="AO8" s="35"/>
      <c r="AP8" s="35"/>
      <c r="AQ8" s="35"/>
      <c r="AR8" s="35"/>
      <c r="AS8" s="35"/>
      <c r="AT8" s="58">
        <f>M8+Y8+AK8+AN8+AP8+AR8</f>
        <v>15242.099999999999</v>
      </c>
      <c r="AU8" s="58">
        <f>N8+Z8+AL8+AO8+AQ8+AS8</f>
        <v>12685.8</v>
      </c>
      <c r="AV8" s="10">
        <f t="shared" si="7"/>
        <v>83.22868896018265</v>
      </c>
      <c r="AW8" s="71">
        <f>AT8-AU8</f>
        <v>2556.2999999999993</v>
      </c>
      <c r="AX8" s="72">
        <f>C8+AT8-AU8</f>
        <v>1424.7999999999993</v>
      </c>
      <c r="AY8" s="20">
        <f aca="true" t="shared" si="14" ref="AY8:AY45">M8+Y8+AB8+AE8+AH8</f>
        <v>15242.099999999999</v>
      </c>
      <c r="AZ8" s="20">
        <f aca="true" t="shared" si="15" ref="AZ8:AZ45">N8+Z8+AC8+AF8+AI8</f>
        <v>12685.8</v>
      </c>
      <c r="BA8" s="69">
        <f aca="true" t="shared" si="16" ref="BA8:BA45">C8+AY8-AZ8</f>
        <v>1424.7999999999993</v>
      </c>
      <c r="BB8" s="36"/>
      <c r="BC8" s="37"/>
      <c r="BD8" s="37"/>
      <c r="BE8" s="36"/>
      <c r="BF8" s="37"/>
      <c r="BG8" s="37"/>
      <c r="BH8" s="37"/>
      <c r="BI8" s="37"/>
    </row>
    <row r="9" spans="1:61" ht="34.5" customHeight="1">
      <c r="A9" s="12" t="s">
        <v>6</v>
      </c>
      <c r="B9" s="59" t="s">
        <v>65</v>
      </c>
      <c r="C9" s="70">
        <v>-234.6</v>
      </c>
      <c r="D9" s="35">
        <v>82.1</v>
      </c>
      <c r="E9" s="35">
        <v>136.8</v>
      </c>
      <c r="F9" s="52">
        <f t="shared" si="1"/>
        <v>166.62606577344704</v>
      </c>
      <c r="G9" s="35">
        <v>343.8</v>
      </c>
      <c r="H9" s="35">
        <v>146.6</v>
      </c>
      <c r="I9" s="10">
        <f t="shared" si="8"/>
        <v>42.64107038976149</v>
      </c>
      <c r="J9" s="35">
        <v>328.8</v>
      </c>
      <c r="K9" s="35">
        <v>230.5</v>
      </c>
      <c r="L9" s="10">
        <f t="shared" si="9"/>
        <v>70.10340632603406</v>
      </c>
      <c r="M9" s="71">
        <f aca="true" t="shared" si="17" ref="M9:M44">D9+G9+J9</f>
        <v>754.7</v>
      </c>
      <c r="N9" s="71">
        <f aca="true" t="shared" si="18" ref="N9:N44">E9+H9+K9</f>
        <v>513.9</v>
      </c>
      <c r="O9" s="10">
        <f t="shared" si="10"/>
        <v>68.09328209884723</v>
      </c>
      <c r="P9" s="35">
        <v>292.2</v>
      </c>
      <c r="Q9" s="35">
        <v>232.3</v>
      </c>
      <c r="R9" s="10">
        <f t="shared" si="11"/>
        <v>79.5003422313484</v>
      </c>
      <c r="S9" s="35">
        <v>562.5</v>
      </c>
      <c r="T9" s="35">
        <v>258.3</v>
      </c>
      <c r="U9" s="10">
        <f t="shared" si="12"/>
        <v>45.92</v>
      </c>
      <c r="V9" s="35">
        <v>291.1</v>
      </c>
      <c r="W9" s="35">
        <v>263.1</v>
      </c>
      <c r="X9" s="10">
        <f t="shared" si="2"/>
        <v>90.38131226382686</v>
      </c>
      <c r="Y9" s="71">
        <f aca="true" t="shared" si="19" ref="Y9:Y28">P9+S9+V9</f>
        <v>1145.8000000000002</v>
      </c>
      <c r="Z9" s="71">
        <f aca="true" t="shared" si="20" ref="Z9:Z28">Q9+T9+W9</f>
        <v>753.7</v>
      </c>
      <c r="AA9" s="10">
        <f t="shared" si="3"/>
        <v>65.77936812707279</v>
      </c>
      <c r="AB9" s="35">
        <v>296.1</v>
      </c>
      <c r="AC9" s="35">
        <v>296.4</v>
      </c>
      <c r="AD9" s="10">
        <f t="shared" si="4"/>
        <v>100.10131712259371</v>
      </c>
      <c r="AE9" s="35">
        <v>278.9</v>
      </c>
      <c r="AF9" s="35">
        <v>280.8</v>
      </c>
      <c r="AG9" s="10">
        <f t="shared" si="5"/>
        <v>100.68124775905343</v>
      </c>
      <c r="AH9" s="35">
        <v>330</v>
      </c>
      <c r="AI9" s="35">
        <v>285.6</v>
      </c>
      <c r="AJ9" s="10">
        <f t="shared" si="6"/>
        <v>86.54545454545455</v>
      </c>
      <c r="AK9" s="71">
        <f aca="true" t="shared" si="21" ref="AK9:AK42">AB9+AE9+AH9</f>
        <v>905</v>
      </c>
      <c r="AL9" s="71">
        <f aca="true" t="shared" si="22" ref="AL9:AL42">AC9+AF9+AI9</f>
        <v>862.8000000000001</v>
      </c>
      <c r="AM9" s="10">
        <f t="shared" si="13"/>
        <v>95.33701657458565</v>
      </c>
      <c r="AN9" s="35"/>
      <c r="AO9" s="35"/>
      <c r="AP9" s="35"/>
      <c r="AQ9" s="35"/>
      <c r="AR9" s="35"/>
      <c r="AS9" s="35"/>
      <c r="AT9" s="58">
        <f aca="true" t="shared" si="23" ref="AT9:AT42">M9+Y9+AK9+AN9+AP9+AR9</f>
        <v>2805.5</v>
      </c>
      <c r="AU9" s="58">
        <f aca="true" t="shared" si="24" ref="AU9:AU42">N9+Z9+AL9+AO9+AQ9+AS9</f>
        <v>2130.4</v>
      </c>
      <c r="AV9" s="10">
        <f t="shared" si="7"/>
        <v>75.93655319907326</v>
      </c>
      <c r="AW9" s="71">
        <f aca="true" t="shared" si="25" ref="AW9:AW44">AT9-AU9</f>
        <v>675.0999999999999</v>
      </c>
      <c r="AX9" s="72">
        <f aca="true" t="shared" si="26" ref="AX9:AX44">C9+AT9-AU9</f>
        <v>440.5</v>
      </c>
      <c r="AY9" s="20">
        <f t="shared" si="14"/>
        <v>2805.5000000000005</v>
      </c>
      <c r="AZ9" s="20">
        <f t="shared" si="15"/>
        <v>2130.4</v>
      </c>
      <c r="BA9" s="69">
        <f t="shared" si="16"/>
        <v>440.50000000000045</v>
      </c>
      <c r="BB9" s="36"/>
      <c r="BC9" s="37"/>
      <c r="BD9" s="37"/>
      <c r="BE9" s="36"/>
      <c r="BF9" s="37"/>
      <c r="BG9" s="37"/>
      <c r="BH9" s="37"/>
      <c r="BI9" s="37"/>
    </row>
    <row r="10" spans="1:61" ht="34.5" customHeight="1">
      <c r="A10" s="12" t="s">
        <v>7</v>
      </c>
      <c r="B10" s="61" t="s">
        <v>87</v>
      </c>
      <c r="C10" s="73">
        <v>0</v>
      </c>
      <c r="D10" s="35">
        <v>0</v>
      </c>
      <c r="E10" s="35">
        <v>0</v>
      </c>
      <c r="F10" s="85" t="e">
        <f t="shared" si="1"/>
        <v>#DIV/0!</v>
      </c>
      <c r="G10" s="35">
        <v>4.8</v>
      </c>
      <c r="H10" s="35">
        <v>4.8</v>
      </c>
      <c r="I10" s="10">
        <f t="shared" si="8"/>
        <v>100</v>
      </c>
      <c r="J10" s="35">
        <v>0</v>
      </c>
      <c r="K10" s="35">
        <v>0</v>
      </c>
      <c r="L10" s="107">
        <v>0</v>
      </c>
      <c r="M10" s="71">
        <f t="shared" si="17"/>
        <v>4.8</v>
      </c>
      <c r="N10" s="71">
        <f t="shared" si="18"/>
        <v>4.8</v>
      </c>
      <c r="O10" s="10">
        <f t="shared" si="10"/>
        <v>100</v>
      </c>
      <c r="P10" s="35">
        <v>0</v>
      </c>
      <c r="Q10" s="35">
        <v>0</v>
      </c>
      <c r="R10" s="85" t="e">
        <f t="shared" si="11"/>
        <v>#DIV/0!</v>
      </c>
      <c r="S10" s="35">
        <v>0</v>
      </c>
      <c r="T10" s="35">
        <v>0</v>
      </c>
      <c r="U10" s="85" t="e">
        <f t="shared" si="12"/>
        <v>#DIV/0!</v>
      </c>
      <c r="V10" s="35">
        <v>0</v>
      </c>
      <c r="W10" s="35">
        <v>0</v>
      </c>
      <c r="X10" s="85" t="e">
        <f t="shared" si="2"/>
        <v>#DIV/0!</v>
      </c>
      <c r="Y10" s="71">
        <f t="shared" si="19"/>
        <v>0</v>
      </c>
      <c r="Z10" s="71">
        <f t="shared" si="20"/>
        <v>0</v>
      </c>
      <c r="AA10" s="85" t="e">
        <f t="shared" si="3"/>
        <v>#DIV/0!</v>
      </c>
      <c r="AB10" s="35">
        <v>0</v>
      </c>
      <c r="AC10" s="35">
        <v>0</v>
      </c>
      <c r="AD10" s="85" t="e">
        <f t="shared" si="4"/>
        <v>#DIV/0!</v>
      </c>
      <c r="AE10" s="35">
        <v>4.8</v>
      </c>
      <c r="AF10" s="35">
        <v>4.8</v>
      </c>
      <c r="AG10" s="10">
        <f t="shared" si="5"/>
        <v>100</v>
      </c>
      <c r="AH10" s="35">
        <v>4.8</v>
      </c>
      <c r="AI10" s="35">
        <v>4.8</v>
      </c>
      <c r="AJ10" s="10">
        <f t="shared" si="6"/>
        <v>100</v>
      </c>
      <c r="AK10" s="71">
        <f t="shared" si="21"/>
        <v>9.6</v>
      </c>
      <c r="AL10" s="71">
        <f t="shared" si="22"/>
        <v>9.6</v>
      </c>
      <c r="AM10" s="85">
        <f t="shared" si="13"/>
        <v>100</v>
      </c>
      <c r="AN10" s="35"/>
      <c r="AO10" s="35"/>
      <c r="AP10" s="35"/>
      <c r="AQ10" s="35"/>
      <c r="AR10" s="35"/>
      <c r="AS10" s="35"/>
      <c r="AT10" s="58">
        <f t="shared" si="23"/>
        <v>14.399999999999999</v>
      </c>
      <c r="AU10" s="58">
        <f t="shared" si="24"/>
        <v>14.399999999999999</v>
      </c>
      <c r="AV10" s="10">
        <f t="shared" si="7"/>
        <v>100</v>
      </c>
      <c r="AW10" s="71">
        <f t="shared" si="25"/>
        <v>0</v>
      </c>
      <c r="AX10" s="72">
        <f t="shared" si="26"/>
        <v>0</v>
      </c>
      <c r="AY10" s="20">
        <f t="shared" si="14"/>
        <v>14.399999999999999</v>
      </c>
      <c r="AZ10" s="20">
        <f t="shared" si="15"/>
        <v>14.399999999999999</v>
      </c>
      <c r="BA10" s="69">
        <f t="shared" si="16"/>
        <v>0</v>
      </c>
      <c r="BB10" s="36"/>
      <c r="BC10" s="37"/>
      <c r="BD10" s="37"/>
      <c r="BE10" s="36"/>
      <c r="BF10" s="37"/>
      <c r="BG10" s="37"/>
      <c r="BH10" s="37"/>
      <c r="BI10" s="37"/>
    </row>
    <row r="11" spans="1:61" ht="34.5" customHeight="1">
      <c r="A11" s="12" t="s">
        <v>8</v>
      </c>
      <c r="B11" s="57" t="s">
        <v>50</v>
      </c>
      <c r="C11" s="70">
        <v>-412.9</v>
      </c>
      <c r="D11" s="35">
        <v>395.8</v>
      </c>
      <c r="E11" s="35">
        <v>527.2</v>
      </c>
      <c r="F11" s="52">
        <f t="shared" si="1"/>
        <v>133.19858514401213</v>
      </c>
      <c r="G11" s="35">
        <v>393.6</v>
      </c>
      <c r="H11" s="35">
        <v>217.1</v>
      </c>
      <c r="I11" s="10">
        <f t="shared" si="8"/>
        <v>55.157520325203244</v>
      </c>
      <c r="J11" s="35">
        <v>374.5</v>
      </c>
      <c r="K11" s="35">
        <v>267.2</v>
      </c>
      <c r="L11" s="10">
        <f t="shared" si="9"/>
        <v>71.34846461949266</v>
      </c>
      <c r="M11" s="71">
        <f t="shared" si="17"/>
        <v>1163.9</v>
      </c>
      <c r="N11" s="71">
        <f t="shared" si="18"/>
        <v>1011.5</v>
      </c>
      <c r="O11" s="10">
        <f t="shared" si="10"/>
        <v>86.90609158862445</v>
      </c>
      <c r="P11" s="35">
        <v>357.5</v>
      </c>
      <c r="Q11" s="35">
        <v>242.3</v>
      </c>
      <c r="R11" s="10">
        <f t="shared" si="11"/>
        <v>67.77622377622377</v>
      </c>
      <c r="S11" s="35">
        <v>399.9</v>
      </c>
      <c r="T11" s="35">
        <v>256</v>
      </c>
      <c r="U11" s="10">
        <f t="shared" si="12"/>
        <v>64.01600400100025</v>
      </c>
      <c r="V11" s="35">
        <v>534.4</v>
      </c>
      <c r="W11" s="35">
        <v>333.3</v>
      </c>
      <c r="X11" s="10">
        <f t="shared" si="2"/>
        <v>62.36901197604791</v>
      </c>
      <c r="Y11" s="71">
        <f t="shared" si="19"/>
        <v>1291.8</v>
      </c>
      <c r="Z11" s="71">
        <f t="shared" si="20"/>
        <v>831.6</v>
      </c>
      <c r="AA11" s="10">
        <f t="shared" si="3"/>
        <v>64.37529029261496</v>
      </c>
      <c r="AB11" s="35">
        <v>523.2</v>
      </c>
      <c r="AC11" s="35">
        <v>415.2</v>
      </c>
      <c r="AD11" s="10">
        <f t="shared" si="4"/>
        <v>79.35779816513761</v>
      </c>
      <c r="AE11" s="35">
        <v>520.7</v>
      </c>
      <c r="AF11" s="35">
        <v>499.7</v>
      </c>
      <c r="AG11" s="10">
        <f t="shared" si="5"/>
        <v>95.96696754369117</v>
      </c>
      <c r="AH11" s="35">
        <v>519.8</v>
      </c>
      <c r="AI11" s="35">
        <v>520.1</v>
      </c>
      <c r="AJ11" s="10">
        <f t="shared" si="6"/>
        <v>100.05771450557907</v>
      </c>
      <c r="AK11" s="71">
        <f t="shared" si="21"/>
        <v>1563.7</v>
      </c>
      <c r="AL11" s="71">
        <f t="shared" si="22"/>
        <v>1435</v>
      </c>
      <c r="AM11" s="10">
        <f t="shared" si="13"/>
        <v>91.76952100786596</v>
      </c>
      <c r="AN11" s="35"/>
      <c r="AO11" s="35"/>
      <c r="AP11" s="35"/>
      <c r="AQ11" s="35"/>
      <c r="AR11" s="35"/>
      <c r="AS11" s="35"/>
      <c r="AT11" s="58">
        <f t="shared" si="23"/>
        <v>4019.3999999999996</v>
      </c>
      <c r="AU11" s="58">
        <f t="shared" si="24"/>
        <v>3278.1</v>
      </c>
      <c r="AV11" s="10">
        <f t="shared" si="7"/>
        <v>81.55694879832811</v>
      </c>
      <c r="AW11" s="71">
        <f t="shared" si="25"/>
        <v>741.2999999999997</v>
      </c>
      <c r="AX11" s="72">
        <f t="shared" si="26"/>
        <v>328.39999999999964</v>
      </c>
      <c r="AY11" s="20">
        <f t="shared" si="14"/>
        <v>4019.3999999999996</v>
      </c>
      <c r="AZ11" s="20">
        <f t="shared" si="15"/>
        <v>3278.0999999999995</v>
      </c>
      <c r="BA11" s="69">
        <f t="shared" si="16"/>
        <v>328.4000000000001</v>
      </c>
      <c r="BB11" s="36"/>
      <c r="BC11" s="37"/>
      <c r="BD11" s="37"/>
      <c r="BE11" s="36"/>
      <c r="BF11" s="37"/>
      <c r="BG11" s="37"/>
      <c r="BH11" s="37"/>
      <c r="BI11" s="37"/>
    </row>
    <row r="12" spans="1:61" ht="34.5" customHeight="1">
      <c r="A12" s="12" t="s">
        <v>9</v>
      </c>
      <c r="B12" s="57" t="s">
        <v>51</v>
      </c>
      <c r="C12" s="70">
        <v>-103</v>
      </c>
      <c r="D12" s="35">
        <v>77.5</v>
      </c>
      <c r="E12" s="35">
        <v>114</v>
      </c>
      <c r="F12" s="52">
        <f t="shared" si="1"/>
        <v>147.09677419354838</v>
      </c>
      <c r="G12" s="35">
        <v>277.4</v>
      </c>
      <c r="H12" s="35">
        <v>108.4</v>
      </c>
      <c r="I12" s="10">
        <f t="shared" si="8"/>
        <v>39.07714491708724</v>
      </c>
      <c r="J12" s="35">
        <v>247.4</v>
      </c>
      <c r="K12" s="35">
        <v>177.5</v>
      </c>
      <c r="L12" s="10">
        <f t="shared" si="9"/>
        <v>71.7461600646726</v>
      </c>
      <c r="M12" s="71">
        <f t="shared" si="17"/>
        <v>602.3</v>
      </c>
      <c r="N12" s="71">
        <f t="shared" si="18"/>
        <v>399.9</v>
      </c>
      <c r="O12" s="10">
        <f t="shared" si="10"/>
        <v>66.39548397808402</v>
      </c>
      <c r="P12" s="35">
        <v>237.1</v>
      </c>
      <c r="Q12" s="35">
        <v>188.3</v>
      </c>
      <c r="R12" s="10">
        <f t="shared" si="11"/>
        <v>79.4179671024884</v>
      </c>
      <c r="S12" s="35">
        <v>332.3</v>
      </c>
      <c r="T12" s="35">
        <v>212.8</v>
      </c>
      <c r="U12" s="10">
        <f t="shared" si="12"/>
        <v>64.03851941017153</v>
      </c>
      <c r="V12" s="35">
        <v>237.6</v>
      </c>
      <c r="W12" s="35">
        <v>201.8</v>
      </c>
      <c r="X12" s="103">
        <f t="shared" si="2"/>
        <v>84.93265993265993</v>
      </c>
      <c r="Y12" s="71">
        <f>P12+S12+V12</f>
        <v>807</v>
      </c>
      <c r="Z12" s="71">
        <f t="shared" si="20"/>
        <v>602.9000000000001</v>
      </c>
      <c r="AA12" s="10">
        <f t="shared" si="3"/>
        <v>74.70879801734822</v>
      </c>
      <c r="AB12" s="35">
        <v>309.1</v>
      </c>
      <c r="AC12" s="35">
        <v>243</v>
      </c>
      <c r="AD12" s="10">
        <f t="shared" si="4"/>
        <v>78.61533484309284</v>
      </c>
      <c r="AE12" s="35">
        <v>320.6</v>
      </c>
      <c r="AF12" s="35">
        <v>255.5</v>
      </c>
      <c r="AG12" s="10">
        <f t="shared" si="5"/>
        <v>79.6943231441048</v>
      </c>
      <c r="AH12" s="35">
        <v>362.5</v>
      </c>
      <c r="AI12" s="35">
        <v>328.7</v>
      </c>
      <c r="AJ12" s="10">
        <f t="shared" si="6"/>
        <v>90.67586206896551</v>
      </c>
      <c r="AK12" s="71">
        <f t="shared" si="21"/>
        <v>992.2</v>
      </c>
      <c r="AL12" s="71">
        <f t="shared" si="22"/>
        <v>827.2</v>
      </c>
      <c r="AM12" s="10">
        <f t="shared" si="13"/>
        <v>83.37028824833703</v>
      </c>
      <c r="AN12" s="35"/>
      <c r="AO12" s="35"/>
      <c r="AP12" s="35"/>
      <c r="AQ12" s="35"/>
      <c r="AR12" s="35"/>
      <c r="AS12" s="35"/>
      <c r="AT12" s="58">
        <f t="shared" si="23"/>
        <v>2401.5</v>
      </c>
      <c r="AU12" s="58">
        <f t="shared" si="24"/>
        <v>1830</v>
      </c>
      <c r="AV12" s="10">
        <f t="shared" si="7"/>
        <v>76.20237351655216</v>
      </c>
      <c r="AW12" s="71">
        <f t="shared" si="25"/>
        <v>571.5</v>
      </c>
      <c r="AX12" s="72">
        <f t="shared" si="26"/>
        <v>468.5</v>
      </c>
      <c r="AY12" s="20">
        <f t="shared" si="14"/>
        <v>2401.5</v>
      </c>
      <c r="AZ12" s="20">
        <f t="shared" si="15"/>
        <v>1830.0000000000002</v>
      </c>
      <c r="BA12" s="69">
        <f t="shared" si="16"/>
        <v>468.4999999999998</v>
      </c>
      <c r="BB12" s="36"/>
      <c r="BC12" s="37"/>
      <c r="BD12" s="37"/>
      <c r="BE12" s="36"/>
      <c r="BF12" s="37"/>
      <c r="BG12" s="37"/>
      <c r="BH12" s="37"/>
      <c r="BI12" s="37"/>
    </row>
    <row r="13" spans="1:61" ht="34.5" customHeight="1">
      <c r="A13" s="12" t="s">
        <v>10</v>
      </c>
      <c r="B13" s="57" t="s">
        <v>52</v>
      </c>
      <c r="C13" s="70">
        <v>-748.2</v>
      </c>
      <c r="D13" s="35">
        <v>160.1</v>
      </c>
      <c r="E13" s="35">
        <v>261.8</v>
      </c>
      <c r="F13" s="52">
        <f t="shared" si="1"/>
        <v>163.5227982510931</v>
      </c>
      <c r="G13" s="35">
        <v>384.8</v>
      </c>
      <c r="H13" s="35">
        <v>224.9</v>
      </c>
      <c r="I13" s="10">
        <f t="shared" si="8"/>
        <v>58.445945945945944</v>
      </c>
      <c r="J13" s="35">
        <v>394.1</v>
      </c>
      <c r="K13" s="35">
        <v>277.5</v>
      </c>
      <c r="L13" s="10">
        <f t="shared" si="9"/>
        <v>70.41360060898249</v>
      </c>
      <c r="M13" s="71">
        <f t="shared" si="17"/>
        <v>939</v>
      </c>
      <c r="N13" s="71">
        <f t="shared" si="18"/>
        <v>764.2</v>
      </c>
      <c r="O13" s="10">
        <f t="shared" si="10"/>
        <v>81.38445154419595</v>
      </c>
      <c r="P13" s="35">
        <v>383.2</v>
      </c>
      <c r="Q13" s="35">
        <v>270.7</v>
      </c>
      <c r="R13" s="10">
        <f t="shared" si="11"/>
        <v>70.6419624217119</v>
      </c>
      <c r="S13" s="35">
        <v>586</v>
      </c>
      <c r="T13" s="35">
        <v>308.2</v>
      </c>
      <c r="U13" s="10">
        <f t="shared" si="12"/>
        <v>52.593856655290104</v>
      </c>
      <c r="V13" s="35">
        <v>419.9</v>
      </c>
      <c r="W13" s="35">
        <v>320.5</v>
      </c>
      <c r="X13" s="10">
        <f t="shared" si="2"/>
        <v>76.32769707073112</v>
      </c>
      <c r="Y13" s="71">
        <f t="shared" si="19"/>
        <v>1389.1</v>
      </c>
      <c r="Z13" s="71">
        <f t="shared" si="20"/>
        <v>899.4</v>
      </c>
      <c r="AA13" s="10">
        <f t="shared" si="3"/>
        <v>64.74695846231373</v>
      </c>
      <c r="AB13" s="35">
        <v>462.6</v>
      </c>
      <c r="AC13" s="35">
        <v>357.3</v>
      </c>
      <c r="AD13" s="10">
        <f t="shared" si="4"/>
        <v>77.23735408560312</v>
      </c>
      <c r="AE13" s="35">
        <v>666.2</v>
      </c>
      <c r="AF13" s="35">
        <v>377.9</v>
      </c>
      <c r="AG13" s="10">
        <f t="shared" si="5"/>
        <v>56.72470729510657</v>
      </c>
      <c r="AH13" s="35">
        <v>620.1</v>
      </c>
      <c r="AI13" s="35">
        <v>539.3</v>
      </c>
      <c r="AJ13" s="10">
        <f t="shared" si="6"/>
        <v>86.96984357361714</v>
      </c>
      <c r="AK13" s="71">
        <f t="shared" si="21"/>
        <v>1748.9</v>
      </c>
      <c r="AL13" s="71">
        <f t="shared" si="22"/>
        <v>1274.5</v>
      </c>
      <c r="AM13" s="10">
        <f t="shared" si="13"/>
        <v>72.87437818057064</v>
      </c>
      <c r="AN13" s="35"/>
      <c r="AO13" s="35"/>
      <c r="AP13" s="35"/>
      <c r="AQ13" s="35"/>
      <c r="AR13" s="35"/>
      <c r="AS13" s="35"/>
      <c r="AT13" s="58">
        <f t="shared" si="23"/>
        <v>4077</v>
      </c>
      <c r="AU13" s="58">
        <f t="shared" si="24"/>
        <v>2938.1</v>
      </c>
      <c r="AV13" s="10">
        <f t="shared" si="7"/>
        <v>72.06524405199902</v>
      </c>
      <c r="AW13" s="71">
        <f t="shared" si="25"/>
        <v>1138.9</v>
      </c>
      <c r="AX13" s="72">
        <f t="shared" si="26"/>
        <v>390.7000000000003</v>
      </c>
      <c r="AY13" s="20">
        <f t="shared" si="14"/>
        <v>4076.9999999999995</v>
      </c>
      <c r="AZ13" s="20">
        <f t="shared" si="15"/>
        <v>2938.0999999999995</v>
      </c>
      <c r="BA13" s="69">
        <f t="shared" si="16"/>
        <v>390.6999999999998</v>
      </c>
      <c r="BB13" s="36"/>
      <c r="BC13" s="37"/>
      <c r="BD13" s="37"/>
      <c r="BE13" s="36"/>
      <c r="BF13" s="37"/>
      <c r="BG13" s="37"/>
      <c r="BH13" s="37"/>
      <c r="BI13" s="37"/>
    </row>
    <row r="14" spans="1:61" ht="34.5" customHeight="1">
      <c r="A14" s="12" t="s">
        <v>11</v>
      </c>
      <c r="B14" s="57" t="s">
        <v>88</v>
      </c>
      <c r="C14" s="70">
        <v>-327.6</v>
      </c>
      <c r="D14" s="35">
        <v>42.8</v>
      </c>
      <c r="E14" s="35">
        <v>45.3</v>
      </c>
      <c r="F14" s="52">
        <f t="shared" si="1"/>
        <v>105.8411214953271</v>
      </c>
      <c r="G14" s="35">
        <v>107</v>
      </c>
      <c r="H14" s="35">
        <v>46.3</v>
      </c>
      <c r="I14" s="10">
        <f t="shared" si="8"/>
        <v>43.271028037383175</v>
      </c>
      <c r="J14" s="35">
        <v>122</v>
      </c>
      <c r="K14" s="35">
        <v>66.7</v>
      </c>
      <c r="L14" s="10">
        <f t="shared" si="9"/>
        <v>54.67213114754098</v>
      </c>
      <c r="M14" s="71">
        <f t="shared" si="17"/>
        <v>271.8</v>
      </c>
      <c r="N14" s="71">
        <f t="shared" si="18"/>
        <v>158.3</v>
      </c>
      <c r="O14" s="10">
        <f t="shared" si="10"/>
        <v>58.24135393671818</v>
      </c>
      <c r="P14" s="35">
        <v>131.7</v>
      </c>
      <c r="Q14" s="35">
        <v>63.4</v>
      </c>
      <c r="R14" s="10">
        <f t="shared" si="11"/>
        <v>48.13971146545179</v>
      </c>
      <c r="S14" s="35">
        <v>123.3</v>
      </c>
      <c r="T14" s="35">
        <v>70.6</v>
      </c>
      <c r="U14" s="10">
        <f t="shared" si="12"/>
        <v>57.258718572587185</v>
      </c>
      <c r="V14" s="35">
        <v>165.7</v>
      </c>
      <c r="W14" s="35">
        <v>72.7</v>
      </c>
      <c r="X14" s="10">
        <f t="shared" si="2"/>
        <v>43.874471937235974</v>
      </c>
      <c r="Y14" s="71">
        <f t="shared" si="19"/>
        <v>420.7</v>
      </c>
      <c r="Z14" s="71">
        <f t="shared" si="20"/>
        <v>206.7</v>
      </c>
      <c r="AA14" s="10">
        <f t="shared" si="3"/>
        <v>49.132398383646304</v>
      </c>
      <c r="AB14" s="35">
        <v>145.1</v>
      </c>
      <c r="AC14" s="35">
        <v>113.4</v>
      </c>
      <c r="AD14" s="10">
        <f t="shared" si="4"/>
        <v>78.15299793246038</v>
      </c>
      <c r="AE14" s="35">
        <v>188.7</v>
      </c>
      <c r="AF14" s="35">
        <v>95.5</v>
      </c>
      <c r="AG14" s="10">
        <f t="shared" si="5"/>
        <v>50.60943296237414</v>
      </c>
      <c r="AH14" s="35">
        <v>160.3</v>
      </c>
      <c r="AI14" s="35">
        <v>134.6</v>
      </c>
      <c r="AJ14" s="10">
        <f t="shared" si="6"/>
        <v>83.96756082345601</v>
      </c>
      <c r="AK14" s="71">
        <f t="shared" si="21"/>
        <v>494.09999999999997</v>
      </c>
      <c r="AL14" s="71">
        <f t="shared" si="22"/>
        <v>343.5</v>
      </c>
      <c r="AM14" s="10">
        <f t="shared" si="13"/>
        <v>69.5203400121433</v>
      </c>
      <c r="AN14" s="35"/>
      <c r="AO14" s="35"/>
      <c r="AP14" s="35"/>
      <c r="AQ14" s="35"/>
      <c r="AR14" s="35"/>
      <c r="AS14" s="35"/>
      <c r="AT14" s="58">
        <f t="shared" si="23"/>
        <v>1186.6</v>
      </c>
      <c r="AU14" s="58">
        <f t="shared" si="24"/>
        <v>708.5</v>
      </c>
      <c r="AV14" s="10">
        <f t="shared" si="7"/>
        <v>59.708410584864325</v>
      </c>
      <c r="AW14" s="71">
        <f t="shared" si="25"/>
        <v>478.0999999999999</v>
      </c>
      <c r="AX14" s="72">
        <f t="shared" si="26"/>
        <v>150.4999999999999</v>
      </c>
      <c r="AY14" s="20">
        <f t="shared" si="14"/>
        <v>1186.6</v>
      </c>
      <c r="AZ14" s="20">
        <f t="shared" si="15"/>
        <v>708.5</v>
      </c>
      <c r="BA14" s="69">
        <f t="shared" si="16"/>
        <v>150.4999999999999</v>
      </c>
      <c r="BB14" s="36"/>
      <c r="BC14" s="37"/>
      <c r="BD14" s="37"/>
      <c r="BE14" s="36"/>
      <c r="BF14" s="37"/>
      <c r="BG14" s="37"/>
      <c r="BH14" s="37"/>
      <c r="BI14" s="37"/>
    </row>
    <row r="15" spans="1:61" ht="34.5" customHeight="1">
      <c r="A15" s="12" t="s">
        <v>12</v>
      </c>
      <c r="B15" s="57" t="s">
        <v>53</v>
      </c>
      <c r="C15" s="70">
        <v>269.7</v>
      </c>
      <c r="D15" s="35">
        <v>564.9</v>
      </c>
      <c r="E15" s="35">
        <v>547.5</v>
      </c>
      <c r="F15" s="52">
        <f t="shared" si="1"/>
        <v>96.9198088157196</v>
      </c>
      <c r="G15" s="35">
        <v>828</v>
      </c>
      <c r="H15" s="35">
        <v>565.3</v>
      </c>
      <c r="I15" s="10">
        <f t="shared" si="8"/>
        <v>68.27294685990337</v>
      </c>
      <c r="J15" s="35">
        <v>1083.3</v>
      </c>
      <c r="K15" s="35">
        <v>839.6</v>
      </c>
      <c r="L15" s="10">
        <f t="shared" si="9"/>
        <v>77.50392319763687</v>
      </c>
      <c r="M15" s="71">
        <f t="shared" si="17"/>
        <v>2476.2</v>
      </c>
      <c r="N15" s="71">
        <f t="shared" si="18"/>
        <v>1952.4</v>
      </c>
      <c r="O15" s="10">
        <f t="shared" si="10"/>
        <v>78.84661982069301</v>
      </c>
      <c r="P15" s="35">
        <v>934.5</v>
      </c>
      <c r="Q15" s="35">
        <v>769.9</v>
      </c>
      <c r="R15" s="10">
        <f t="shared" si="11"/>
        <v>82.38630283574103</v>
      </c>
      <c r="S15" s="35">
        <v>1229.7</v>
      </c>
      <c r="T15" s="35">
        <v>914.8</v>
      </c>
      <c r="U15" s="10">
        <f t="shared" si="12"/>
        <v>74.39212816134015</v>
      </c>
      <c r="V15" s="35">
        <v>1106.2</v>
      </c>
      <c r="W15" s="35">
        <v>946</v>
      </c>
      <c r="X15" s="10">
        <f t="shared" si="2"/>
        <v>85.51798951365032</v>
      </c>
      <c r="Y15" s="71">
        <f t="shared" si="19"/>
        <v>3270.3999999999996</v>
      </c>
      <c r="Z15" s="71">
        <f t="shared" si="20"/>
        <v>2630.7</v>
      </c>
      <c r="AA15" s="10">
        <f t="shared" si="3"/>
        <v>80.43970156555773</v>
      </c>
      <c r="AB15" s="35">
        <v>1054.9</v>
      </c>
      <c r="AC15" s="35">
        <v>1146.8</v>
      </c>
      <c r="AD15" s="10">
        <f t="shared" si="4"/>
        <v>108.71172622997437</v>
      </c>
      <c r="AE15" s="35">
        <v>1196.3</v>
      </c>
      <c r="AF15" s="35">
        <v>1102.7</v>
      </c>
      <c r="AG15" s="10">
        <f t="shared" si="5"/>
        <v>92.17587561648418</v>
      </c>
      <c r="AH15" s="35">
        <v>1246.6</v>
      </c>
      <c r="AI15" s="35">
        <v>1177.4</v>
      </c>
      <c r="AJ15" s="10">
        <f t="shared" si="6"/>
        <v>94.44890101074925</v>
      </c>
      <c r="AK15" s="71">
        <f t="shared" si="21"/>
        <v>3497.7999999999997</v>
      </c>
      <c r="AL15" s="71">
        <f t="shared" si="22"/>
        <v>3426.9</v>
      </c>
      <c r="AM15" s="10">
        <f t="shared" si="13"/>
        <v>97.97301160729603</v>
      </c>
      <c r="AN15" s="35"/>
      <c r="AO15" s="35"/>
      <c r="AP15" s="35"/>
      <c r="AQ15" s="35"/>
      <c r="AR15" s="35"/>
      <c r="AS15" s="35"/>
      <c r="AT15" s="58">
        <f t="shared" si="23"/>
        <v>9244.4</v>
      </c>
      <c r="AU15" s="58">
        <f t="shared" si="24"/>
        <v>8010</v>
      </c>
      <c r="AV15" s="10">
        <f t="shared" si="7"/>
        <v>86.64705118774609</v>
      </c>
      <c r="AW15" s="71">
        <f t="shared" si="25"/>
        <v>1234.3999999999996</v>
      </c>
      <c r="AX15" s="72">
        <f t="shared" si="26"/>
        <v>1504.1000000000004</v>
      </c>
      <c r="AY15" s="20">
        <f t="shared" si="14"/>
        <v>9244.4</v>
      </c>
      <c r="AZ15" s="20">
        <f t="shared" si="15"/>
        <v>8010</v>
      </c>
      <c r="BA15" s="69">
        <f t="shared" si="16"/>
        <v>1504.1000000000004</v>
      </c>
      <c r="BB15" s="36"/>
      <c r="BC15" s="37"/>
      <c r="BD15" s="37"/>
      <c r="BE15" s="36"/>
      <c r="BF15" s="37"/>
      <c r="BG15" s="37"/>
      <c r="BH15" s="37"/>
      <c r="BI15" s="37"/>
    </row>
    <row r="16" spans="1:61" ht="34.5" customHeight="1">
      <c r="A16" s="12" t="s">
        <v>13</v>
      </c>
      <c r="B16" s="57" t="s">
        <v>54</v>
      </c>
      <c r="C16" s="73">
        <v>33.6</v>
      </c>
      <c r="D16" s="35">
        <v>17.9</v>
      </c>
      <c r="E16" s="35">
        <v>19</v>
      </c>
      <c r="F16" s="52">
        <f t="shared" si="1"/>
        <v>106.14525139664805</v>
      </c>
      <c r="G16" s="35">
        <v>31.9</v>
      </c>
      <c r="H16" s="35">
        <v>22.6</v>
      </c>
      <c r="I16" s="10">
        <f t="shared" si="8"/>
        <v>70.84639498432603</v>
      </c>
      <c r="J16" s="35">
        <v>27.2</v>
      </c>
      <c r="K16" s="35">
        <v>24.9</v>
      </c>
      <c r="L16" s="10">
        <f t="shared" si="9"/>
        <v>91.54411764705883</v>
      </c>
      <c r="M16" s="71">
        <f t="shared" si="17"/>
        <v>77</v>
      </c>
      <c r="N16" s="71">
        <f t="shared" si="18"/>
        <v>66.5</v>
      </c>
      <c r="O16" s="10">
        <f t="shared" si="10"/>
        <v>86.36363636363636</v>
      </c>
      <c r="P16" s="35">
        <v>30.4</v>
      </c>
      <c r="Q16" s="35">
        <v>28.1</v>
      </c>
      <c r="R16" s="10">
        <f t="shared" si="11"/>
        <v>92.4342105263158</v>
      </c>
      <c r="S16" s="35">
        <v>33.2</v>
      </c>
      <c r="T16" s="35">
        <v>28.5</v>
      </c>
      <c r="U16" s="10">
        <f t="shared" si="12"/>
        <v>85.84337349397589</v>
      </c>
      <c r="V16" s="35">
        <v>43.2</v>
      </c>
      <c r="W16" s="35">
        <v>30.7</v>
      </c>
      <c r="X16" s="10">
        <f t="shared" si="2"/>
        <v>71.06481481481481</v>
      </c>
      <c r="Y16" s="71">
        <f t="shared" si="19"/>
        <v>106.80000000000001</v>
      </c>
      <c r="Z16" s="71">
        <f t="shared" si="20"/>
        <v>87.3</v>
      </c>
      <c r="AA16" s="10">
        <f t="shared" si="3"/>
        <v>81.74157303370785</v>
      </c>
      <c r="AB16" s="35">
        <v>48.7</v>
      </c>
      <c r="AC16" s="35">
        <v>41.6</v>
      </c>
      <c r="AD16" s="10">
        <f t="shared" si="4"/>
        <v>85.42094455852155</v>
      </c>
      <c r="AE16" s="35">
        <v>67.7</v>
      </c>
      <c r="AF16" s="35">
        <v>45.1</v>
      </c>
      <c r="AG16" s="10">
        <f t="shared" si="5"/>
        <v>66.61742983751846</v>
      </c>
      <c r="AH16" s="35">
        <v>82</v>
      </c>
      <c r="AI16" s="35">
        <v>56.8</v>
      </c>
      <c r="AJ16" s="10">
        <f t="shared" si="6"/>
        <v>69.26829268292683</v>
      </c>
      <c r="AK16" s="71">
        <f t="shared" si="21"/>
        <v>198.4</v>
      </c>
      <c r="AL16" s="71">
        <f t="shared" si="22"/>
        <v>143.5</v>
      </c>
      <c r="AM16" s="10">
        <f t="shared" si="13"/>
        <v>72.32862903225806</v>
      </c>
      <c r="AN16" s="35"/>
      <c r="AO16" s="35"/>
      <c r="AP16" s="35"/>
      <c r="AQ16" s="35"/>
      <c r="AR16" s="35"/>
      <c r="AS16" s="35"/>
      <c r="AT16" s="58">
        <f t="shared" si="23"/>
        <v>382.20000000000005</v>
      </c>
      <c r="AU16" s="58">
        <f t="shared" si="24"/>
        <v>297.3</v>
      </c>
      <c r="AV16" s="10">
        <f t="shared" si="7"/>
        <v>77.78649921507063</v>
      </c>
      <c r="AW16" s="71">
        <f t="shared" si="25"/>
        <v>84.90000000000003</v>
      </c>
      <c r="AX16" s="72">
        <f t="shared" si="26"/>
        <v>118.50000000000006</v>
      </c>
      <c r="AY16" s="20">
        <f t="shared" si="14"/>
        <v>382.2</v>
      </c>
      <c r="AZ16" s="20">
        <f t="shared" si="15"/>
        <v>297.3</v>
      </c>
      <c r="BA16" s="69">
        <f t="shared" si="16"/>
        <v>118.5</v>
      </c>
      <c r="BB16" s="36"/>
      <c r="BC16" s="37"/>
      <c r="BD16" s="37"/>
      <c r="BE16" s="36"/>
      <c r="BF16" s="37"/>
      <c r="BG16" s="37"/>
      <c r="BH16" s="37"/>
      <c r="BI16" s="37"/>
    </row>
    <row r="17" spans="1:61" ht="34.5" customHeight="1">
      <c r="A17" s="12" t="s">
        <v>14</v>
      </c>
      <c r="B17" s="61" t="s">
        <v>89</v>
      </c>
      <c r="C17" s="73">
        <f>700.1+3203.7</f>
        <v>3903.7999999999997</v>
      </c>
      <c r="D17" s="35">
        <f>245.4+402.9</f>
        <v>648.3</v>
      </c>
      <c r="E17" s="35">
        <f>255.5+417.9</f>
        <v>673.4</v>
      </c>
      <c r="F17" s="52">
        <f t="shared" si="1"/>
        <v>103.87166435292303</v>
      </c>
      <c r="G17" s="35">
        <f>275.8+398.9</f>
        <v>674.7</v>
      </c>
      <c r="H17" s="35">
        <f>215.5+372.1</f>
        <v>587.6</v>
      </c>
      <c r="I17" s="10">
        <f t="shared" si="8"/>
        <v>87.09055876685935</v>
      </c>
      <c r="J17" s="35">
        <f>263.7+403.7</f>
        <v>667.4</v>
      </c>
      <c r="K17" s="35">
        <f>244.5+388.4</f>
        <v>632.9</v>
      </c>
      <c r="L17" s="10">
        <f t="shared" si="9"/>
        <v>94.83068624513035</v>
      </c>
      <c r="M17" s="71">
        <f t="shared" si="17"/>
        <v>1990.4</v>
      </c>
      <c r="N17" s="71">
        <f t="shared" si="18"/>
        <v>1893.9</v>
      </c>
      <c r="O17" s="10">
        <f t="shared" si="10"/>
        <v>95.15172829581994</v>
      </c>
      <c r="P17" s="35">
        <f>281.4+401.3</f>
        <v>682.7</v>
      </c>
      <c r="Q17" s="35">
        <f>231.5+391.2</f>
        <v>622.7</v>
      </c>
      <c r="R17" s="10">
        <f t="shared" si="11"/>
        <v>91.21136663248865</v>
      </c>
      <c r="S17" s="35">
        <f>427.9+276.8</f>
        <v>704.7</v>
      </c>
      <c r="T17" s="35">
        <f>411.7+255.1</f>
        <v>666.8</v>
      </c>
      <c r="U17" s="10">
        <f t="shared" si="12"/>
        <v>94.62182489002412</v>
      </c>
      <c r="V17" s="35">
        <f>441.3+316.6</f>
        <v>757.9000000000001</v>
      </c>
      <c r="W17" s="35">
        <f>424.7+259.5</f>
        <v>684.2</v>
      </c>
      <c r="X17" s="10">
        <f t="shared" si="2"/>
        <v>90.27576197387518</v>
      </c>
      <c r="Y17" s="71">
        <f t="shared" si="19"/>
        <v>2145.3</v>
      </c>
      <c r="Z17" s="71">
        <f t="shared" si="20"/>
        <v>1973.7</v>
      </c>
      <c r="AA17" s="10">
        <f t="shared" si="3"/>
        <v>92.00111872465388</v>
      </c>
      <c r="AB17" s="35">
        <f>285+383.7</f>
        <v>668.7</v>
      </c>
      <c r="AC17" s="35">
        <f>261.7+378.1</f>
        <v>639.8</v>
      </c>
      <c r="AD17" s="10">
        <f t="shared" si="4"/>
        <v>95.67818154628382</v>
      </c>
      <c r="AE17" s="35">
        <f>277.4+418.1</f>
        <v>695.5</v>
      </c>
      <c r="AF17" s="35">
        <f>260.5+379.4</f>
        <v>639.9</v>
      </c>
      <c r="AG17" s="10">
        <f t="shared" si="5"/>
        <v>92.0057512580877</v>
      </c>
      <c r="AH17" s="35">
        <f>398.9+445.4</f>
        <v>844.3</v>
      </c>
      <c r="AI17" s="35">
        <f>387.8+280.2</f>
        <v>668</v>
      </c>
      <c r="AJ17" s="10">
        <f t="shared" si="6"/>
        <v>79.11879663626674</v>
      </c>
      <c r="AK17" s="71">
        <f t="shared" si="21"/>
        <v>2208.5</v>
      </c>
      <c r="AL17" s="71">
        <f t="shared" si="22"/>
        <v>1947.6999999999998</v>
      </c>
      <c r="AM17" s="10">
        <f t="shared" si="13"/>
        <v>88.19107991849671</v>
      </c>
      <c r="AN17" s="35"/>
      <c r="AO17" s="35"/>
      <c r="AP17" s="35"/>
      <c r="AQ17" s="35"/>
      <c r="AR17" s="35"/>
      <c r="AS17" s="35"/>
      <c r="AT17" s="58">
        <f t="shared" si="23"/>
        <v>6344.200000000001</v>
      </c>
      <c r="AU17" s="58">
        <f t="shared" si="24"/>
        <v>5815.3</v>
      </c>
      <c r="AV17" s="10">
        <f t="shared" si="7"/>
        <v>91.66325147378707</v>
      </c>
      <c r="AW17" s="71">
        <f t="shared" si="25"/>
        <v>528.9000000000005</v>
      </c>
      <c r="AX17" s="72">
        <f t="shared" si="26"/>
        <v>4432.7</v>
      </c>
      <c r="AY17" s="20">
        <f t="shared" si="14"/>
        <v>6344.200000000001</v>
      </c>
      <c r="AZ17" s="20">
        <f t="shared" si="15"/>
        <v>5815.3</v>
      </c>
      <c r="BA17" s="69">
        <f t="shared" si="16"/>
        <v>4432.7</v>
      </c>
      <c r="BB17" s="36"/>
      <c r="BC17" s="37"/>
      <c r="BD17" s="37"/>
      <c r="BE17" s="36"/>
      <c r="BF17" s="37"/>
      <c r="BG17" s="37"/>
      <c r="BH17" s="37"/>
      <c r="BI17" s="37"/>
    </row>
    <row r="18" spans="1:61" ht="34.5" customHeight="1">
      <c r="A18" s="12" t="s">
        <v>15</v>
      </c>
      <c r="B18" s="61" t="s">
        <v>55</v>
      </c>
      <c r="C18" s="70">
        <v>233.9</v>
      </c>
      <c r="D18" s="35">
        <v>84</v>
      </c>
      <c r="E18" s="35">
        <v>92.3</v>
      </c>
      <c r="F18" s="52">
        <f t="shared" si="1"/>
        <v>109.88095238095237</v>
      </c>
      <c r="G18" s="35">
        <v>200.9</v>
      </c>
      <c r="H18" s="35">
        <v>87.4</v>
      </c>
      <c r="I18" s="10">
        <f t="shared" si="8"/>
        <v>43.504230960676956</v>
      </c>
      <c r="J18" s="35">
        <v>198.4</v>
      </c>
      <c r="K18" s="35">
        <v>127</v>
      </c>
      <c r="L18" s="10">
        <f t="shared" si="9"/>
        <v>64.01209677419355</v>
      </c>
      <c r="M18" s="71">
        <f t="shared" si="17"/>
        <v>483.29999999999995</v>
      </c>
      <c r="N18" s="71">
        <f t="shared" si="18"/>
        <v>306.7</v>
      </c>
      <c r="O18" s="10">
        <f t="shared" si="10"/>
        <v>63.45954893440927</v>
      </c>
      <c r="P18" s="35">
        <v>183.3</v>
      </c>
      <c r="Q18" s="35">
        <v>138.7</v>
      </c>
      <c r="R18" s="10">
        <f t="shared" si="11"/>
        <v>75.66830332787778</v>
      </c>
      <c r="S18" s="35">
        <v>182.9</v>
      </c>
      <c r="T18" s="35">
        <v>475.9</v>
      </c>
      <c r="U18" s="10">
        <f t="shared" si="12"/>
        <v>260.19682886823404</v>
      </c>
      <c r="V18" s="35">
        <v>202.1</v>
      </c>
      <c r="W18" s="35">
        <v>160.4</v>
      </c>
      <c r="X18" s="10">
        <f t="shared" si="2"/>
        <v>79.3666501731816</v>
      </c>
      <c r="Y18" s="71">
        <f t="shared" si="19"/>
        <v>568.3000000000001</v>
      </c>
      <c r="Z18" s="71">
        <f t="shared" si="20"/>
        <v>774.9999999999999</v>
      </c>
      <c r="AA18" s="10">
        <f t="shared" si="3"/>
        <v>136.37163469998237</v>
      </c>
      <c r="AB18" s="35">
        <v>185</v>
      </c>
      <c r="AC18" s="35">
        <v>200.5</v>
      </c>
      <c r="AD18" s="10">
        <f t="shared" si="4"/>
        <v>108.37837837837839</v>
      </c>
      <c r="AE18" s="35">
        <v>193.8</v>
      </c>
      <c r="AF18" s="35">
        <v>177.3</v>
      </c>
      <c r="AG18" s="10">
        <f t="shared" si="5"/>
        <v>91.48606811145511</v>
      </c>
      <c r="AH18" s="35">
        <v>239.8</v>
      </c>
      <c r="AI18" s="35">
        <v>192.1</v>
      </c>
      <c r="AJ18" s="10">
        <f t="shared" si="6"/>
        <v>80.10842368640533</v>
      </c>
      <c r="AK18" s="71">
        <f t="shared" si="21"/>
        <v>618.6</v>
      </c>
      <c r="AL18" s="71">
        <f t="shared" si="22"/>
        <v>569.9</v>
      </c>
      <c r="AM18" s="10">
        <f t="shared" si="13"/>
        <v>92.12738441642418</v>
      </c>
      <c r="AN18" s="35"/>
      <c r="AO18" s="35"/>
      <c r="AP18" s="35"/>
      <c r="AQ18" s="35"/>
      <c r="AR18" s="35"/>
      <c r="AS18" s="35"/>
      <c r="AT18" s="58">
        <f t="shared" si="23"/>
        <v>1670.1999999999998</v>
      </c>
      <c r="AU18" s="58">
        <f t="shared" si="24"/>
        <v>1651.6</v>
      </c>
      <c r="AV18" s="10">
        <f t="shared" si="7"/>
        <v>98.8863609148605</v>
      </c>
      <c r="AW18" s="71">
        <f t="shared" si="25"/>
        <v>18.59999999999991</v>
      </c>
      <c r="AX18" s="72">
        <f t="shared" si="26"/>
        <v>252.5</v>
      </c>
      <c r="AY18" s="20">
        <f t="shared" si="14"/>
        <v>1670.1999999999998</v>
      </c>
      <c r="AZ18" s="20">
        <f t="shared" si="15"/>
        <v>1651.5999999999997</v>
      </c>
      <c r="BA18" s="69">
        <f t="shared" si="16"/>
        <v>252.50000000000023</v>
      </c>
      <c r="BB18" s="36"/>
      <c r="BC18" s="37"/>
      <c r="BD18" s="37"/>
      <c r="BE18" s="36"/>
      <c r="BF18" s="37"/>
      <c r="BG18" s="37"/>
      <c r="BH18" s="37"/>
      <c r="BI18" s="37"/>
    </row>
    <row r="19" spans="1:61" ht="34.5" customHeight="1">
      <c r="A19" s="12" t="s">
        <v>16</v>
      </c>
      <c r="B19" s="57" t="s">
        <v>56</v>
      </c>
      <c r="C19" s="70">
        <v>1181.2</v>
      </c>
      <c r="D19" s="35">
        <v>262.5</v>
      </c>
      <c r="E19" s="35">
        <v>487</v>
      </c>
      <c r="F19" s="52">
        <f t="shared" si="1"/>
        <v>185.52380952380952</v>
      </c>
      <c r="G19" s="35">
        <v>614.5</v>
      </c>
      <c r="H19" s="35">
        <v>371.8</v>
      </c>
      <c r="I19" s="10">
        <f t="shared" si="8"/>
        <v>60.50447518307567</v>
      </c>
      <c r="J19" s="35">
        <v>647.7</v>
      </c>
      <c r="K19" s="35">
        <v>505.4</v>
      </c>
      <c r="L19" s="60">
        <f t="shared" si="9"/>
        <v>78.02995213833564</v>
      </c>
      <c r="M19" s="71">
        <f t="shared" si="17"/>
        <v>1524.7</v>
      </c>
      <c r="N19" s="71">
        <f t="shared" si="18"/>
        <v>1364.1999999999998</v>
      </c>
      <c r="O19" s="10">
        <f t="shared" si="10"/>
        <v>89.47333901751162</v>
      </c>
      <c r="P19" s="35">
        <v>669.8</v>
      </c>
      <c r="Q19" s="35">
        <v>511.6</v>
      </c>
      <c r="R19" s="10">
        <f t="shared" si="11"/>
        <v>76.38100925649448</v>
      </c>
      <c r="S19" s="35">
        <v>991.7</v>
      </c>
      <c r="T19" s="35">
        <v>649</v>
      </c>
      <c r="U19" s="10">
        <f t="shared" si="12"/>
        <v>65.44317838055863</v>
      </c>
      <c r="V19" s="35">
        <v>909</v>
      </c>
      <c r="W19" s="35">
        <v>637.8</v>
      </c>
      <c r="X19" s="103">
        <f t="shared" si="2"/>
        <v>70.16501650165016</v>
      </c>
      <c r="Y19" s="71">
        <f t="shared" si="19"/>
        <v>2570.5</v>
      </c>
      <c r="Z19" s="71">
        <f t="shared" si="20"/>
        <v>1798.3999999999999</v>
      </c>
      <c r="AA19" s="10">
        <f t="shared" si="3"/>
        <v>69.96304220968682</v>
      </c>
      <c r="AB19" s="35">
        <v>935.1</v>
      </c>
      <c r="AC19" s="35">
        <v>835.2</v>
      </c>
      <c r="AD19" s="10">
        <f t="shared" si="4"/>
        <v>89.31665062560154</v>
      </c>
      <c r="AE19" s="35">
        <v>954.1</v>
      </c>
      <c r="AF19" s="35">
        <v>801.1</v>
      </c>
      <c r="AG19" s="10">
        <f t="shared" si="5"/>
        <v>83.96394507913216</v>
      </c>
      <c r="AH19" s="35">
        <v>896.8</v>
      </c>
      <c r="AI19" s="35">
        <v>894.2</v>
      </c>
      <c r="AJ19" s="10">
        <f t="shared" si="6"/>
        <v>99.71008028545943</v>
      </c>
      <c r="AK19" s="71">
        <f t="shared" si="21"/>
        <v>2786</v>
      </c>
      <c r="AL19" s="71">
        <f t="shared" si="22"/>
        <v>2530.5</v>
      </c>
      <c r="AM19" s="10">
        <f t="shared" si="13"/>
        <v>90.82914572864321</v>
      </c>
      <c r="AN19" s="35"/>
      <c r="AO19" s="35"/>
      <c r="AP19" s="35"/>
      <c r="AQ19" s="35"/>
      <c r="AR19" s="35"/>
      <c r="AS19" s="35"/>
      <c r="AT19" s="58">
        <f t="shared" si="23"/>
        <v>6881.2</v>
      </c>
      <c r="AU19" s="58">
        <f t="shared" si="24"/>
        <v>5693.099999999999</v>
      </c>
      <c r="AV19" s="10">
        <f t="shared" si="7"/>
        <v>82.73411614253328</v>
      </c>
      <c r="AW19" s="71">
        <f t="shared" si="25"/>
        <v>1188.1000000000004</v>
      </c>
      <c r="AX19" s="72">
        <f t="shared" si="26"/>
        <v>2369.3</v>
      </c>
      <c r="AY19" s="20">
        <f t="shared" si="14"/>
        <v>6881.200000000001</v>
      </c>
      <c r="AZ19" s="20">
        <f t="shared" si="15"/>
        <v>5693.099999999999</v>
      </c>
      <c r="BA19" s="69">
        <f t="shared" si="16"/>
        <v>2369.300000000001</v>
      </c>
      <c r="BB19" s="36"/>
      <c r="BC19" s="37"/>
      <c r="BD19" s="37"/>
      <c r="BE19" s="36"/>
      <c r="BF19" s="37"/>
      <c r="BG19" s="37"/>
      <c r="BH19" s="37"/>
      <c r="BI19" s="37"/>
    </row>
    <row r="20" spans="1:61" ht="34.5" customHeight="1">
      <c r="A20" s="12" t="s">
        <v>17</v>
      </c>
      <c r="B20" s="61" t="s">
        <v>57</v>
      </c>
      <c r="C20" s="74">
        <v>347.2</v>
      </c>
      <c r="D20" s="35">
        <v>118.4</v>
      </c>
      <c r="E20" s="35">
        <v>140.8</v>
      </c>
      <c r="F20" s="52">
        <f t="shared" si="1"/>
        <v>118.91891891891892</v>
      </c>
      <c r="G20" s="35">
        <v>190.1</v>
      </c>
      <c r="H20" s="35">
        <v>123.7</v>
      </c>
      <c r="I20" s="10">
        <f t="shared" si="8"/>
        <v>65.07101525512888</v>
      </c>
      <c r="J20" s="35">
        <v>191.6</v>
      </c>
      <c r="K20" s="35">
        <v>179.9</v>
      </c>
      <c r="L20" s="10">
        <f t="shared" si="9"/>
        <v>93.89352818371609</v>
      </c>
      <c r="M20" s="71">
        <f t="shared" si="17"/>
        <v>500.1</v>
      </c>
      <c r="N20" s="71">
        <f t="shared" si="18"/>
        <v>444.4</v>
      </c>
      <c r="O20" s="10">
        <f t="shared" si="10"/>
        <v>88.8622275544891</v>
      </c>
      <c r="P20" s="35">
        <v>246</v>
      </c>
      <c r="Q20" s="35">
        <v>171.7</v>
      </c>
      <c r="R20" s="10">
        <f t="shared" si="11"/>
        <v>69.79674796747966</v>
      </c>
      <c r="S20" s="35">
        <v>287.6</v>
      </c>
      <c r="T20" s="35">
        <v>233.1</v>
      </c>
      <c r="U20" s="10">
        <f t="shared" si="12"/>
        <v>81.0500695410292</v>
      </c>
      <c r="V20" s="35">
        <v>271.6</v>
      </c>
      <c r="W20" s="35">
        <v>216.8</v>
      </c>
      <c r="X20" s="10">
        <f t="shared" si="2"/>
        <v>79.82326951399116</v>
      </c>
      <c r="Y20" s="71">
        <f t="shared" si="19"/>
        <v>805.2</v>
      </c>
      <c r="Z20" s="71">
        <f t="shared" si="20"/>
        <v>621.5999999999999</v>
      </c>
      <c r="AA20" s="10">
        <f t="shared" si="3"/>
        <v>77.19821162444111</v>
      </c>
      <c r="AB20" s="35">
        <v>309.7</v>
      </c>
      <c r="AC20" s="35">
        <v>312</v>
      </c>
      <c r="AD20" s="10">
        <f t="shared" si="4"/>
        <v>100.74265418146592</v>
      </c>
      <c r="AE20" s="35">
        <v>325.4</v>
      </c>
      <c r="AF20" s="35">
        <v>192.5</v>
      </c>
      <c r="AG20" s="10">
        <f t="shared" si="5"/>
        <v>59.15795943454211</v>
      </c>
      <c r="AH20" s="35">
        <v>233.6</v>
      </c>
      <c r="AI20" s="35">
        <v>289.7</v>
      </c>
      <c r="AJ20" s="10">
        <f t="shared" si="6"/>
        <v>124.01541095890411</v>
      </c>
      <c r="AK20" s="71">
        <f t="shared" si="21"/>
        <v>868.6999999999999</v>
      </c>
      <c r="AL20" s="71">
        <f t="shared" si="22"/>
        <v>794.2</v>
      </c>
      <c r="AM20" s="10">
        <f t="shared" si="13"/>
        <v>91.42396684701279</v>
      </c>
      <c r="AN20" s="35"/>
      <c r="AO20" s="35"/>
      <c r="AP20" s="35"/>
      <c r="AQ20" s="35"/>
      <c r="AR20" s="35"/>
      <c r="AS20" s="35"/>
      <c r="AT20" s="58">
        <f t="shared" si="23"/>
        <v>2174</v>
      </c>
      <c r="AU20" s="58">
        <f t="shared" si="24"/>
        <v>1860.2</v>
      </c>
      <c r="AV20" s="10">
        <f t="shared" si="7"/>
        <v>85.56577736890524</v>
      </c>
      <c r="AW20" s="71">
        <f t="shared" si="25"/>
        <v>313.79999999999995</v>
      </c>
      <c r="AX20" s="72">
        <f t="shared" si="26"/>
        <v>660.9999999999998</v>
      </c>
      <c r="AY20" s="20">
        <f t="shared" si="14"/>
        <v>2174</v>
      </c>
      <c r="AZ20" s="20">
        <f t="shared" si="15"/>
        <v>1860.2</v>
      </c>
      <c r="BA20" s="69">
        <f t="shared" si="16"/>
        <v>660.9999999999998</v>
      </c>
      <c r="BB20" s="36"/>
      <c r="BC20" s="37"/>
      <c r="BD20" s="37"/>
      <c r="BE20" s="36"/>
      <c r="BF20" s="37"/>
      <c r="BG20" s="37"/>
      <c r="BH20" s="37"/>
      <c r="BI20" s="37"/>
    </row>
    <row r="21" spans="1:61" ht="34.5" customHeight="1">
      <c r="A21" s="12" t="s">
        <v>18</v>
      </c>
      <c r="B21" s="61" t="s">
        <v>58</v>
      </c>
      <c r="C21" s="70">
        <v>0.3</v>
      </c>
      <c r="D21" s="35">
        <v>20.9</v>
      </c>
      <c r="E21" s="35">
        <v>20.4</v>
      </c>
      <c r="F21" s="52">
        <f t="shared" si="1"/>
        <v>97.60765550239235</v>
      </c>
      <c r="G21" s="35">
        <v>18.4</v>
      </c>
      <c r="H21" s="35">
        <v>17.8</v>
      </c>
      <c r="I21" s="10">
        <f t="shared" si="8"/>
        <v>96.73913043478262</v>
      </c>
      <c r="J21" s="35">
        <v>19.3</v>
      </c>
      <c r="K21" s="35">
        <v>21</v>
      </c>
      <c r="L21" s="10">
        <f t="shared" si="9"/>
        <v>108.8082901554404</v>
      </c>
      <c r="M21" s="71">
        <f t="shared" si="17"/>
        <v>58.599999999999994</v>
      </c>
      <c r="N21" s="71">
        <f t="shared" si="18"/>
        <v>59.2</v>
      </c>
      <c r="O21" s="10">
        <f t="shared" si="10"/>
        <v>101.02389078498295</v>
      </c>
      <c r="P21" s="35">
        <v>22.4</v>
      </c>
      <c r="Q21" s="35">
        <v>21.9</v>
      </c>
      <c r="R21" s="10">
        <f t="shared" si="11"/>
        <v>97.76785714285714</v>
      </c>
      <c r="S21" s="35">
        <v>25.9</v>
      </c>
      <c r="T21" s="35">
        <v>25</v>
      </c>
      <c r="U21" s="10">
        <f t="shared" si="12"/>
        <v>96.52509652509653</v>
      </c>
      <c r="V21" s="35">
        <v>28</v>
      </c>
      <c r="W21" s="35">
        <v>25.9</v>
      </c>
      <c r="X21" s="10">
        <f t="shared" si="2"/>
        <v>92.5</v>
      </c>
      <c r="Y21" s="71">
        <f t="shared" si="19"/>
        <v>76.3</v>
      </c>
      <c r="Z21" s="71">
        <f t="shared" si="20"/>
        <v>72.8</v>
      </c>
      <c r="AA21" s="10">
        <f t="shared" si="3"/>
        <v>95.41284403669725</v>
      </c>
      <c r="AB21" s="35">
        <v>28.7</v>
      </c>
      <c r="AC21" s="35">
        <v>28.9</v>
      </c>
      <c r="AD21" s="10">
        <f t="shared" si="4"/>
        <v>100.69686411149826</v>
      </c>
      <c r="AE21" s="35">
        <v>26.3</v>
      </c>
      <c r="AF21" s="35">
        <v>27.1</v>
      </c>
      <c r="AG21" s="10">
        <f t="shared" si="5"/>
        <v>103.04182509505704</v>
      </c>
      <c r="AH21" s="35">
        <v>21.9</v>
      </c>
      <c r="AI21" s="35">
        <v>20.7</v>
      </c>
      <c r="AJ21" s="10">
        <f t="shared" si="6"/>
        <v>94.52054794520548</v>
      </c>
      <c r="AK21" s="71">
        <f t="shared" si="21"/>
        <v>76.9</v>
      </c>
      <c r="AL21" s="71">
        <f t="shared" si="22"/>
        <v>76.7</v>
      </c>
      <c r="AM21" s="10">
        <f t="shared" si="13"/>
        <v>99.73992197659297</v>
      </c>
      <c r="AN21" s="35"/>
      <c r="AO21" s="35"/>
      <c r="AP21" s="35"/>
      <c r="AQ21" s="35"/>
      <c r="AR21" s="35"/>
      <c r="AS21" s="35"/>
      <c r="AT21" s="58">
        <f t="shared" si="23"/>
        <v>211.79999999999998</v>
      </c>
      <c r="AU21" s="58">
        <f t="shared" si="24"/>
        <v>208.7</v>
      </c>
      <c r="AV21" s="10">
        <f t="shared" si="7"/>
        <v>98.53635505193579</v>
      </c>
      <c r="AW21" s="71">
        <f t="shared" si="25"/>
        <v>3.0999999999999943</v>
      </c>
      <c r="AX21" s="72">
        <f t="shared" si="26"/>
        <v>3.4000000000000057</v>
      </c>
      <c r="AY21" s="20">
        <f t="shared" si="14"/>
        <v>211.79999999999998</v>
      </c>
      <c r="AZ21" s="20">
        <f t="shared" si="15"/>
        <v>208.7</v>
      </c>
      <c r="BA21" s="69">
        <f t="shared" si="16"/>
        <v>3.4000000000000057</v>
      </c>
      <c r="BB21" s="36"/>
      <c r="BC21" s="37"/>
      <c r="BD21" s="37"/>
      <c r="BE21" s="36"/>
      <c r="BF21" s="37"/>
      <c r="BG21" s="37"/>
      <c r="BH21" s="37"/>
      <c r="BI21" s="37"/>
    </row>
    <row r="22" spans="1:61" ht="34.5" customHeight="1">
      <c r="A22" s="12" t="s">
        <v>19</v>
      </c>
      <c r="B22" s="61" t="s">
        <v>41</v>
      </c>
      <c r="C22" s="76">
        <v>-348.9</v>
      </c>
      <c r="D22" s="64">
        <v>63.5</v>
      </c>
      <c r="E22" s="64">
        <v>124</v>
      </c>
      <c r="F22" s="52">
        <f t="shared" si="1"/>
        <v>195.2755905511811</v>
      </c>
      <c r="G22" s="35">
        <v>188.7</v>
      </c>
      <c r="H22" s="35">
        <v>103.5</v>
      </c>
      <c r="I22" s="10">
        <f t="shared" si="8"/>
        <v>54.8489666136725</v>
      </c>
      <c r="J22" s="35">
        <v>165.5</v>
      </c>
      <c r="K22" s="35">
        <v>142.3</v>
      </c>
      <c r="L22" s="78">
        <f t="shared" si="9"/>
        <v>85.98187311178248</v>
      </c>
      <c r="M22" s="71">
        <f t="shared" si="17"/>
        <v>417.7</v>
      </c>
      <c r="N22" s="71">
        <f t="shared" si="18"/>
        <v>369.8</v>
      </c>
      <c r="O22" s="10">
        <f t="shared" si="10"/>
        <v>88.5324395499162</v>
      </c>
      <c r="P22" s="35">
        <v>82.5</v>
      </c>
      <c r="Q22" s="35">
        <v>78.2</v>
      </c>
      <c r="R22" s="10">
        <f t="shared" si="11"/>
        <v>94.78787878787878</v>
      </c>
      <c r="S22" s="35">
        <v>193.6</v>
      </c>
      <c r="T22" s="35">
        <v>181.6</v>
      </c>
      <c r="U22" s="10">
        <f t="shared" si="12"/>
        <v>93.80165289256198</v>
      </c>
      <c r="V22" s="35">
        <v>224.1</v>
      </c>
      <c r="W22" s="35">
        <v>168.1</v>
      </c>
      <c r="X22" s="104">
        <f t="shared" si="2"/>
        <v>75.01115573404729</v>
      </c>
      <c r="Y22" s="71">
        <f t="shared" si="19"/>
        <v>500.20000000000005</v>
      </c>
      <c r="Z22" s="71">
        <f t="shared" si="20"/>
        <v>427.9</v>
      </c>
      <c r="AA22" s="10">
        <f t="shared" si="3"/>
        <v>85.54578168732506</v>
      </c>
      <c r="AB22" s="35">
        <v>183.6</v>
      </c>
      <c r="AC22" s="35">
        <v>144.7</v>
      </c>
      <c r="AD22" s="10">
        <f t="shared" si="4"/>
        <v>78.81263616557735</v>
      </c>
      <c r="AE22" s="35">
        <v>258.5</v>
      </c>
      <c r="AF22" s="35">
        <v>258.8</v>
      </c>
      <c r="AG22" s="10">
        <f t="shared" si="5"/>
        <v>100.11605415860735</v>
      </c>
      <c r="AH22" s="35">
        <v>212.1</v>
      </c>
      <c r="AI22" s="35">
        <v>205.3</v>
      </c>
      <c r="AJ22" s="10">
        <f t="shared" si="6"/>
        <v>96.7939651107968</v>
      </c>
      <c r="AK22" s="71">
        <f t="shared" si="21"/>
        <v>654.2</v>
      </c>
      <c r="AL22" s="71">
        <f t="shared" si="22"/>
        <v>608.8</v>
      </c>
      <c r="AM22" s="10">
        <f t="shared" si="13"/>
        <v>93.06022623051054</v>
      </c>
      <c r="AN22" s="35"/>
      <c r="AO22" s="35"/>
      <c r="AP22" s="35"/>
      <c r="AQ22" s="35"/>
      <c r="AR22" s="35"/>
      <c r="AS22" s="35"/>
      <c r="AT22" s="58">
        <f t="shared" si="23"/>
        <v>1572.1000000000001</v>
      </c>
      <c r="AU22" s="58">
        <f t="shared" si="24"/>
        <v>1406.5</v>
      </c>
      <c r="AV22" s="10">
        <f t="shared" si="7"/>
        <v>89.46631893645441</v>
      </c>
      <c r="AW22" s="71">
        <f t="shared" si="25"/>
        <v>165.60000000000014</v>
      </c>
      <c r="AX22" s="72">
        <f t="shared" si="26"/>
        <v>-183.29999999999973</v>
      </c>
      <c r="AY22" s="20">
        <f t="shared" si="14"/>
        <v>1572.1</v>
      </c>
      <c r="AZ22" s="20">
        <f t="shared" si="15"/>
        <v>1406.5</v>
      </c>
      <c r="BA22" s="69">
        <f t="shared" si="16"/>
        <v>-183.30000000000018</v>
      </c>
      <c r="BB22" s="36"/>
      <c r="BC22" s="37"/>
      <c r="BD22" s="37"/>
      <c r="BE22" s="36"/>
      <c r="BF22" s="37"/>
      <c r="BG22" s="37"/>
      <c r="BH22" s="37"/>
      <c r="BI22" s="37"/>
    </row>
    <row r="23" spans="1:61" ht="34.5" customHeight="1">
      <c r="A23" s="12" t="s">
        <v>20</v>
      </c>
      <c r="B23" s="61" t="s">
        <v>90</v>
      </c>
      <c r="C23" s="70">
        <v>-22.6</v>
      </c>
      <c r="D23" s="35">
        <v>11.7</v>
      </c>
      <c r="E23" s="35">
        <v>15.7</v>
      </c>
      <c r="F23" s="52">
        <f t="shared" si="1"/>
        <v>134.1880341880342</v>
      </c>
      <c r="G23" s="35">
        <v>26.5</v>
      </c>
      <c r="H23" s="35">
        <v>14.8</v>
      </c>
      <c r="I23" s="10">
        <f t="shared" si="8"/>
        <v>55.84905660377358</v>
      </c>
      <c r="J23" s="35">
        <v>22.9</v>
      </c>
      <c r="K23" s="35">
        <v>16.5</v>
      </c>
      <c r="L23" s="78">
        <f t="shared" si="9"/>
        <v>72.0524017467249</v>
      </c>
      <c r="M23" s="71">
        <f t="shared" si="17"/>
        <v>61.1</v>
      </c>
      <c r="N23" s="71">
        <f t="shared" si="18"/>
        <v>47</v>
      </c>
      <c r="O23" s="10">
        <f t="shared" si="10"/>
        <v>76.92307692307692</v>
      </c>
      <c r="P23" s="35">
        <v>24.5</v>
      </c>
      <c r="Q23" s="35">
        <v>18.1</v>
      </c>
      <c r="R23" s="10">
        <f t="shared" si="11"/>
        <v>73.87755102040818</v>
      </c>
      <c r="S23" s="35">
        <v>35.7</v>
      </c>
      <c r="T23" s="35">
        <v>21.2</v>
      </c>
      <c r="U23" s="10">
        <f t="shared" si="12"/>
        <v>59.38375350140055</v>
      </c>
      <c r="V23" s="35">
        <v>30.5</v>
      </c>
      <c r="W23" s="35">
        <v>22.5</v>
      </c>
      <c r="X23" s="104">
        <f t="shared" si="2"/>
        <v>73.77049180327869</v>
      </c>
      <c r="Y23" s="71">
        <f t="shared" si="19"/>
        <v>90.7</v>
      </c>
      <c r="Z23" s="71">
        <f t="shared" si="20"/>
        <v>61.8</v>
      </c>
      <c r="AA23" s="10">
        <f t="shared" si="3"/>
        <v>68.1367144432194</v>
      </c>
      <c r="AB23" s="35">
        <v>32</v>
      </c>
      <c r="AC23" s="35">
        <v>27.3</v>
      </c>
      <c r="AD23" s="10">
        <f t="shared" si="4"/>
        <v>85.3125</v>
      </c>
      <c r="AE23" s="35">
        <v>31.8</v>
      </c>
      <c r="AF23" s="35">
        <v>26.8</v>
      </c>
      <c r="AG23" s="10">
        <f t="shared" si="5"/>
        <v>84.27672955974843</v>
      </c>
      <c r="AH23" s="35">
        <v>29.9</v>
      </c>
      <c r="AI23" s="35">
        <v>28.5</v>
      </c>
      <c r="AJ23" s="10">
        <f t="shared" si="6"/>
        <v>95.31772575250837</v>
      </c>
      <c r="AK23" s="71">
        <f t="shared" si="21"/>
        <v>93.69999999999999</v>
      </c>
      <c r="AL23" s="71">
        <f t="shared" si="22"/>
        <v>82.6</v>
      </c>
      <c r="AM23" s="10">
        <f t="shared" si="13"/>
        <v>88.15368196371398</v>
      </c>
      <c r="AN23" s="35"/>
      <c r="AO23" s="35"/>
      <c r="AP23" s="35"/>
      <c r="AQ23" s="35"/>
      <c r="AR23" s="35"/>
      <c r="AS23" s="35"/>
      <c r="AT23" s="58">
        <f t="shared" si="23"/>
        <v>245.5</v>
      </c>
      <c r="AU23" s="58">
        <f t="shared" si="24"/>
        <v>191.39999999999998</v>
      </c>
      <c r="AV23" s="10">
        <f t="shared" si="7"/>
        <v>77.96334012219958</v>
      </c>
      <c r="AW23" s="71">
        <f t="shared" si="25"/>
        <v>54.10000000000002</v>
      </c>
      <c r="AX23" s="72">
        <f t="shared" si="26"/>
        <v>31.50000000000003</v>
      </c>
      <c r="AY23" s="20">
        <f t="shared" si="14"/>
        <v>245.50000000000003</v>
      </c>
      <c r="AZ23" s="20">
        <f t="shared" si="15"/>
        <v>191.4</v>
      </c>
      <c r="BA23" s="69">
        <f t="shared" si="16"/>
        <v>31.50000000000003</v>
      </c>
      <c r="BB23" s="36"/>
      <c r="BC23" s="37"/>
      <c r="BD23" s="37"/>
      <c r="BE23" s="36"/>
      <c r="BF23" s="37"/>
      <c r="BG23" s="37"/>
      <c r="BH23" s="37"/>
      <c r="BI23" s="37"/>
    </row>
    <row r="24" spans="1:61" ht="34.5" customHeight="1">
      <c r="A24" s="12" t="s">
        <v>21</v>
      </c>
      <c r="B24" s="61" t="s">
        <v>40</v>
      </c>
      <c r="C24" s="70">
        <v>88.2</v>
      </c>
      <c r="D24" s="35">
        <v>783.6</v>
      </c>
      <c r="E24" s="35">
        <v>1064.5</v>
      </c>
      <c r="F24" s="52">
        <f t="shared" si="1"/>
        <v>135.84737110770803</v>
      </c>
      <c r="G24" s="35">
        <v>1341.5</v>
      </c>
      <c r="H24" s="35">
        <v>843.7</v>
      </c>
      <c r="I24" s="10">
        <f t="shared" si="8"/>
        <v>62.8922847558703</v>
      </c>
      <c r="J24" s="35">
        <v>1336.2</v>
      </c>
      <c r="K24" s="35">
        <v>1125.8</v>
      </c>
      <c r="L24" s="10">
        <f t="shared" si="9"/>
        <v>84.25385421344109</v>
      </c>
      <c r="M24" s="71">
        <f t="shared" si="17"/>
        <v>3461.3</v>
      </c>
      <c r="N24" s="71">
        <f t="shared" si="18"/>
        <v>3034</v>
      </c>
      <c r="O24" s="10">
        <f t="shared" si="10"/>
        <v>87.65492733943894</v>
      </c>
      <c r="P24" s="35">
        <v>1363.7</v>
      </c>
      <c r="Q24" s="35">
        <v>1069.5</v>
      </c>
      <c r="R24" s="10">
        <f t="shared" si="11"/>
        <v>78.42634010412847</v>
      </c>
      <c r="S24" s="35">
        <v>1854.7</v>
      </c>
      <c r="T24" s="35">
        <v>1320.8</v>
      </c>
      <c r="U24" s="10">
        <f t="shared" si="12"/>
        <v>71.21367337035639</v>
      </c>
      <c r="V24" s="35">
        <v>2300</v>
      </c>
      <c r="W24" s="35">
        <v>1388.8</v>
      </c>
      <c r="X24" s="104">
        <f t="shared" si="2"/>
        <v>60.38260869565217</v>
      </c>
      <c r="Y24" s="71">
        <f t="shared" si="19"/>
        <v>5518.4</v>
      </c>
      <c r="Z24" s="71">
        <f t="shared" si="20"/>
        <v>3779.1000000000004</v>
      </c>
      <c r="AA24" s="10">
        <f t="shared" si="3"/>
        <v>68.48180632067266</v>
      </c>
      <c r="AB24" s="35">
        <v>2051.2</v>
      </c>
      <c r="AC24" s="35">
        <v>1804.8</v>
      </c>
      <c r="AD24" s="10">
        <f t="shared" si="4"/>
        <v>87.98751950078002</v>
      </c>
      <c r="AE24" s="35">
        <v>1914.7</v>
      </c>
      <c r="AF24" s="35">
        <v>1754</v>
      </c>
      <c r="AG24" s="10">
        <f t="shared" si="5"/>
        <v>91.60704026740481</v>
      </c>
      <c r="AH24" s="35">
        <v>1957.9</v>
      </c>
      <c r="AI24" s="35">
        <v>1894.8</v>
      </c>
      <c r="AJ24" s="10">
        <f t="shared" si="6"/>
        <v>96.77715920118494</v>
      </c>
      <c r="AK24" s="71">
        <f t="shared" si="21"/>
        <v>5923.799999999999</v>
      </c>
      <c r="AL24" s="71">
        <f t="shared" si="22"/>
        <v>5453.6</v>
      </c>
      <c r="AM24" s="10">
        <f t="shared" si="13"/>
        <v>92.06252743171615</v>
      </c>
      <c r="AN24" s="35"/>
      <c r="AO24" s="35"/>
      <c r="AP24" s="35"/>
      <c r="AQ24" s="35"/>
      <c r="AR24" s="35"/>
      <c r="AS24" s="35"/>
      <c r="AT24" s="58">
        <f t="shared" si="23"/>
        <v>14903.5</v>
      </c>
      <c r="AU24" s="58">
        <f t="shared" si="24"/>
        <v>12266.7</v>
      </c>
      <c r="AV24" s="10">
        <f t="shared" si="7"/>
        <v>82.3075116583353</v>
      </c>
      <c r="AW24" s="71">
        <f t="shared" si="25"/>
        <v>2636.7999999999993</v>
      </c>
      <c r="AX24" s="72">
        <f t="shared" si="26"/>
        <v>2725</v>
      </c>
      <c r="AY24" s="20">
        <f t="shared" si="14"/>
        <v>14903.500000000002</v>
      </c>
      <c r="AZ24" s="20">
        <f t="shared" si="15"/>
        <v>12266.699999999999</v>
      </c>
      <c r="BA24" s="69">
        <f t="shared" si="16"/>
        <v>2725.0000000000036</v>
      </c>
      <c r="BB24" s="36"/>
      <c r="BC24" s="37"/>
      <c r="BD24" s="37"/>
      <c r="BE24" s="36"/>
      <c r="BF24" s="37"/>
      <c r="BG24" s="37"/>
      <c r="BH24" s="37"/>
      <c r="BI24" s="37"/>
    </row>
    <row r="25" spans="1:61" ht="34.5" customHeight="1">
      <c r="A25" s="12" t="s">
        <v>22</v>
      </c>
      <c r="B25" s="57" t="s">
        <v>43</v>
      </c>
      <c r="C25" s="70">
        <v>-321.3</v>
      </c>
      <c r="D25" s="35">
        <v>58</v>
      </c>
      <c r="E25" s="35">
        <v>126.4</v>
      </c>
      <c r="F25" s="52">
        <f t="shared" si="1"/>
        <v>217.9310344827586</v>
      </c>
      <c r="G25" s="35">
        <v>299.5</v>
      </c>
      <c r="H25" s="35">
        <v>140.6</v>
      </c>
      <c r="I25" s="10">
        <f t="shared" si="8"/>
        <v>46.9449081803005</v>
      </c>
      <c r="J25" s="35">
        <v>278.9</v>
      </c>
      <c r="K25" s="35">
        <v>199.3</v>
      </c>
      <c r="L25" s="10">
        <f t="shared" si="9"/>
        <v>71.45930441018287</v>
      </c>
      <c r="M25" s="71">
        <f t="shared" si="17"/>
        <v>636.4</v>
      </c>
      <c r="N25" s="71">
        <f t="shared" si="18"/>
        <v>466.3</v>
      </c>
      <c r="O25" s="10">
        <f t="shared" si="10"/>
        <v>73.27152734129479</v>
      </c>
      <c r="P25" s="35">
        <v>299.2</v>
      </c>
      <c r="Q25" s="35">
        <v>212</v>
      </c>
      <c r="R25" s="10">
        <f t="shared" si="11"/>
        <v>70.85561497326204</v>
      </c>
      <c r="S25" s="35">
        <v>290.6</v>
      </c>
      <c r="T25" s="35">
        <v>247.3</v>
      </c>
      <c r="U25" s="10">
        <f t="shared" si="12"/>
        <v>85.09979353062629</v>
      </c>
      <c r="V25" s="35">
        <v>384.9</v>
      </c>
      <c r="W25" s="35">
        <v>229.7</v>
      </c>
      <c r="X25" s="10">
        <f>W25/V25*100</f>
        <v>59.6778383995843</v>
      </c>
      <c r="Y25" s="71">
        <f t="shared" si="19"/>
        <v>974.6999999999999</v>
      </c>
      <c r="Z25" s="71">
        <f t="shared" si="20"/>
        <v>689</v>
      </c>
      <c r="AA25" s="10">
        <f t="shared" si="3"/>
        <v>70.68841694880477</v>
      </c>
      <c r="AB25" s="35">
        <v>295.5</v>
      </c>
      <c r="AC25" s="35">
        <v>277.5</v>
      </c>
      <c r="AD25" s="10">
        <f t="shared" si="4"/>
        <v>93.90862944162437</v>
      </c>
      <c r="AE25" s="35">
        <v>327.5</v>
      </c>
      <c r="AF25" s="35">
        <v>277.5</v>
      </c>
      <c r="AG25" s="10">
        <f t="shared" si="5"/>
        <v>84.7328244274809</v>
      </c>
      <c r="AH25" s="35">
        <v>306.1</v>
      </c>
      <c r="AI25" s="35">
        <v>280.7</v>
      </c>
      <c r="AJ25" s="10">
        <f t="shared" si="6"/>
        <v>91.70205815093105</v>
      </c>
      <c r="AK25" s="71">
        <f t="shared" si="21"/>
        <v>929.1</v>
      </c>
      <c r="AL25" s="71">
        <f t="shared" si="22"/>
        <v>835.7</v>
      </c>
      <c r="AM25" s="10">
        <f t="shared" si="13"/>
        <v>89.94726079001184</v>
      </c>
      <c r="AN25" s="35"/>
      <c r="AO25" s="35"/>
      <c r="AP25" s="35"/>
      <c r="AQ25" s="35"/>
      <c r="AR25" s="35"/>
      <c r="AS25" s="35"/>
      <c r="AT25" s="58">
        <f t="shared" si="23"/>
        <v>2540.2</v>
      </c>
      <c r="AU25" s="58">
        <f t="shared" si="24"/>
        <v>1991</v>
      </c>
      <c r="AV25" s="10">
        <f t="shared" si="7"/>
        <v>78.37965514526417</v>
      </c>
      <c r="AW25" s="71">
        <f t="shared" si="25"/>
        <v>549.1999999999998</v>
      </c>
      <c r="AX25" s="72">
        <f t="shared" si="26"/>
        <v>227.89999999999964</v>
      </c>
      <c r="AY25" s="20">
        <f t="shared" si="14"/>
        <v>2540.2</v>
      </c>
      <c r="AZ25" s="20">
        <f t="shared" si="15"/>
        <v>1991</v>
      </c>
      <c r="BA25" s="69">
        <f t="shared" si="16"/>
        <v>227.89999999999964</v>
      </c>
      <c r="BB25" s="36"/>
      <c r="BC25" s="37"/>
      <c r="BD25" s="37"/>
      <c r="BE25" s="36"/>
      <c r="BF25" s="37"/>
      <c r="BG25" s="37"/>
      <c r="BH25" s="37"/>
      <c r="BI25" s="37"/>
    </row>
    <row r="26" spans="1:61" ht="34.5" customHeight="1">
      <c r="A26" s="12" t="s">
        <v>23</v>
      </c>
      <c r="B26" s="61" t="s">
        <v>91</v>
      </c>
      <c r="C26" s="70">
        <v>127.7</v>
      </c>
      <c r="D26" s="35">
        <v>26.1</v>
      </c>
      <c r="E26" s="35">
        <v>19.2</v>
      </c>
      <c r="F26" s="52">
        <f t="shared" si="1"/>
        <v>73.56321839080458</v>
      </c>
      <c r="G26" s="35">
        <v>28</v>
      </c>
      <c r="H26" s="35">
        <v>15.9</v>
      </c>
      <c r="I26" s="10">
        <f t="shared" si="8"/>
        <v>56.785714285714285</v>
      </c>
      <c r="J26" s="35">
        <v>29.7</v>
      </c>
      <c r="K26" s="35">
        <v>24.5</v>
      </c>
      <c r="L26" s="10">
        <f>K26/J26*100</f>
        <v>82.49158249158249</v>
      </c>
      <c r="M26" s="71">
        <f t="shared" si="17"/>
        <v>83.8</v>
      </c>
      <c r="N26" s="71">
        <f t="shared" si="18"/>
        <v>59.6</v>
      </c>
      <c r="O26" s="10">
        <f t="shared" si="10"/>
        <v>71.1217183770883</v>
      </c>
      <c r="P26" s="35">
        <v>27.2</v>
      </c>
      <c r="Q26" s="35">
        <v>19.4</v>
      </c>
      <c r="R26" s="10">
        <f t="shared" si="11"/>
        <v>71.32352941176471</v>
      </c>
      <c r="S26" s="35">
        <v>27.8</v>
      </c>
      <c r="T26" s="35">
        <v>20.2</v>
      </c>
      <c r="U26" s="10">
        <f t="shared" si="12"/>
        <v>72.66187050359711</v>
      </c>
      <c r="V26" s="35">
        <v>23.9</v>
      </c>
      <c r="W26" s="35">
        <v>21.2</v>
      </c>
      <c r="X26" s="10">
        <f>W26/V26*100</f>
        <v>88.70292887029288</v>
      </c>
      <c r="Y26" s="71">
        <f t="shared" si="19"/>
        <v>78.9</v>
      </c>
      <c r="Z26" s="71">
        <f t="shared" si="20"/>
        <v>60.8</v>
      </c>
      <c r="AA26" s="10">
        <f t="shared" si="3"/>
        <v>77.0595690747782</v>
      </c>
      <c r="AB26" s="35">
        <v>24.5</v>
      </c>
      <c r="AC26" s="35">
        <v>24.6</v>
      </c>
      <c r="AD26" s="10">
        <f t="shared" si="4"/>
        <v>100.40816326530613</v>
      </c>
      <c r="AE26" s="35">
        <v>24.1</v>
      </c>
      <c r="AF26" s="35">
        <v>23.9</v>
      </c>
      <c r="AG26" s="10">
        <f t="shared" si="5"/>
        <v>99.17012448132779</v>
      </c>
      <c r="AH26" s="35">
        <v>24.7</v>
      </c>
      <c r="AI26" s="35">
        <v>23.1</v>
      </c>
      <c r="AJ26" s="10">
        <f t="shared" si="6"/>
        <v>93.52226720647774</v>
      </c>
      <c r="AK26" s="71">
        <f t="shared" si="21"/>
        <v>73.3</v>
      </c>
      <c r="AL26" s="71">
        <f t="shared" si="22"/>
        <v>71.6</v>
      </c>
      <c r="AM26" s="10">
        <f t="shared" si="13"/>
        <v>97.68076398362892</v>
      </c>
      <c r="AN26" s="35"/>
      <c r="AO26" s="35"/>
      <c r="AP26" s="35"/>
      <c r="AQ26" s="35"/>
      <c r="AR26" s="35"/>
      <c r="AS26" s="35"/>
      <c r="AT26" s="58">
        <f t="shared" si="23"/>
        <v>236</v>
      </c>
      <c r="AU26" s="58">
        <f t="shared" si="24"/>
        <v>192</v>
      </c>
      <c r="AV26" s="10">
        <f t="shared" si="7"/>
        <v>81.35593220338984</v>
      </c>
      <c r="AW26" s="71">
        <f t="shared" si="25"/>
        <v>44</v>
      </c>
      <c r="AX26" s="72">
        <f t="shared" si="26"/>
        <v>171.7</v>
      </c>
      <c r="AY26" s="20">
        <f t="shared" si="14"/>
        <v>235.99999999999997</v>
      </c>
      <c r="AZ26" s="20">
        <f t="shared" si="15"/>
        <v>192</v>
      </c>
      <c r="BA26" s="69">
        <f t="shared" si="16"/>
        <v>171.7</v>
      </c>
      <c r="BB26" s="36"/>
      <c r="BC26" s="37"/>
      <c r="BD26" s="37"/>
      <c r="BE26" s="36"/>
      <c r="BF26" s="37"/>
      <c r="BG26" s="37"/>
      <c r="BH26" s="37"/>
      <c r="BI26" s="37"/>
    </row>
    <row r="27" spans="1:61" ht="34.5" customHeight="1">
      <c r="A27" s="12" t="s">
        <v>24</v>
      </c>
      <c r="B27" s="61" t="s">
        <v>59</v>
      </c>
      <c r="C27" s="70">
        <v>-1191.9</v>
      </c>
      <c r="D27" s="35">
        <v>177.2</v>
      </c>
      <c r="E27" s="35">
        <v>470.2</v>
      </c>
      <c r="F27" s="52">
        <f t="shared" si="1"/>
        <v>265.34988713318285</v>
      </c>
      <c r="G27" s="35">
        <v>545.6</v>
      </c>
      <c r="H27" s="35">
        <v>219.9</v>
      </c>
      <c r="I27" s="10">
        <f t="shared" si="8"/>
        <v>40.30425219941349</v>
      </c>
      <c r="J27" s="35">
        <v>565.9</v>
      </c>
      <c r="K27" s="35">
        <v>304.3</v>
      </c>
      <c r="L27" s="10">
        <f>K27/J27*100</f>
        <v>53.772751369499915</v>
      </c>
      <c r="M27" s="71">
        <f t="shared" si="17"/>
        <v>1288.6999999999998</v>
      </c>
      <c r="N27" s="71">
        <f t="shared" si="18"/>
        <v>994.4000000000001</v>
      </c>
      <c r="O27" s="10">
        <f t="shared" si="10"/>
        <v>77.1630325133856</v>
      </c>
      <c r="P27" s="35">
        <v>545.3</v>
      </c>
      <c r="Q27" s="35">
        <v>300</v>
      </c>
      <c r="R27" s="10">
        <f t="shared" si="11"/>
        <v>55.01558774986246</v>
      </c>
      <c r="S27" s="35">
        <v>564.1</v>
      </c>
      <c r="T27" s="35">
        <v>424.3</v>
      </c>
      <c r="U27" s="10">
        <f t="shared" si="12"/>
        <v>75.21716007800036</v>
      </c>
      <c r="V27" s="35">
        <v>568</v>
      </c>
      <c r="W27" s="35">
        <v>340.9</v>
      </c>
      <c r="X27" s="10">
        <f>W27/V27*100</f>
        <v>60.017605633802816</v>
      </c>
      <c r="Y27" s="71">
        <f t="shared" si="19"/>
        <v>1677.4</v>
      </c>
      <c r="Z27" s="71">
        <f t="shared" si="20"/>
        <v>1065.1999999999998</v>
      </c>
      <c r="AA27" s="10">
        <f t="shared" si="3"/>
        <v>63.50304041969713</v>
      </c>
      <c r="AB27" s="35">
        <v>568</v>
      </c>
      <c r="AC27" s="35">
        <v>456</v>
      </c>
      <c r="AD27" s="10">
        <f t="shared" si="4"/>
        <v>80.28169014084507</v>
      </c>
      <c r="AE27" s="35">
        <v>618.6</v>
      </c>
      <c r="AF27" s="35">
        <v>550.7</v>
      </c>
      <c r="AG27" s="10">
        <f t="shared" si="5"/>
        <v>89.02360168121565</v>
      </c>
      <c r="AH27" s="35">
        <v>623.5</v>
      </c>
      <c r="AI27" s="35">
        <v>659.9</v>
      </c>
      <c r="AJ27" s="10">
        <f t="shared" si="6"/>
        <v>105.83801122694467</v>
      </c>
      <c r="AK27" s="71">
        <f t="shared" si="21"/>
        <v>1810.1</v>
      </c>
      <c r="AL27" s="71">
        <f t="shared" si="22"/>
        <v>1666.6</v>
      </c>
      <c r="AM27" s="10">
        <f t="shared" si="13"/>
        <v>92.07226120103861</v>
      </c>
      <c r="AN27" s="35"/>
      <c r="AO27" s="35"/>
      <c r="AP27" s="35"/>
      <c r="AQ27" s="35"/>
      <c r="AR27" s="35"/>
      <c r="AS27" s="35"/>
      <c r="AT27" s="58">
        <f t="shared" si="23"/>
        <v>4776.2</v>
      </c>
      <c r="AU27" s="58">
        <f t="shared" si="24"/>
        <v>3726.2</v>
      </c>
      <c r="AV27" s="10">
        <f t="shared" si="7"/>
        <v>78.01599598006783</v>
      </c>
      <c r="AW27" s="71">
        <f t="shared" si="25"/>
        <v>1050</v>
      </c>
      <c r="AX27" s="72">
        <f>C27+AT27-AU27</f>
        <v>-141.9000000000001</v>
      </c>
      <c r="AY27" s="20">
        <f t="shared" si="14"/>
        <v>4776.2</v>
      </c>
      <c r="AZ27" s="20">
        <f t="shared" si="15"/>
        <v>3726.2000000000003</v>
      </c>
      <c r="BA27" s="69">
        <f t="shared" si="16"/>
        <v>-141.90000000000055</v>
      </c>
      <c r="BB27" s="36"/>
      <c r="BC27" s="37"/>
      <c r="BD27" s="37"/>
      <c r="BE27" s="36"/>
      <c r="BF27" s="37"/>
      <c r="BG27" s="37"/>
      <c r="BH27" s="37"/>
      <c r="BI27" s="37"/>
    </row>
    <row r="28" spans="1:61" ht="34.5" customHeight="1">
      <c r="A28" s="12" t="s">
        <v>25</v>
      </c>
      <c r="B28" s="113" t="s">
        <v>92</v>
      </c>
      <c r="C28" s="74">
        <v>108.8</v>
      </c>
      <c r="D28" s="35">
        <v>103.8</v>
      </c>
      <c r="E28" s="35">
        <v>138.2</v>
      </c>
      <c r="F28" s="52">
        <f t="shared" si="1"/>
        <v>133.14065510597302</v>
      </c>
      <c r="G28" s="35">
        <v>165.4</v>
      </c>
      <c r="H28" s="79">
        <v>113.6</v>
      </c>
      <c r="I28" s="10">
        <f t="shared" si="8"/>
        <v>68.68198307134219</v>
      </c>
      <c r="J28" s="35">
        <v>165.7</v>
      </c>
      <c r="K28" s="79">
        <v>159.9</v>
      </c>
      <c r="L28" s="75">
        <f>K28/J28*100</f>
        <v>96.49969824984913</v>
      </c>
      <c r="M28" s="71">
        <f t="shared" si="17"/>
        <v>434.9</v>
      </c>
      <c r="N28" s="71">
        <f t="shared" si="18"/>
        <v>411.7</v>
      </c>
      <c r="O28" s="10">
        <f t="shared" si="10"/>
        <v>94.6654403311106</v>
      </c>
      <c r="P28" s="35">
        <v>167.1</v>
      </c>
      <c r="Q28" s="79">
        <v>148.5</v>
      </c>
      <c r="R28" s="10">
        <f t="shared" si="11"/>
        <v>88.8689407540395</v>
      </c>
      <c r="S28" s="35">
        <v>256.5</v>
      </c>
      <c r="T28" s="79">
        <v>170.4</v>
      </c>
      <c r="U28" s="10">
        <f t="shared" si="12"/>
        <v>66.4327485380117</v>
      </c>
      <c r="V28" s="35">
        <v>201.2</v>
      </c>
      <c r="W28" s="79">
        <v>172.9</v>
      </c>
      <c r="X28" s="75">
        <f>W28/V28*100</f>
        <v>85.93439363817097</v>
      </c>
      <c r="Y28" s="71">
        <f t="shared" si="19"/>
        <v>624.8</v>
      </c>
      <c r="Z28" s="71">
        <f t="shared" si="20"/>
        <v>491.79999999999995</v>
      </c>
      <c r="AA28" s="10">
        <f t="shared" si="3"/>
        <v>78.71318822023046</v>
      </c>
      <c r="AB28" s="35">
        <v>179.8</v>
      </c>
      <c r="AC28" s="79">
        <v>201.6</v>
      </c>
      <c r="AD28" s="10">
        <f t="shared" si="4"/>
        <v>112.12458286985539</v>
      </c>
      <c r="AE28" s="35">
        <v>206.6</v>
      </c>
      <c r="AF28" s="79">
        <v>175.4</v>
      </c>
      <c r="AG28" s="10">
        <f t="shared" si="5"/>
        <v>84.89835430784125</v>
      </c>
      <c r="AH28" s="35">
        <v>173.4</v>
      </c>
      <c r="AI28" s="79">
        <v>210</v>
      </c>
      <c r="AJ28" s="10">
        <f t="shared" si="6"/>
        <v>121.10726643598615</v>
      </c>
      <c r="AK28" s="71">
        <f t="shared" si="21"/>
        <v>559.8</v>
      </c>
      <c r="AL28" s="71">
        <f t="shared" si="22"/>
        <v>587</v>
      </c>
      <c r="AM28" s="10">
        <f t="shared" si="13"/>
        <v>104.85887817077528</v>
      </c>
      <c r="AN28" s="35"/>
      <c r="AO28" s="79"/>
      <c r="AP28" s="35"/>
      <c r="AQ28" s="79"/>
      <c r="AR28" s="35"/>
      <c r="AS28" s="79"/>
      <c r="AT28" s="58">
        <f t="shared" si="23"/>
        <v>1619.4999999999998</v>
      </c>
      <c r="AU28" s="58">
        <f t="shared" si="24"/>
        <v>1490.5</v>
      </c>
      <c r="AV28" s="10">
        <f t="shared" si="7"/>
        <v>92.03457857363385</v>
      </c>
      <c r="AW28" s="71">
        <f t="shared" si="25"/>
        <v>128.99999999999977</v>
      </c>
      <c r="AX28" s="72">
        <f t="shared" si="26"/>
        <v>237.79999999999973</v>
      </c>
      <c r="AY28" s="20">
        <f t="shared" si="14"/>
        <v>1619.4999999999998</v>
      </c>
      <c r="AZ28" s="20">
        <f t="shared" si="15"/>
        <v>1490.5</v>
      </c>
      <c r="BA28" s="69">
        <f t="shared" si="16"/>
        <v>237.79999999999973</v>
      </c>
      <c r="BB28" s="36"/>
      <c r="BC28" s="37"/>
      <c r="BD28" s="37"/>
      <c r="BE28" s="36"/>
      <c r="BF28" s="37"/>
      <c r="BG28" s="37"/>
      <c r="BH28" s="37"/>
      <c r="BI28" s="37"/>
    </row>
    <row r="29" spans="1:61" ht="34.5" customHeight="1">
      <c r="A29" s="12" t="s">
        <v>26</v>
      </c>
      <c r="B29" s="57" t="s">
        <v>2</v>
      </c>
      <c r="C29" s="53"/>
      <c r="D29" s="53"/>
      <c r="E29" s="53"/>
      <c r="F29" s="85" t="e">
        <f t="shared" si="1"/>
        <v>#DIV/0!</v>
      </c>
      <c r="G29" s="53"/>
      <c r="H29" s="53"/>
      <c r="I29" s="85" t="e">
        <f t="shared" si="8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11"/>
        <v>#DIV/0!</v>
      </c>
      <c r="S29" s="53"/>
      <c r="T29" s="53"/>
      <c r="U29" s="10"/>
      <c r="V29" s="53"/>
      <c r="W29" s="53"/>
      <c r="X29" s="53"/>
      <c r="Y29" s="71"/>
      <c r="Z29" s="71"/>
      <c r="AA29" s="10"/>
      <c r="AB29" s="53"/>
      <c r="AC29" s="53"/>
      <c r="AD29" s="10"/>
      <c r="AE29" s="53"/>
      <c r="AF29" s="53"/>
      <c r="AG29" s="85" t="e">
        <f t="shared" si="5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53"/>
      <c r="AW29" s="71"/>
      <c r="AX29" s="80"/>
      <c r="AY29" s="20">
        <f t="shared" si="14"/>
        <v>0</v>
      </c>
      <c r="AZ29" s="20">
        <f t="shared" si="15"/>
        <v>0</v>
      </c>
      <c r="BA29" s="69">
        <f t="shared" si="16"/>
        <v>0</v>
      </c>
      <c r="BB29" s="36"/>
      <c r="BC29" s="37"/>
      <c r="BD29" s="37"/>
      <c r="BE29" s="36"/>
      <c r="BF29" s="37"/>
      <c r="BG29" s="37"/>
      <c r="BH29" s="37"/>
      <c r="BI29" s="37"/>
    </row>
    <row r="30" spans="1:61" ht="34.5" customHeight="1">
      <c r="A30" s="12" t="s">
        <v>27</v>
      </c>
      <c r="B30" s="61" t="s">
        <v>39</v>
      </c>
      <c r="C30" s="81">
        <v>-161.4</v>
      </c>
      <c r="D30" s="35">
        <v>46.9</v>
      </c>
      <c r="E30" s="35">
        <v>51</v>
      </c>
      <c r="F30" s="52">
        <f t="shared" si="1"/>
        <v>108.74200426439234</v>
      </c>
      <c r="G30" s="35">
        <v>93.5</v>
      </c>
      <c r="H30" s="35">
        <v>55.6</v>
      </c>
      <c r="I30" s="10">
        <f t="shared" si="8"/>
        <v>59.46524064171123</v>
      </c>
      <c r="J30" s="35">
        <v>102.9</v>
      </c>
      <c r="K30" s="35">
        <v>80.6</v>
      </c>
      <c r="L30" s="60">
        <f aca="true" t="shared" si="27" ref="L30:L45">K30/J30*100</f>
        <v>78.32847424684158</v>
      </c>
      <c r="M30" s="71">
        <f t="shared" si="17"/>
        <v>243.3</v>
      </c>
      <c r="N30" s="71">
        <f t="shared" si="18"/>
        <v>187.2</v>
      </c>
      <c r="O30" s="10">
        <f t="shared" si="10"/>
        <v>76.94204685573366</v>
      </c>
      <c r="P30" s="35">
        <v>101.1</v>
      </c>
      <c r="Q30" s="35">
        <v>80.2</v>
      </c>
      <c r="R30" s="10">
        <f t="shared" si="11"/>
        <v>79.32739861523245</v>
      </c>
      <c r="S30" s="35">
        <v>132.2</v>
      </c>
      <c r="T30" s="35">
        <v>101.2</v>
      </c>
      <c r="U30" s="10">
        <f t="shared" si="12"/>
        <v>76.55068078668684</v>
      </c>
      <c r="V30" s="35">
        <v>105</v>
      </c>
      <c r="W30" s="35">
        <v>100.4</v>
      </c>
      <c r="X30" s="103">
        <f aca="true" t="shared" si="28" ref="X30:X43">W30/V30*100</f>
        <v>95.61904761904762</v>
      </c>
      <c r="Y30" s="71">
        <f aca="true" t="shared" si="29" ref="Y30:Y42">P30+S30+V30</f>
        <v>338.29999999999995</v>
      </c>
      <c r="Z30" s="71">
        <f aca="true" t="shared" si="30" ref="Z30:Z42">Q30+T30+W30</f>
        <v>281.8</v>
      </c>
      <c r="AA30" s="10">
        <f t="shared" si="3"/>
        <v>83.2988471770618</v>
      </c>
      <c r="AB30" s="35">
        <v>102.1</v>
      </c>
      <c r="AC30" s="35">
        <v>111.3</v>
      </c>
      <c r="AD30" s="10">
        <f t="shared" si="4"/>
        <v>109.01077375122429</v>
      </c>
      <c r="AE30" s="35">
        <v>96.1</v>
      </c>
      <c r="AF30" s="35">
        <v>91.1</v>
      </c>
      <c r="AG30" s="10">
        <f t="shared" si="5"/>
        <v>94.7970863683663</v>
      </c>
      <c r="AH30" s="35">
        <v>92.9</v>
      </c>
      <c r="AI30" s="35">
        <v>90.1</v>
      </c>
      <c r="AJ30" s="10">
        <f t="shared" si="6"/>
        <v>96.98600645855757</v>
      </c>
      <c r="AK30" s="71">
        <f t="shared" si="21"/>
        <v>291.1</v>
      </c>
      <c r="AL30" s="71">
        <f t="shared" si="22"/>
        <v>292.5</v>
      </c>
      <c r="AM30" s="10">
        <f aca="true" t="shared" si="31" ref="AM30:AM45">AL30/AK30*100</f>
        <v>100.48093438680866</v>
      </c>
      <c r="AN30" s="35"/>
      <c r="AO30" s="35"/>
      <c r="AP30" s="35"/>
      <c r="AQ30" s="35"/>
      <c r="AR30" s="35"/>
      <c r="AS30" s="35"/>
      <c r="AT30" s="58">
        <f t="shared" si="23"/>
        <v>872.6999999999999</v>
      </c>
      <c r="AU30" s="58">
        <f t="shared" si="24"/>
        <v>761.5</v>
      </c>
      <c r="AV30" s="10">
        <f t="shared" si="7"/>
        <v>87.25793514380659</v>
      </c>
      <c r="AW30" s="71">
        <f t="shared" si="25"/>
        <v>111.19999999999993</v>
      </c>
      <c r="AX30" s="72">
        <f t="shared" si="26"/>
        <v>-50.200000000000045</v>
      </c>
      <c r="AY30" s="20">
        <f t="shared" si="14"/>
        <v>872.6999999999999</v>
      </c>
      <c r="AZ30" s="20">
        <f t="shared" si="15"/>
        <v>761.5</v>
      </c>
      <c r="BA30" s="69">
        <f t="shared" si="16"/>
        <v>-50.200000000000045</v>
      </c>
      <c r="BB30" s="36"/>
      <c r="BC30" s="37"/>
      <c r="BD30" s="37"/>
      <c r="BE30" s="36"/>
      <c r="BF30" s="37"/>
      <c r="BG30" s="37"/>
      <c r="BH30" s="37"/>
      <c r="BI30" s="37"/>
    </row>
    <row r="31" spans="1:61" ht="34.5" customHeight="1">
      <c r="A31" s="12" t="s">
        <v>28</v>
      </c>
      <c r="B31" s="61" t="s">
        <v>3</v>
      </c>
      <c r="C31" s="70">
        <v>-1308.4</v>
      </c>
      <c r="D31" s="35">
        <v>9.8</v>
      </c>
      <c r="E31" s="35">
        <v>78.8</v>
      </c>
      <c r="F31" s="52">
        <f t="shared" si="1"/>
        <v>804.0816326530612</v>
      </c>
      <c r="G31" s="35">
        <v>170.9</v>
      </c>
      <c r="H31" s="35">
        <v>77.5</v>
      </c>
      <c r="I31" s="10">
        <f t="shared" si="8"/>
        <v>45.34815681685196</v>
      </c>
      <c r="J31" s="35">
        <v>179.7</v>
      </c>
      <c r="K31" s="35">
        <v>96.5</v>
      </c>
      <c r="L31" s="60">
        <f t="shared" si="27"/>
        <v>53.70061213133</v>
      </c>
      <c r="M31" s="71">
        <f t="shared" si="17"/>
        <v>360.4</v>
      </c>
      <c r="N31" s="71">
        <f t="shared" si="18"/>
        <v>252.8</v>
      </c>
      <c r="O31" s="10">
        <f t="shared" si="10"/>
        <v>70.14428412874585</v>
      </c>
      <c r="P31" s="35">
        <v>173.4</v>
      </c>
      <c r="Q31" s="35">
        <v>84.5</v>
      </c>
      <c r="R31" s="10">
        <f t="shared" si="11"/>
        <v>48.73125720876586</v>
      </c>
      <c r="S31" s="35">
        <v>172.6</v>
      </c>
      <c r="T31" s="35">
        <v>125</v>
      </c>
      <c r="U31" s="10">
        <f t="shared" si="12"/>
        <v>72.42178447276942</v>
      </c>
      <c r="V31" s="35">
        <v>180.1</v>
      </c>
      <c r="W31" s="35">
        <v>111</v>
      </c>
      <c r="X31" s="103">
        <f t="shared" si="28"/>
        <v>61.632426429761246</v>
      </c>
      <c r="Y31" s="71">
        <f t="shared" si="29"/>
        <v>526.1</v>
      </c>
      <c r="Z31" s="71">
        <f t="shared" si="30"/>
        <v>320.5</v>
      </c>
      <c r="AA31" s="10">
        <f t="shared" si="3"/>
        <v>60.91997719064817</v>
      </c>
      <c r="AB31" s="35">
        <v>196.3</v>
      </c>
      <c r="AC31" s="35">
        <v>152.4</v>
      </c>
      <c r="AD31" s="10">
        <f t="shared" si="4"/>
        <v>77.63627101375445</v>
      </c>
      <c r="AE31" s="35">
        <v>200.4</v>
      </c>
      <c r="AF31" s="35">
        <v>149.9</v>
      </c>
      <c r="AG31" s="10">
        <f t="shared" si="5"/>
        <v>74.80039920159682</v>
      </c>
      <c r="AH31" s="35">
        <v>203.4</v>
      </c>
      <c r="AI31" s="35">
        <v>150.1</v>
      </c>
      <c r="AJ31" s="10">
        <f t="shared" si="6"/>
        <v>73.79547689282202</v>
      </c>
      <c r="AK31" s="71">
        <f t="shared" si="21"/>
        <v>600.1</v>
      </c>
      <c r="AL31" s="71">
        <f t="shared" si="22"/>
        <v>452.4</v>
      </c>
      <c r="AM31" s="10">
        <f t="shared" si="31"/>
        <v>75.38743542742876</v>
      </c>
      <c r="AN31" s="35"/>
      <c r="AO31" s="35"/>
      <c r="AP31" s="35"/>
      <c r="AQ31" s="35"/>
      <c r="AR31" s="35"/>
      <c r="AS31" s="35"/>
      <c r="AT31" s="58">
        <f t="shared" si="23"/>
        <v>1486.6</v>
      </c>
      <c r="AU31" s="58">
        <f t="shared" si="24"/>
        <v>1025.6999999999998</v>
      </c>
      <c r="AV31" s="10">
        <f t="shared" si="7"/>
        <v>68.99636755011434</v>
      </c>
      <c r="AW31" s="71">
        <f t="shared" si="25"/>
        <v>460.9000000000001</v>
      </c>
      <c r="AX31" s="72">
        <f t="shared" si="26"/>
        <v>-847.5</v>
      </c>
      <c r="AY31" s="20">
        <f t="shared" si="14"/>
        <v>1486.6000000000001</v>
      </c>
      <c r="AZ31" s="20">
        <f t="shared" si="15"/>
        <v>1025.6999999999998</v>
      </c>
      <c r="BA31" s="69">
        <f t="shared" si="16"/>
        <v>-847.4999999999998</v>
      </c>
      <c r="BB31" s="36"/>
      <c r="BC31" s="37"/>
      <c r="BD31" s="37"/>
      <c r="BE31" s="36"/>
      <c r="BF31" s="37"/>
      <c r="BG31" s="37"/>
      <c r="BH31" s="37"/>
      <c r="BI31" s="37"/>
    </row>
    <row r="32" spans="1:61" ht="34.5" customHeight="1">
      <c r="A32" s="12" t="s">
        <v>29</v>
      </c>
      <c r="B32" s="61" t="s">
        <v>93</v>
      </c>
      <c r="C32" s="15">
        <f>SUM(C33:C34)</f>
        <v>7502.2</v>
      </c>
      <c r="D32" s="15">
        <f aca="true" t="shared" si="32" ref="D32:AI32">SUM(D33:D34)</f>
        <v>2148.4</v>
      </c>
      <c r="E32" s="15">
        <f t="shared" si="32"/>
        <v>2034.2</v>
      </c>
      <c r="F32" s="15">
        <f t="shared" si="32"/>
        <v>189.8170498659178</v>
      </c>
      <c r="G32" s="15">
        <f t="shared" si="32"/>
        <v>2346.5</v>
      </c>
      <c r="H32" s="15">
        <f t="shared" si="32"/>
        <v>1586.4</v>
      </c>
      <c r="I32" s="15">
        <f t="shared" si="32"/>
        <v>135.33659986692498</v>
      </c>
      <c r="J32" s="15">
        <f t="shared" si="32"/>
        <v>3242.5</v>
      </c>
      <c r="K32" s="15">
        <f t="shared" si="32"/>
        <v>2007.3000000000002</v>
      </c>
      <c r="L32" s="15">
        <f t="shared" si="32"/>
        <v>115.5121275480386</v>
      </c>
      <c r="M32" s="15">
        <f t="shared" si="32"/>
        <v>7737.4</v>
      </c>
      <c r="N32" s="15">
        <f t="shared" si="32"/>
        <v>5627.900000000001</v>
      </c>
      <c r="O32" s="10">
        <f t="shared" si="10"/>
        <v>72.73631969395406</v>
      </c>
      <c r="P32" s="15">
        <f t="shared" si="32"/>
        <v>2357.5</v>
      </c>
      <c r="Q32" s="15">
        <f t="shared" si="32"/>
        <v>1769.3000000000002</v>
      </c>
      <c r="R32" s="15">
        <f t="shared" si="32"/>
        <v>145.09859638706325</v>
      </c>
      <c r="S32" s="15">
        <f t="shared" si="32"/>
        <v>3878.24</v>
      </c>
      <c r="T32" s="15">
        <f t="shared" si="32"/>
        <v>2417.94</v>
      </c>
      <c r="U32" s="15">
        <f t="shared" si="32"/>
        <v>139.32969990759554</v>
      </c>
      <c r="V32" s="15">
        <f t="shared" si="32"/>
        <v>3459.7</v>
      </c>
      <c r="W32" s="15">
        <f t="shared" si="32"/>
        <v>2070.3</v>
      </c>
      <c r="X32" s="15">
        <f t="shared" si="32"/>
        <v>146.16140065356512</v>
      </c>
      <c r="Y32" s="15">
        <f t="shared" si="32"/>
        <v>9695.439999999999</v>
      </c>
      <c r="Z32" s="15">
        <f t="shared" si="32"/>
        <v>6257.54</v>
      </c>
      <c r="AA32" s="10">
        <f t="shared" si="3"/>
        <v>64.54106260262557</v>
      </c>
      <c r="AB32" s="15">
        <f t="shared" si="32"/>
        <v>2766</v>
      </c>
      <c r="AC32" s="15">
        <f t="shared" si="32"/>
        <v>2874.3999999999996</v>
      </c>
      <c r="AD32" s="10">
        <f t="shared" si="4"/>
        <v>103.91901663051337</v>
      </c>
      <c r="AE32" s="15">
        <f t="shared" si="32"/>
        <v>2450.6000000000004</v>
      </c>
      <c r="AF32" s="15">
        <f t="shared" si="32"/>
        <v>2883.2</v>
      </c>
      <c r="AG32" s="10">
        <f t="shared" si="5"/>
        <v>117.65281971762016</v>
      </c>
      <c r="AH32" s="15">
        <f t="shared" si="32"/>
        <v>2818.5</v>
      </c>
      <c r="AI32" s="15">
        <f t="shared" si="32"/>
        <v>2605.2</v>
      </c>
      <c r="AJ32" s="10">
        <f t="shared" si="6"/>
        <v>92.43214475784991</v>
      </c>
      <c r="AK32" s="10"/>
      <c r="AL32" s="10"/>
      <c r="AM32" s="10"/>
      <c r="AN32" s="120"/>
      <c r="AO32" s="120"/>
      <c r="AP32" s="120"/>
      <c r="AQ32" s="120"/>
      <c r="AR32" s="120"/>
      <c r="AS32" s="120"/>
      <c r="AT32" s="15">
        <f>SUM(AT33:AT34)</f>
        <v>25467.940000000002</v>
      </c>
      <c r="AU32" s="15">
        <f>SUM(AU33:AU34)</f>
        <v>20248.239999999998</v>
      </c>
      <c r="AV32" s="10">
        <f t="shared" si="7"/>
        <v>79.50482057048978</v>
      </c>
      <c r="AW32" s="15">
        <f>SUM(AW33:AW34)</f>
        <v>5219.700000000004</v>
      </c>
      <c r="AX32" s="15">
        <f>SUM(AX33:AX34)</f>
        <v>12721.900000000005</v>
      </c>
      <c r="AY32" s="20">
        <f t="shared" si="14"/>
        <v>25467.939999999995</v>
      </c>
      <c r="AZ32" s="20">
        <f t="shared" si="15"/>
        <v>20248.24</v>
      </c>
      <c r="BA32" s="69">
        <f t="shared" si="16"/>
        <v>12721.89999999999</v>
      </c>
      <c r="BB32" s="36"/>
      <c r="BC32" s="37"/>
      <c r="BD32" s="37"/>
      <c r="BE32" s="36"/>
      <c r="BF32" s="37"/>
      <c r="BG32" s="37"/>
      <c r="BH32" s="37"/>
      <c r="BI32" s="37"/>
    </row>
    <row r="33" spans="1:61" ht="34.5" customHeight="1">
      <c r="A33" s="12"/>
      <c r="B33" s="61" t="s">
        <v>109</v>
      </c>
      <c r="C33" s="70">
        <v>6370.7</v>
      </c>
      <c r="D33" s="79">
        <v>1695.6</v>
      </c>
      <c r="E33" s="35">
        <v>1602.7</v>
      </c>
      <c r="F33" s="52">
        <f>E33/D33*100</f>
        <v>94.52111347015807</v>
      </c>
      <c r="G33" s="35">
        <v>1847.2</v>
      </c>
      <c r="H33" s="35">
        <v>1248</v>
      </c>
      <c r="I33" s="10">
        <f t="shared" si="8"/>
        <v>67.56171502815072</v>
      </c>
      <c r="J33" s="35">
        <v>1847.2</v>
      </c>
      <c r="K33" s="35">
        <v>1616.9</v>
      </c>
      <c r="L33" s="10">
        <f t="shared" si="27"/>
        <v>87.53248159376353</v>
      </c>
      <c r="M33" s="71">
        <f t="shared" si="17"/>
        <v>5390</v>
      </c>
      <c r="N33" s="71">
        <f t="shared" si="18"/>
        <v>4467.6</v>
      </c>
      <c r="O33" s="10">
        <f t="shared" si="10"/>
        <v>82.88682745825604</v>
      </c>
      <c r="P33" s="35">
        <v>1831.9</v>
      </c>
      <c r="Q33" s="35">
        <v>1411.7</v>
      </c>
      <c r="R33" s="10">
        <f t="shared" si="11"/>
        <v>77.06206670669796</v>
      </c>
      <c r="S33" s="35">
        <v>3279.74</v>
      </c>
      <c r="T33" s="35">
        <v>1937.64</v>
      </c>
      <c r="U33" s="10">
        <f t="shared" si="12"/>
        <v>59.07907334117949</v>
      </c>
      <c r="V33" s="35">
        <v>3050.2</v>
      </c>
      <c r="W33" s="35">
        <v>1700</v>
      </c>
      <c r="X33" s="10">
        <f t="shared" si="28"/>
        <v>55.734050226214684</v>
      </c>
      <c r="Y33" s="71">
        <f t="shared" si="29"/>
        <v>8161.839999999999</v>
      </c>
      <c r="Z33" s="71">
        <f t="shared" si="30"/>
        <v>5049.34</v>
      </c>
      <c r="AA33" s="10">
        <f t="shared" si="3"/>
        <v>61.86521666683004</v>
      </c>
      <c r="AB33" s="35">
        <v>2297.4</v>
      </c>
      <c r="AC33" s="35">
        <v>2313.1</v>
      </c>
      <c r="AD33" s="10">
        <f t="shared" si="4"/>
        <v>100.68338121354574</v>
      </c>
      <c r="AE33" s="35">
        <v>2050.8</v>
      </c>
      <c r="AF33" s="35">
        <v>2425.6</v>
      </c>
      <c r="AG33" s="10">
        <f t="shared" si="5"/>
        <v>118.27579481178074</v>
      </c>
      <c r="AH33" s="35">
        <v>2273.4</v>
      </c>
      <c r="AI33" s="35">
        <v>2143.6</v>
      </c>
      <c r="AJ33" s="10">
        <f t="shared" si="6"/>
        <v>94.29049001495557</v>
      </c>
      <c r="AK33" s="71">
        <f t="shared" si="21"/>
        <v>6621.6</v>
      </c>
      <c r="AL33" s="71">
        <f t="shared" si="22"/>
        <v>6882.299999999999</v>
      </c>
      <c r="AM33" s="10">
        <f t="shared" si="31"/>
        <v>103.93711489670167</v>
      </c>
      <c r="AN33" s="35"/>
      <c r="AO33" s="35"/>
      <c r="AP33" s="35"/>
      <c r="AQ33" s="35"/>
      <c r="AR33" s="35"/>
      <c r="AS33" s="35"/>
      <c r="AT33" s="58">
        <f aca="true" t="shared" si="33" ref="AT33:AU35">M33+Y33+AK33+AN33+AP33+AR33</f>
        <v>20173.440000000002</v>
      </c>
      <c r="AU33" s="58">
        <f t="shared" si="33"/>
        <v>16399.239999999998</v>
      </c>
      <c r="AV33" s="10">
        <f t="shared" si="7"/>
        <v>81.29124234637224</v>
      </c>
      <c r="AW33" s="71">
        <f t="shared" si="25"/>
        <v>3774.2000000000044</v>
      </c>
      <c r="AX33" s="72">
        <f t="shared" si="26"/>
        <v>10144.900000000005</v>
      </c>
      <c r="AY33" s="20">
        <f t="shared" si="14"/>
        <v>20173.440000000002</v>
      </c>
      <c r="AZ33" s="20">
        <f t="shared" si="15"/>
        <v>16399.24</v>
      </c>
      <c r="BA33" s="69">
        <f t="shared" si="16"/>
        <v>10144.900000000001</v>
      </c>
      <c r="BB33" s="36"/>
      <c r="BC33" s="37"/>
      <c r="BD33" s="37"/>
      <c r="BE33" s="36"/>
      <c r="BF33" s="37"/>
      <c r="BG33" s="37"/>
      <c r="BH33" s="37"/>
      <c r="BI33" s="37"/>
    </row>
    <row r="34" spans="1:61" ht="34.5" customHeight="1">
      <c r="A34" s="12"/>
      <c r="B34" s="61" t="s">
        <v>94</v>
      </c>
      <c r="C34" s="33">
        <v>1131.5</v>
      </c>
      <c r="D34" s="79">
        <v>452.8</v>
      </c>
      <c r="E34" s="35">
        <v>431.5</v>
      </c>
      <c r="F34" s="52">
        <f>E34/D34*100</f>
        <v>95.29593639575971</v>
      </c>
      <c r="G34" s="35">
        <v>499.3</v>
      </c>
      <c r="H34" s="35">
        <v>338.4</v>
      </c>
      <c r="I34" s="10">
        <f t="shared" si="8"/>
        <v>67.77488483877427</v>
      </c>
      <c r="J34" s="35">
        <v>1395.3</v>
      </c>
      <c r="K34" s="35">
        <v>390.4</v>
      </c>
      <c r="L34" s="10">
        <f t="shared" si="27"/>
        <v>27.979645954275068</v>
      </c>
      <c r="M34" s="71">
        <f t="shared" si="17"/>
        <v>2347.4</v>
      </c>
      <c r="N34" s="71">
        <f t="shared" si="18"/>
        <v>1160.3</v>
      </c>
      <c r="O34" s="10">
        <f t="shared" si="10"/>
        <v>49.429155661583025</v>
      </c>
      <c r="P34" s="35">
        <v>525.6</v>
      </c>
      <c r="Q34" s="35">
        <v>357.6</v>
      </c>
      <c r="R34" s="10">
        <f t="shared" si="11"/>
        <v>68.0365296803653</v>
      </c>
      <c r="S34" s="35">
        <v>598.5</v>
      </c>
      <c r="T34" s="35">
        <v>480.3</v>
      </c>
      <c r="U34" s="10">
        <f t="shared" si="12"/>
        <v>80.25062656641605</v>
      </c>
      <c r="V34" s="35">
        <v>409.5</v>
      </c>
      <c r="W34" s="35">
        <v>370.3</v>
      </c>
      <c r="X34" s="10">
        <f t="shared" si="28"/>
        <v>90.42735042735043</v>
      </c>
      <c r="Y34" s="71">
        <f>P34+S34+V34</f>
        <v>1533.6</v>
      </c>
      <c r="Z34" s="71">
        <f>Q34+T34+W34</f>
        <v>1208.2</v>
      </c>
      <c r="AA34" s="10">
        <f t="shared" si="3"/>
        <v>78.78195096504956</v>
      </c>
      <c r="AB34" s="35">
        <v>468.6</v>
      </c>
      <c r="AC34" s="35">
        <v>561.3</v>
      </c>
      <c r="AD34" s="10">
        <f t="shared" si="4"/>
        <v>119.78233034571062</v>
      </c>
      <c r="AE34" s="35">
        <v>399.8</v>
      </c>
      <c r="AF34" s="35">
        <f>454.2+3.4</f>
        <v>457.59999999999997</v>
      </c>
      <c r="AG34" s="10">
        <f t="shared" si="5"/>
        <v>114.45722861430714</v>
      </c>
      <c r="AH34" s="35">
        <v>545.1</v>
      </c>
      <c r="AI34" s="35">
        <v>461.6</v>
      </c>
      <c r="AJ34" s="10">
        <f t="shared" si="6"/>
        <v>84.68170977802238</v>
      </c>
      <c r="AK34" s="71">
        <f t="shared" si="21"/>
        <v>1413.5</v>
      </c>
      <c r="AL34" s="71">
        <f t="shared" si="22"/>
        <v>1480.5</v>
      </c>
      <c r="AM34" s="10">
        <f>AL34/AK34*100</f>
        <v>104.74000707463742</v>
      </c>
      <c r="AN34" s="35"/>
      <c r="AO34" s="35"/>
      <c r="AP34" s="35"/>
      <c r="AQ34" s="35"/>
      <c r="AR34" s="35"/>
      <c r="AS34" s="35"/>
      <c r="AT34" s="58">
        <f t="shared" si="33"/>
        <v>5294.5</v>
      </c>
      <c r="AU34" s="58">
        <f t="shared" si="33"/>
        <v>3849</v>
      </c>
      <c r="AV34" s="10">
        <f t="shared" si="7"/>
        <v>72.69808291623383</v>
      </c>
      <c r="AW34" s="71">
        <f t="shared" si="25"/>
        <v>1445.5</v>
      </c>
      <c r="AX34" s="72">
        <f t="shared" si="26"/>
        <v>2577</v>
      </c>
      <c r="AY34" s="20">
        <f t="shared" si="14"/>
        <v>5294.500000000001</v>
      </c>
      <c r="AZ34" s="20">
        <f t="shared" si="15"/>
        <v>3849</v>
      </c>
      <c r="BA34" s="69">
        <f t="shared" si="16"/>
        <v>2577.000000000001</v>
      </c>
      <c r="BB34" s="36"/>
      <c r="BC34" s="37"/>
      <c r="BD34" s="37"/>
      <c r="BE34" s="36"/>
      <c r="BF34" s="37"/>
      <c r="BG34" s="37"/>
      <c r="BH34" s="37"/>
      <c r="BI34" s="37"/>
    </row>
    <row r="35" spans="1:61" ht="34.5" customHeight="1">
      <c r="A35" s="12" t="s">
        <v>30</v>
      </c>
      <c r="B35" s="61" t="s">
        <v>60</v>
      </c>
      <c r="C35" s="33">
        <v>1852.1</v>
      </c>
      <c r="D35" s="34">
        <v>505.9</v>
      </c>
      <c r="E35" s="34">
        <v>339.6</v>
      </c>
      <c r="F35" s="52">
        <f>E35/D35*100</f>
        <v>67.12789088752719</v>
      </c>
      <c r="G35" s="35">
        <v>553.8</v>
      </c>
      <c r="H35" s="35">
        <v>445.9</v>
      </c>
      <c r="I35" s="10">
        <f t="shared" si="8"/>
        <v>80.51643192488264</v>
      </c>
      <c r="J35" s="35">
        <v>598.8</v>
      </c>
      <c r="K35" s="35">
        <v>535.7</v>
      </c>
      <c r="L35" s="10">
        <f t="shared" si="27"/>
        <v>89.46225784903142</v>
      </c>
      <c r="M35" s="71">
        <f t="shared" si="17"/>
        <v>1658.4999999999998</v>
      </c>
      <c r="N35" s="71">
        <f t="shared" si="18"/>
        <v>1321.2</v>
      </c>
      <c r="O35" s="10">
        <f t="shared" si="10"/>
        <v>79.66234549291529</v>
      </c>
      <c r="P35" s="35">
        <v>718.1</v>
      </c>
      <c r="Q35" s="35">
        <v>558.4</v>
      </c>
      <c r="R35" s="10">
        <f t="shared" si="11"/>
        <v>77.76075755465813</v>
      </c>
      <c r="S35" s="35">
        <v>770.1</v>
      </c>
      <c r="T35" s="35">
        <v>592.4</v>
      </c>
      <c r="U35" s="10">
        <f t="shared" si="12"/>
        <v>76.92507466562783</v>
      </c>
      <c r="V35" s="35">
        <v>770.7</v>
      </c>
      <c r="W35" s="35">
        <v>592.4</v>
      </c>
      <c r="X35" s="10">
        <f t="shared" si="28"/>
        <v>76.86518749189048</v>
      </c>
      <c r="Y35" s="71">
        <f t="shared" si="29"/>
        <v>2258.9</v>
      </c>
      <c r="Z35" s="71">
        <f t="shared" si="30"/>
        <v>1743.1999999999998</v>
      </c>
      <c r="AA35" s="10">
        <f aca="true" t="shared" si="34" ref="AA35:AA45">Z35/Y35*100</f>
        <v>77.17030413032892</v>
      </c>
      <c r="AB35" s="35">
        <v>769.1</v>
      </c>
      <c r="AC35" s="35">
        <v>660.5</v>
      </c>
      <c r="AD35" s="10">
        <f t="shared" si="4"/>
        <v>85.87959953192042</v>
      </c>
      <c r="AE35" s="35">
        <v>709.8</v>
      </c>
      <c r="AF35" s="35">
        <v>607.8</v>
      </c>
      <c r="AG35" s="10">
        <f t="shared" si="5"/>
        <v>85.62975486052409</v>
      </c>
      <c r="AH35" s="35">
        <v>670</v>
      </c>
      <c r="AI35" s="35">
        <v>654.8</v>
      </c>
      <c r="AJ35" s="10">
        <f t="shared" si="6"/>
        <v>97.73134328358208</v>
      </c>
      <c r="AK35" s="71">
        <f t="shared" si="21"/>
        <v>2148.9</v>
      </c>
      <c r="AL35" s="71">
        <f t="shared" si="22"/>
        <v>1923.1</v>
      </c>
      <c r="AM35" s="10">
        <f t="shared" si="31"/>
        <v>89.49229838522034</v>
      </c>
      <c r="AN35" s="35"/>
      <c r="AO35" s="35"/>
      <c r="AP35" s="35"/>
      <c r="AQ35" s="35"/>
      <c r="AR35" s="35"/>
      <c r="AS35" s="35"/>
      <c r="AT35" s="58">
        <f t="shared" si="33"/>
        <v>6066.299999999999</v>
      </c>
      <c r="AU35" s="58">
        <f t="shared" si="33"/>
        <v>4987.5</v>
      </c>
      <c r="AV35" s="10">
        <f t="shared" si="7"/>
        <v>82.21650759111816</v>
      </c>
      <c r="AW35" s="71">
        <f t="shared" si="25"/>
        <v>1078.7999999999993</v>
      </c>
      <c r="AX35" s="72">
        <f t="shared" si="26"/>
        <v>2930.8999999999996</v>
      </c>
      <c r="AY35" s="20">
        <f t="shared" si="14"/>
        <v>6066.3</v>
      </c>
      <c r="AZ35" s="20">
        <f t="shared" si="15"/>
        <v>4987.5</v>
      </c>
      <c r="BA35" s="69">
        <f t="shared" si="16"/>
        <v>2930.8999999999996</v>
      </c>
      <c r="BB35" s="36"/>
      <c r="BC35" s="37"/>
      <c r="BD35" s="37"/>
      <c r="BE35" s="36"/>
      <c r="BF35" s="37"/>
      <c r="BG35" s="37"/>
      <c r="BH35" s="37"/>
      <c r="BI35" s="37"/>
    </row>
    <row r="36" spans="1:61" ht="34.5" customHeight="1">
      <c r="A36" s="12" t="s">
        <v>31</v>
      </c>
      <c r="B36" s="114" t="s">
        <v>61</v>
      </c>
      <c r="C36" s="73">
        <v>45.9</v>
      </c>
      <c r="D36" s="64">
        <v>111.5</v>
      </c>
      <c r="E36" s="64">
        <v>238.6</v>
      </c>
      <c r="F36" s="52">
        <f>E36/D36*100</f>
        <v>213.99103139013454</v>
      </c>
      <c r="G36" s="35">
        <v>339.7</v>
      </c>
      <c r="H36" s="35">
        <v>225.7</v>
      </c>
      <c r="I36" s="10">
        <f t="shared" si="8"/>
        <v>66.44097733294083</v>
      </c>
      <c r="J36" s="35">
        <v>298.4</v>
      </c>
      <c r="K36" s="35">
        <v>237.8</v>
      </c>
      <c r="L36" s="10">
        <f t="shared" si="27"/>
        <v>79.69168900804291</v>
      </c>
      <c r="M36" s="71">
        <f t="shared" si="17"/>
        <v>749.5999999999999</v>
      </c>
      <c r="N36" s="71">
        <f t="shared" si="18"/>
        <v>702.0999999999999</v>
      </c>
      <c r="O36" s="10">
        <f t="shared" si="10"/>
        <v>93.6632870864461</v>
      </c>
      <c r="P36" s="35">
        <v>327.4</v>
      </c>
      <c r="Q36" s="35">
        <v>238.2</v>
      </c>
      <c r="R36" s="10">
        <f t="shared" si="11"/>
        <v>72.7550397067807</v>
      </c>
      <c r="S36" s="35">
        <v>375.7</v>
      </c>
      <c r="T36" s="35">
        <v>267.5</v>
      </c>
      <c r="U36" s="10">
        <f t="shared" si="12"/>
        <v>71.20042587170616</v>
      </c>
      <c r="V36" s="35">
        <v>364.7</v>
      </c>
      <c r="W36" s="35">
        <v>273.2</v>
      </c>
      <c r="X36" s="10">
        <f t="shared" si="28"/>
        <v>74.91088565944612</v>
      </c>
      <c r="Y36" s="71">
        <f t="shared" si="29"/>
        <v>1067.8</v>
      </c>
      <c r="Z36" s="71">
        <f t="shared" si="30"/>
        <v>778.9</v>
      </c>
      <c r="AA36" s="10">
        <f t="shared" si="34"/>
        <v>72.94437160516951</v>
      </c>
      <c r="AB36" s="35">
        <v>411.3</v>
      </c>
      <c r="AC36" s="35">
        <v>307.9</v>
      </c>
      <c r="AD36" s="10">
        <f t="shared" si="4"/>
        <v>74.860199367858</v>
      </c>
      <c r="AE36" s="35">
        <v>283.3</v>
      </c>
      <c r="AF36" s="35">
        <v>283</v>
      </c>
      <c r="AG36" s="10">
        <f t="shared" si="5"/>
        <v>99.89410518884574</v>
      </c>
      <c r="AH36" s="35">
        <v>368.3</v>
      </c>
      <c r="AI36" s="35">
        <v>316.6</v>
      </c>
      <c r="AJ36" s="10">
        <f t="shared" si="6"/>
        <v>85.96253054575075</v>
      </c>
      <c r="AK36" s="71">
        <f t="shared" si="21"/>
        <v>1062.9</v>
      </c>
      <c r="AL36" s="71">
        <f t="shared" si="22"/>
        <v>907.5</v>
      </c>
      <c r="AM36" s="10">
        <f t="shared" si="31"/>
        <v>85.37962178944397</v>
      </c>
      <c r="AN36" s="35"/>
      <c r="AO36" s="35"/>
      <c r="AP36" s="35"/>
      <c r="AQ36" s="35"/>
      <c r="AR36" s="35"/>
      <c r="AS36" s="35"/>
      <c r="AT36" s="58">
        <f t="shared" si="23"/>
        <v>2880.3</v>
      </c>
      <c r="AU36" s="58">
        <f t="shared" si="24"/>
        <v>2388.5</v>
      </c>
      <c r="AV36" s="10">
        <f t="shared" si="7"/>
        <v>82.92538971634899</v>
      </c>
      <c r="AW36" s="71">
        <f t="shared" si="25"/>
        <v>491.8000000000002</v>
      </c>
      <c r="AX36" s="72">
        <f t="shared" si="26"/>
        <v>537.7000000000003</v>
      </c>
      <c r="AY36" s="20">
        <f t="shared" si="14"/>
        <v>2880.3</v>
      </c>
      <c r="AZ36" s="20">
        <f t="shared" si="15"/>
        <v>2388.5</v>
      </c>
      <c r="BA36" s="69">
        <f t="shared" si="16"/>
        <v>537.7000000000003</v>
      </c>
      <c r="BB36" s="36"/>
      <c r="BC36" s="37"/>
      <c r="BD36" s="37"/>
      <c r="BE36" s="36"/>
      <c r="BF36" s="37"/>
      <c r="BG36" s="37"/>
      <c r="BH36" s="37"/>
      <c r="BI36" s="37"/>
    </row>
    <row r="37" spans="1:61" ht="34.5" customHeight="1">
      <c r="A37" s="12" t="s">
        <v>32</v>
      </c>
      <c r="B37" s="115" t="s">
        <v>62</v>
      </c>
      <c r="C37" s="73">
        <v>816.6</v>
      </c>
      <c r="D37" s="35">
        <v>1011.8</v>
      </c>
      <c r="E37" s="35">
        <v>1445</v>
      </c>
      <c r="F37" s="52">
        <f aca="true" t="shared" si="35" ref="F37:F43">E37/D37*100</f>
        <v>142.8147855307373</v>
      </c>
      <c r="G37" s="35">
        <v>2214.2</v>
      </c>
      <c r="H37" s="35">
        <v>1289.3</v>
      </c>
      <c r="I37" s="10">
        <f t="shared" si="8"/>
        <v>58.2287056273146</v>
      </c>
      <c r="J37" s="35">
        <v>2260.6</v>
      </c>
      <c r="K37" s="35">
        <v>1791.7</v>
      </c>
      <c r="L37" s="10">
        <f t="shared" si="27"/>
        <v>79.25771918959569</v>
      </c>
      <c r="M37" s="71">
        <f t="shared" si="17"/>
        <v>5486.6</v>
      </c>
      <c r="N37" s="71">
        <f t="shared" si="18"/>
        <v>4526</v>
      </c>
      <c r="O37" s="10">
        <f t="shared" si="10"/>
        <v>82.49188933036852</v>
      </c>
      <c r="P37" s="35">
        <v>2220.2</v>
      </c>
      <c r="Q37" s="35">
        <v>1731</v>
      </c>
      <c r="R37" s="10">
        <f t="shared" si="11"/>
        <v>77.96594901360238</v>
      </c>
      <c r="S37" s="35">
        <v>3434.7</v>
      </c>
      <c r="T37" s="35">
        <v>2058.4</v>
      </c>
      <c r="U37" s="10">
        <f t="shared" si="12"/>
        <v>59.92954260925263</v>
      </c>
      <c r="V37" s="35">
        <v>2406.6</v>
      </c>
      <c r="W37" s="35">
        <v>2290.9</v>
      </c>
      <c r="X37" s="10">
        <f t="shared" si="28"/>
        <v>95.19238760076458</v>
      </c>
      <c r="Y37" s="71">
        <f t="shared" si="29"/>
        <v>8061.5</v>
      </c>
      <c r="Z37" s="71">
        <f t="shared" si="30"/>
        <v>6080.3</v>
      </c>
      <c r="AA37" s="10">
        <f t="shared" si="34"/>
        <v>75.42392854927743</v>
      </c>
      <c r="AB37" s="35">
        <v>1944.8</v>
      </c>
      <c r="AC37" s="35">
        <v>2433.1</v>
      </c>
      <c r="AD37" s="10">
        <f t="shared" si="4"/>
        <v>125.10798025503908</v>
      </c>
      <c r="AE37" s="35">
        <v>2458.9</v>
      </c>
      <c r="AF37" s="35">
        <v>2089.8</v>
      </c>
      <c r="AG37" s="10">
        <f t="shared" si="5"/>
        <v>84.98922282321364</v>
      </c>
      <c r="AH37" s="35">
        <v>2598.6</v>
      </c>
      <c r="AI37" s="35">
        <v>2268</v>
      </c>
      <c r="AJ37" s="10">
        <f t="shared" si="6"/>
        <v>87.27776495035788</v>
      </c>
      <c r="AK37" s="71">
        <f t="shared" si="21"/>
        <v>7002.299999999999</v>
      </c>
      <c r="AL37" s="71">
        <f t="shared" si="22"/>
        <v>6790.9</v>
      </c>
      <c r="AM37" s="10">
        <f t="shared" si="31"/>
        <v>96.98099195978465</v>
      </c>
      <c r="AN37" s="35"/>
      <c r="AO37" s="35"/>
      <c r="AP37" s="35"/>
      <c r="AQ37" s="35"/>
      <c r="AR37" s="35"/>
      <c r="AS37" s="35"/>
      <c r="AT37" s="58">
        <f t="shared" si="23"/>
        <v>20550.4</v>
      </c>
      <c r="AU37" s="58">
        <f t="shared" si="24"/>
        <v>17397.199999999997</v>
      </c>
      <c r="AV37" s="10">
        <f t="shared" si="7"/>
        <v>84.65625973217065</v>
      </c>
      <c r="AW37" s="71">
        <f t="shared" si="25"/>
        <v>3153.2000000000044</v>
      </c>
      <c r="AX37" s="72">
        <f t="shared" si="26"/>
        <v>3969.800000000003</v>
      </c>
      <c r="AY37" s="20">
        <f t="shared" si="14"/>
        <v>20550.399999999998</v>
      </c>
      <c r="AZ37" s="20">
        <f t="shared" si="15"/>
        <v>17397.2</v>
      </c>
      <c r="BA37" s="69">
        <f t="shared" si="16"/>
        <v>3969.7999999999956</v>
      </c>
      <c r="BB37" s="36"/>
      <c r="BC37" s="37"/>
      <c r="BD37" s="37"/>
      <c r="BE37" s="36"/>
      <c r="BF37" s="37"/>
      <c r="BG37" s="37"/>
      <c r="BH37" s="37"/>
      <c r="BI37" s="37"/>
    </row>
    <row r="38" spans="1:61" ht="34.5" customHeight="1">
      <c r="A38" s="12" t="s">
        <v>33</v>
      </c>
      <c r="B38" s="115" t="s">
        <v>95</v>
      </c>
      <c r="C38" s="73">
        <v>678.9</v>
      </c>
      <c r="D38" s="35">
        <v>923.1</v>
      </c>
      <c r="E38" s="35">
        <v>1286.8</v>
      </c>
      <c r="F38" s="52">
        <f t="shared" si="35"/>
        <v>139.3998483371249</v>
      </c>
      <c r="G38" s="35">
        <v>2368.2</v>
      </c>
      <c r="H38" s="35">
        <v>1345.1</v>
      </c>
      <c r="I38" s="10">
        <f t="shared" si="8"/>
        <v>56.79841229625876</v>
      </c>
      <c r="J38" s="35">
        <v>3974.8</v>
      </c>
      <c r="K38" s="35">
        <v>1685.3</v>
      </c>
      <c r="L38" s="10">
        <f t="shared" si="27"/>
        <v>42.399617590822174</v>
      </c>
      <c r="M38" s="71">
        <f t="shared" si="17"/>
        <v>7266.1</v>
      </c>
      <c r="N38" s="71">
        <f t="shared" si="18"/>
        <v>4317.2</v>
      </c>
      <c r="O38" s="10">
        <f t="shared" si="10"/>
        <v>59.41564250423198</v>
      </c>
      <c r="P38" s="35">
        <v>2260.2</v>
      </c>
      <c r="Q38" s="35">
        <v>2245.5</v>
      </c>
      <c r="R38" s="10">
        <f t="shared" si="11"/>
        <v>99.34961507831166</v>
      </c>
      <c r="S38" s="35">
        <v>2282.9</v>
      </c>
      <c r="T38" s="35">
        <v>2100</v>
      </c>
      <c r="U38" s="10">
        <f t="shared" si="12"/>
        <v>91.988260545797</v>
      </c>
      <c r="V38" s="35">
        <v>2576.1</v>
      </c>
      <c r="W38" s="35">
        <v>1949.5</v>
      </c>
      <c r="X38" s="10">
        <f t="shared" si="28"/>
        <v>75.67641007724856</v>
      </c>
      <c r="Y38" s="71">
        <f t="shared" si="29"/>
        <v>7119.200000000001</v>
      </c>
      <c r="Z38" s="71">
        <f t="shared" si="30"/>
        <v>6295</v>
      </c>
      <c r="AA38" s="10">
        <f t="shared" si="34"/>
        <v>88.4228565007304</v>
      </c>
      <c r="AB38" s="35">
        <v>2535.4</v>
      </c>
      <c r="AC38" s="35">
        <v>2261.7</v>
      </c>
      <c r="AD38" s="10">
        <f t="shared" si="4"/>
        <v>89.20485919381557</v>
      </c>
      <c r="AE38" s="35">
        <v>1049.7</v>
      </c>
      <c r="AF38" s="35">
        <v>2322.1</v>
      </c>
      <c r="AG38" s="10">
        <f t="shared" si="5"/>
        <v>221.21558540535392</v>
      </c>
      <c r="AH38" s="35">
        <v>2316.2</v>
      </c>
      <c r="AI38" s="35">
        <v>2425.3</v>
      </c>
      <c r="AJ38" s="10">
        <f t="shared" si="6"/>
        <v>104.71030135566879</v>
      </c>
      <c r="AK38" s="71">
        <f t="shared" si="21"/>
        <v>5901.3</v>
      </c>
      <c r="AL38" s="71">
        <f t="shared" si="22"/>
        <v>7009.099999999999</v>
      </c>
      <c r="AM38" s="10">
        <f t="shared" si="31"/>
        <v>118.77213495331536</v>
      </c>
      <c r="AN38" s="35"/>
      <c r="AO38" s="35"/>
      <c r="AP38" s="35"/>
      <c r="AQ38" s="35"/>
      <c r="AR38" s="35"/>
      <c r="AS38" s="35"/>
      <c r="AT38" s="58">
        <f>M38+Y38+AK38+AN38+AP38+AR38</f>
        <v>20286.600000000002</v>
      </c>
      <c r="AU38" s="58">
        <f t="shared" si="24"/>
        <v>17621.3</v>
      </c>
      <c r="AV38" s="10">
        <f t="shared" si="7"/>
        <v>86.86177082409077</v>
      </c>
      <c r="AW38" s="71">
        <f t="shared" si="25"/>
        <v>2665.300000000003</v>
      </c>
      <c r="AX38" s="72">
        <f t="shared" si="26"/>
        <v>3344.2000000000044</v>
      </c>
      <c r="AY38" s="20">
        <f t="shared" si="14"/>
        <v>20286.600000000002</v>
      </c>
      <c r="AZ38" s="20">
        <f t="shared" si="15"/>
        <v>17621.300000000003</v>
      </c>
      <c r="BA38" s="69">
        <f t="shared" si="16"/>
        <v>3344.2000000000007</v>
      </c>
      <c r="BB38" s="36"/>
      <c r="BC38" s="37"/>
      <c r="BD38" s="37"/>
      <c r="BE38" s="36"/>
      <c r="BF38" s="37"/>
      <c r="BG38" s="37"/>
      <c r="BH38" s="37"/>
      <c r="BI38" s="37"/>
    </row>
    <row r="39" spans="1:61" ht="34.5" customHeight="1">
      <c r="A39" s="12" t="s">
        <v>34</v>
      </c>
      <c r="B39" s="115" t="s">
        <v>4</v>
      </c>
      <c r="C39" s="70">
        <v>13899.3</v>
      </c>
      <c r="D39" s="35">
        <v>1613.3</v>
      </c>
      <c r="E39" s="35">
        <v>2181.7</v>
      </c>
      <c r="F39" s="52">
        <f t="shared" si="35"/>
        <v>135.23213289530776</v>
      </c>
      <c r="G39" s="35">
        <v>2102.5</v>
      </c>
      <c r="H39" s="35">
        <v>2273.1</v>
      </c>
      <c r="I39" s="10">
        <f t="shared" si="8"/>
        <v>108.1141498216409</v>
      </c>
      <c r="J39" s="35">
        <v>4441.3</v>
      </c>
      <c r="K39" s="35">
        <v>3362.1</v>
      </c>
      <c r="L39" s="10">
        <f t="shared" si="27"/>
        <v>75.70080832188773</v>
      </c>
      <c r="M39" s="71">
        <f t="shared" si="17"/>
        <v>8157.1</v>
      </c>
      <c r="N39" s="71">
        <f t="shared" si="18"/>
        <v>7816.9</v>
      </c>
      <c r="O39" s="10">
        <f t="shared" si="10"/>
        <v>95.82940015446665</v>
      </c>
      <c r="P39" s="35">
        <v>4280.7</v>
      </c>
      <c r="Q39" s="35">
        <v>3588.1</v>
      </c>
      <c r="R39" s="10">
        <f t="shared" si="11"/>
        <v>83.82040320508328</v>
      </c>
      <c r="S39" s="35">
        <v>14245.6</v>
      </c>
      <c r="T39" s="35">
        <v>3872.7</v>
      </c>
      <c r="U39" s="10">
        <f t="shared" si="12"/>
        <v>27.185236143089792</v>
      </c>
      <c r="V39" s="35">
        <v>4661.6</v>
      </c>
      <c r="W39" s="35">
        <v>4026.5</v>
      </c>
      <c r="X39" s="10">
        <f t="shared" si="28"/>
        <v>86.37592243006692</v>
      </c>
      <c r="Y39" s="71">
        <f t="shared" si="29"/>
        <v>23187.9</v>
      </c>
      <c r="Z39" s="71">
        <f t="shared" si="30"/>
        <v>11487.3</v>
      </c>
      <c r="AA39" s="10">
        <f t="shared" si="34"/>
        <v>49.54006184259894</v>
      </c>
      <c r="AB39" s="35">
        <v>4492.9</v>
      </c>
      <c r="AC39" s="35">
        <v>4310.1</v>
      </c>
      <c r="AD39" s="10">
        <f t="shared" si="4"/>
        <v>95.93135836542102</v>
      </c>
      <c r="AE39" s="35">
        <v>2570.4</v>
      </c>
      <c r="AF39" s="35">
        <v>3945.7</v>
      </c>
      <c r="AG39" s="10">
        <f t="shared" si="5"/>
        <v>153.505291005291</v>
      </c>
      <c r="AH39" s="35">
        <v>4552.6</v>
      </c>
      <c r="AI39" s="35">
        <v>3549.5</v>
      </c>
      <c r="AJ39" s="10">
        <f t="shared" si="6"/>
        <v>77.96643676141105</v>
      </c>
      <c r="AK39" s="71">
        <f t="shared" si="21"/>
        <v>11615.9</v>
      </c>
      <c r="AL39" s="71">
        <f t="shared" si="22"/>
        <v>11805.3</v>
      </c>
      <c r="AM39" s="10">
        <f t="shared" si="31"/>
        <v>101.63052367875068</v>
      </c>
      <c r="AN39" s="35"/>
      <c r="AO39" s="35"/>
      <c r="AP39" s="35"/>
      <c r="AQ39" s="35"/>
      <c r="AR39" s="35"/>
      <c r="AS39" s="35"/>
      <c r="AT39" s="58">
        <f t="shared" si="23"/>
        <v>42960.9</v>
      </c>
      <c r="AU39" s="58">
        <f t="shared" si="24"/>
        <v>31109.499999999996</v>
      </c>
      <c r="AV39" s="10">
        <f t="shared" si="7"/>
        <v>72.41352020092687</v>
      </c>
      <c r="AW39" s="71">
        <f t="shared" si="25"/>
        <v>11851.400000000005</v>
      </c>
      <c r="AX39" s="72">
        <f t="shared" si="26"/>
        <v>25750.7</v>
      </c>
      <c r="AY39" s="20">
        <f t="shared" si="14"/>
        <v>42960.9</v>
      </c>
      <c r="AZ39" s="20">
        <f t="shared" si="15"/>
        <v>31109.499999999996</v>
      </c>
      <c r="BA39" s="69">
        <f t="shared" si="16"/>
        <v>25750.7</v>
      </c>
      <c r="BB39" s="36"/>
      <c r="BC39" s="37"/>
      <c r="BD39" s="37"/>
      <c r="BE39" s="36"/>
      <c r="BF39" s="37"/>
      <c r="BG39" s="37"/>
      <c r="BH39" s="37"/>
      <c r="BI39" s="37"/>
    </row>
    <row r="40" spans="1:61" ht="34.5" customHeight="1">
      <c r="A40" s="12" t="s">
        <v>35</v>
      </c>
      <c r="B40" s="115" t="s">
        <v>63</v>
      </c>
      <c r="C40" s="70">
        <v>1682.4</v>
      </c>
      <c r="D40" s="35">
        <v>383.1</v>
      </c>
      <c r="E40" s="35">
        <v>425.6</v>
      </c>
      <c r="F40" s="52">
        <f t="shared" si="35"/>
        <v>111.09370921430435</v>
      </c>
      <c r="G40" s="35">
        <v>517.3</v>
      </c>
      <c r="H40" s="35">
        <v>373</v>
      </c>
      <c r="I40" s="10">
        <f t="shared" si="8"/>
        <v>72.10516141503963</v>
      </c>
      <c r="J40" s="35">
        <v>516.2</v>
      </c>
      <c r="K40" s="35">
        <v>455.5</v>
      </c>
      <c r="L40" s="10">
        <f t="shared" si="27"/>
        <v>88.24099186361875</v>
      </c>
      <c r="M40" s="71">
        <f t="shared" si="17"/>
        <v>1416.6</v>
      </c>
      <c r="N40" s="71">
        <f t="shared" si="18"/>
        <v>1254.1</v>
      </c>
      <c r="O40" s="10">
        <f t="shared" si="10"/>
        <v>88.52887194691515</v>
      </c>
      <c r="P40" s="35">
        <v>527.1</v>
      </c>
      <c r="Q40" s="35">
        <v>415.3</v>
      </c>
      <c r="R40" s="10">
        <f t="shared" si="11"/>
        <v>78.78960349079871</v>
      </c>
      <c r="S40" s="35">
        <v>725</v>
      </c>
      <c r="T40" s="35">
        <v>594.7</v>
      </c>
      <c r="U40" s="10">
        <f t="shared" si="12"/>
        <v>82.02758620689656</v>
      </c>
      <c r="V40" s="35">
        <v>557</v>
      </c>
      <c r="W40" s="35">
        <v>452.6</v>
      </c>
      <c r="X40" s="10">
        <f t="shared" si="28"/>
        <v>81.25673249551167</v>
      </c>
      <c r="Y40" s="71">
        <f t="shared" si="29"/>
        <v>1809.1</v>
      </c>
      <c r="Z40" s="71">
        <f t="shared" si="30"/>
        <v>1462.6</v>
      </c>
      <c r="AA40" s="10">
        <f t="shared" si="34"/>
        <v>80.84682991542756</v>
      </c>
      <c r="AB40" s="35">
        <v>603.7</v>
      </c>
      <c r="AC40" s="35">
        <v>585.4</v>
      </c>
      <c r="AD40" s="10">
        <f t="shared" si="4"/>
        <v>96.96869305946662</v>
      </c>
      <c r="AE40" s="35">
        <v>536.3</v>
      </c>
      <c r="AF40" s="35">
        <v>536</v>
      </c>
      <c r="AG40" s="10">
        <f t="shared" si="5"/>
        <v>99.94406115979862</v>
      </c>
      <c r="AH40" s="35">
        <v>584.2</v>
      </c>
      <c r="AI40" s="35">
        <v>533</v>
      </c>
      <c r="AJ40" s="10">
        <f t="shared" si="6"/>
        <v>91.23587812393016</v>
      </c>
      <c r="AK40" s="71">
        <f t="shared" si="21"/>
        <v>1724.2</v>
      </c>
      <c r="AL40" s="71">
        <f t="shared" si="22"/>
        <v>1654.4</v>
      </c>
      <c r="AM40" s="10">
        <f t="shared" si="31"/>
        <v>95.95174573715346</v>
      </c>
      <c r="AN40" s="35"/>
      <c r="AO40" s="35"/>
      <c r="AP40" s="35"/>
      <c r="AQ40" s="35"/>
      <c r="AR40" s="35"/>
      <c r="AS40" s="35"/>
      <c r="AT40" s="58">
        <f t="shared" si="23"/>
        <v>4949.9</v>
      </c>
      <c r="AU40" s="58">
        <f t="shared" si="24"/>
        <v>4371.1</v>
      </c>
      <c r="AV40" s="10">
        <f t="shared" si="7"/>
        <v>88.3068344815047</v>
      </c>
      <c r="AW40" s="71">
        <f t="shared" si="25"/>
        <v>578.7999999999993</v>
      </c>
      <c r="AX40" s="72">
        <f t="shared" si="26"/>
        <v>2261.199999999999</v>
      </c>
      <c r="AY40" s="20">
        <f t="shared" si="14"/>
        <v>4949.9</v>
      </c>
      <c r="AZ40" s="20">
        <f t="shared" si="15"/>
        <v>4371.1</v>
      </c>
      <c r="BA40" s="69">
        <f t="shared" si="16"/>
        <v>2261.199999999999</v>
      </c>
      <c r="BB40" s="36"/>
      <c r="BC40" s="37"/>
      <c r="BD40" s="37"/>
      <c r="BE40" s="36"/>
      <c r="BF40" s="37"/>
      <c r="BG40" s="37"/>
      <c r="BH40" s="37"/>
      <c r="BI40" s="37"/>
    </row>
    <row r="41" spans="1:61" ht="34.5" customHeight="1">
      <c r="A41" s="12" t="s">
        <v>36</v>
      </c>
      <c r="B41" s="59" t="s">
        <v>64</v>
      </c>
      <c r="C41" s="73">
        <v>921.2</v>
      </c>
      <c r="D41" s="35">
        <v>835.1</v>
      </c>
      <c r="E41" s="35">
        <v>1081.4</v>
      </c>
      <c r="F41" s="52">
        <f t="shared" si="35"/>
        <v>129.49347383546882</v>
      </c>
      <c r="G41" s="35">
        <v>2195.1</v>
      </c>
      <c r="H41" s="35">
        <v>945.3</v>
      </c>
      <c r="I41" s="10">
        <f t="shared" si="8"/>
        <v>43.06409730763974</v>
      </c>
      <c r="J41" s="35">
        <v>2048.7</v>
      </c>
      <c r="K41" s="35">
        <v>1239.4</v>
      </c>
      <c r="L41" s="10">
        <f t="shared" si="27"/>
        <v>60.496900473470994</v>
      </c>
      <c r="M41" s="71">
        <f t="shared" si="17"/>
        <v>5078.9</v>
      </c>
      <c r="N41" s="71">
        <f t="shared" si="18"/>
        <v>3266.1000000000004</v>
      </c>
      <c r="O41" s="10">
        <f t="shared" si="10"/>
        <v>64.30723188091912</v>
      </c>
      <c r="P41" s="35">
        <v>1936.3</v>
      </c>
      <c r="Q41" s="35">
        <v>1284.4</v>
      </c>
      <c r="R41" s="10">
        <f t="shared" si="11"/>
        <v>66.33269637969323</v>
      </c>
      <c r="S41" s="35">
        <v>2612.5</v>
      </c>
      <c r="T41" s="35">
        <v>1497</v>
      </c>
      <c r="U41" s="10">
        <f t="shared" si="12"/>
        <v>57.301435406698566</v>
      </c>
      <c r="V41" s="35">
        <v>1989.5</v>
      </c>
      <c r="W41" s="35">
        <v>1409.3</v>
      </c>
      <c r="X41" s="10">
        <f t="shared" si="28"/>
        <v>70.83689369188238</v>
      </c>
      <c r="Y41" s="71">
        <f t="shared" si="29"/>
        <v>6538.3</v>
      </c>
      <c r="Z41" s="71">
        <f t="shared" si="30"/>
        <v>4190.7</v>
      </c>
      <c r="AA41" s="10">
        <f t="shared" si="34"/>
        <v>64.09464233822247</v>
      </c>
      <c r="AB41" s="35">
        <v>2079</v>
      </c>
      <c r="AC41" s="35">
        <v>1609</v>
      </c>
      <c r="AD41" s="10">
        <f t="shared" si="4"/>
        <v>77.39297739297739</v>
      </c>
      <c r="AE41" s="35">
        <v>1954.1</v>
      </c>
      <c r="AF41" s="35">
        <v>1634.6</v>
      </c>
      <c r="AG41" s="10">
        <f t="shared" si="5"/>
        <v>83.64976203879023</v>
      </c>
      <c r="AH41" s="35">
        <v>2121.3</v>
      </c>
      <c r="AI41" s="35">
        <v>1698.3</v>
      </c>
      <c r="AJ41" s="10">
        <f t="shared" si="6"/>
        <v>80.0593975392448</v>
      </c>
      <c r="AK41" s="71">
        <f t="shared" si="21"/>
        <v>6154.4</v>
      </c>
      <c r="AL41" s="71">
        <f t="shared" si="22"/>
        <v>4941.9</v>
      </c>
      <c r="AM41" s="10">
        <f t="shared" si="31"/>
        <v>80.29864812166905</v>
      </c>
      <c r="AN41" s="35"/>
      <c r="AO41" s="35"/>
      <c r="AP41" s="35"/>
      <c r="AQ41" s="35"/>
      <c r="AR41" s="35"/>
      <c r="AS41" s="35"/>
      <c r="AT41" s="58">
        <f t="shared" si="23"/>
        <v>17771.6</v>
      </c>
      <c r="AU41" s="58">
        <f t="shared" si="24"/>
        <v>12398.7</v>
      </c>
      <c r="AV41" s="10">
        <f t="shared" si="7"/>
        <v>69.76693150869929</v>
      </c>
      <c r="AW41" s="71">
        <f t="shared" si="25"/>
        <v>5372.899999999998</v>
      </c>
      <c r="AX41" s="72">
        <f t="shared" si="26"/>
        <v>6294.0999999999985</v>
      </c>
      <c r="AY41" s="20">
        <f t="shared" si="14"/>
        <v>17771.600000000002</v>
      </c>
      <c r="AZ41" s="20">
        <f t="shared" si="15"/>
        <v>12398.699999999999</v>
      </c>
      <c r="BA41" s="69">
        <f t="shared" si="16"/>
        <v>6294.100000000004</v>
      </c>
      <c r="BB41" s="36"/>
      <c r="BC41" s="37"/>
      <c r="BD41" s="37"/>
      <c r="BE41" s="36"/>
      <c r="BF41" s="37"/>
      <c r="BG41" s="37"/>
      <c r="BH41" s="37"/>
      <c r="BI41" s="37"/>
    </row>
    <row r="42" spans="1:61" ht="34.5" customHeight="1">
      <c r="A42" s="12" t="s">
        <v>37</v>
      </c>
      <c r="B42" s="115" t="s">
        <v>48</v>
      </c>
      <c r="C42" s="70">
        <v>2734.8</v>
      </c>
      <c r="D42" s="35">
        <v>1184.4</v>
      </c>
      <c r="E42" s="35">
        <v>1111.1</v>
      </c>
      <c r="F42" s="52">
        <f t="shared" si="35"/>
        <v>93.81121242823369</v>
      </c>
      <c r="G42" s="35">
        <v>1397.1</v>
      </c>
      <c r="H42" s="35">
        <v>1051.6</v>
      </c>
      <c r="I42" s="10">
        <f t="shared" si="8"/>
        <v>75.27020256245079</v>
      </c>
      <c r="J42" s="35">
        <v>1441.5</v>
      </c>
      <c r="K42" s="35">
        <v>1257.2</v>
      </c>
      <c r="L42" s="10">
        <f t="shared" si="27"/>
        <v>87.21470690253209</v>
      </c>
      <c r="M42" s="71">
        <f t="shared" si="17"/>
        <v>4023</v>
      </c>
      <c r="N42" s="71">
        <f t="shared" si="18"/>
        <v>3419.8999999999996</v>
      </c>
      <c r="O42" s="10">
        <f t="shared" si="10"/>
        <v>85.00869997514292</v>
      </c>
      <c r="P42" s="35">
        <v>1415.9</v>
      </c>
      <c r="Q42" s="35">
        <v>1180.2</v>
      </c>
      <c r="R42" s="10">
        <f t="shared" si="11"/>
        <v>83.35334416272335</v>
      </c>
      <c r="S42" s="35">
        <v>1879</v>
      </c>
      <c r="T42" s="35">
        <v>1322.8</v>
      </c>
      <c r="U42" s="10">
        <f t="shared" si="12"/>
        <v>70.39914848323576</v>
      </c>
      <c r="V42" s="35">
        <v>1623.4</v>
      </c>
      <c r="W42" s="35">
        <v>1326.2</v>
      </c>
      <c r="X42" s="10">
        <f t="shared" si="28"/>
        <v>81.6927436244918</v>
      </c>
      <c r="Y42" s="71">
        <f t="shared" si="29"/>
        <v>4918.3</v>
      </c>
      <c r="Z42" s="71">
        <f t="shared" si="30"/>
        <v>3829.2</v>
      </c>
      <c r="AA42" s="10">
        <f t="shared" si="34"/>
        <v>77.8561698147734</v>
      </c>
      <c r="AB42" s="35">
        <v>2390.1</v>
      </c>
      <c r="AC42" s="35">
        <v>1469.2</v>
      </c>
      <c r="AD42" s="10">
        <f t="shared" si="4"/>
        <v>61.470231371072344</v>
      </c>
      <c r="AE42" s="35">
        <v>2304.3</v>
      </c>
      <c r="AF42" s="35">
        <v>1892</v>
      </c>
      <c r="AG42" s="10">
        <f t="shared" si="5"/>
        <v>82.1073644924706</v>
      </c>
      <c r="AH42" s="35">
        <v>2274.6</v>
      </c>
      <c r="AI42" s="35">
        <v>1991.9</v>
      </c>
      <c r="AJ42" s="10">
        <f t="shared" si="6"/>
        <v>87.57144113250682</v>
      </c>
      <c r="AK42" s="71">
        <f t="shared" si="21"/>
        <v>6969</v>
      </c>
      <c r="AL42" s="71">
        <f t="shared" si="22"/>
        <v>5353.1</v>
      </c>
      <c r="AM42" s="10">
        <f t="shared" si="31"/>
        <v>76.81302912899987</v>
      </c>
      <c r="AN42" s="35"/>
      <c r="AO42" s="35"/>
      <c r="AP42" s="35"/>
      <c r="AQ42" s="35"/>
      <c r="AR42" s="35"/>
      <c r="AS42" s="35"/>
      <c r="AT42" s="58">
        <f t="shared" si="23"/>
        <v>15910.3</v>
      </c>
      <c r="AU42" s="58">
        <f t="shared" si="24"/>
        <v>12602.2</v>
      </c>
      <c r="AV42" s="10">
        <f t="shared" si="7"/>
        <v>79.20780877796145</v>
      </c>
      <c r="AW42" s="71">
        <f t="shared" si="25"/>
        <v>3308.0999999999985</v>
      </c>
      <c r="AX42" s="72">
        <f t="shared" si="26"/>
        <v>6042.899999999998</v>
      </c>
      <c r="AY42" s="20">
        <f t="shared" si="14"/>
        <v>15910.300000000001</v>
      </c>
      <c r="AZ42" s="20">
        <f t="shared" si="15"/>
        <v>12602.199999999999</v>
      </c>
      <c r="BA42" s="69">
        <f t="shared" si="16"/>
        <v>6042.900000000003</v>
      </c>
      <c r="BB42" s="36"/>
      <c r="BC42" s="37"/>
      <c r="BD42" s="37"/>
      <c r="BE42" s="36"/>
      <c r="BF42" s="37"/>
      <c r="BG42" s="37"/>
      <c r="BH42" s="37"/>
      <c r="BI42" s="37"/>
    </row>
    <row r="43" spans="1:61" s="11" customFormat="1" ht="34.5" customHeight="1">
      <c r="A43" s="12" t="s">
        <v>38</v>
      </c>
      <c r="B43" s="14" t="s">
        <v>66</v>
      </c>
      <c r="C43" s="15">
        <f>SUM(C44:C44)</f>
        <v>322333.2</v>
      </c>
      <c r="D43" s="16">
        <f>SUM(D44:D44)</f>
        <v>74766</v>
      </c>
      <c r="E43" s="16">
        <f>SUM(E44:E44)</f>
        <v>75405.1</v>
      </c>
      <c r="F43" s="52">
        <f t="shared" si="35"/>
        <v>100.85480031030147</v>
      </c>
      <c r="G43" s="16">
        <f>SUM(G44:G44)</f>
        <v>79691.8</v>
      </c>
      <c r="H43" s="16">
        <f>SUM(H44:H44)</f>
        <v>64613.8</v>
      </c>
      <c r="I43" s="10">
        <f t="shared" si="8"/>
        <v>81.07960919442151</v>
      </c>
      <c r="J43" s="16">
        <f>SUM(J44:J44)</f>
        <v>78570.2</v>
      </c>
      <c r="K43" s="16">
        <f>SUM(K44:K44)</f>
        <v>72091.20000000001</v>
      </c>
      <c r="L43" s="10">
        <f t="shared" si="27"/>
        <v>91.75387106052932</v>
      </c>
      <c r="M43" s="16">
        <f>SUM(M44:M44)</f>
        <v>233028</v>
      </c>
      <c r="N43" s="16">
        <f>SUM(N44:N44)</f>
        <v>212110.10000000003</v>
      </c>
      <c r="O43" s="10">
        <f t="shared" si="10"/>
        <v>91.02343924335274</v>
      </c>
      <c r="P43" s="16">
        <f>SUM(P44:P44)</f>
        <v>83583.3</v>
      </c>
      <c r="Q43" s="16">
        <f>SUM(Q44:Q44)</f>
        <v>68268.4</v>
      </c>
      <c r="R43" s="10">
        <f t="shared" si="11"/>
        <v>81.6770814265529</v>
      </c>
      <c r="S43" s="16">
        <f>SUM(S44:S44)</f>
        <v>92672.8</v>
      </c>
      <c r="T43" s="16">
        <f>SUM(T44:T44)</f>
        <v>85821.5</v>
      </c>
      <c r="U43" s="10">
        <f t="shared" si="12"/>
        <v>92.60700011222278</v>
      </c>
      <c r="V43" s="16">
        <f>SUM(V44:V44)</f>
        <v>93460.59999999999</v>
      </c>
      <c r="W43" s="16">
        <f>SUM(W44:W44)</f>
        <v>75040.2</v>
      </c>
      <c r="X43" s="10">
        <f t="shared" si="28"/>
        <v>80.29073213739267</v>
      </c>
      <c r="Y43" s="16">
        <f>SUM(Y44:Y44)</f>
        <v>269716.7</v>
      </c>
      <c r="Z43" s="16">
        <f>SUM(Z44:Z44)</f>
        <v>229130.09999999998</v>
      </c>
      <c r="AA43" s="10">
        <f t="shared" si="34"/>
        <v>84.9521368161482</v>
      </c>
      <c r="AB43" s="16">
        <f>SUM(AB44:AB44)</f>
        <v>92751.2</v>
      </c>
      <c r="AC43" s="16">
        <f>SUM(AC44:AC44)</f>
        <v>90408.20000000001</v>
      </c>
      <c r="AD43" s="10">
        <f t="shared" si="4"/>
        <v>97.47388713030129</v>
      </c>
      <c r="AE43" s="16">
        <f>SUM(AE44:AE44)</f>
        <v>93573.7</v>
      </c>
      <c r="AF43" s="16">
        <f>SUM(AF44:AF44)</f>
        <v>80974.3</v>
      </c>
      <c r="AG43" s="10">
        <f t="shared" si="5"/>
        <v>86.53531921896858</v>
      </c>
      <c r="AH43" s="16">
        <f>SUM(AH44:AH44)</f>
        <v>92957.5</v>
      </c>
      <c r="AI43" s="16">
        <f>SUM(AI44:AI44)</f>
        <v>88070.4</v>
      </c>
      <c r="AJ43" s="10">
        <f t="shared" si="6"/>
        <v>94.74265121157518</v>
      </c>
      <c r="AK43" s="16">
        <f>SUM(AK44:AK44)</f>
        <v>279282.4</v>
      </c>
      <c r="AL43" s="16">
        <f>SUM(AL44:AL44)</f>
        <v>259452.9</v>
      </c>
      <c r="AM43" s="10">
        <f t="shared" si="31"/>
        <v>92.8998390159924</v>
      </c>
      <c r="AN43" s="16">
        <f aca="true" t="shared" si="36" ref="AN43:AS43">SUM(AN44:AN44)</f>
        <v>0</v>
      </c>
      <c r="AO43" s="16">
        <f t="shared" si="36"/>
        <v>0</v>
      </c>
      <c r="AP43" s="16">
        <f t="shared" si="36"/>
        <v>0</v>
      </c>
      <c r="AQ43" s="16">
        <f t="shared" si="36"/>
        <v>0</v>
      </c>
      <c r="AR43" s="16">
        <f t="shared" si="36"/>
        <v>0</v>
      </c>
      <c r="AS43" s="16">
        <f t="shared" si="36"/>
        <v>0</v>
      </c>
      <c r="AT43" s="103">
        <f>AT44</f>
        <v>782027.1000000001</v>
      </c>
      <c r="AU43" s="103">
        <f>AU44</f>
        <v>700693.1</v>
      </c>
      <c r="AV43" s="10">
        <f t="shared" si="7"/>
        <v>89.59959315987898</v>
      </c>
      <c r="AW43" s="9">
        <f>AW44</f>
        <v>81334.00000000012</v>
      </c>
      <c r="AX43" s="9">
        <f>AX44</f>
        <v>403667.20000000007</v>
      </c>
      <c r="AY43" s="20">
        <f t="shared" si="14"/>
        <v>782027.1</v>
      </c>
      <c r="AZ43" s="20">
        <f t="shared" si="15"/>
        <v>700693.1000000001</v>
      </c>
      <c r="BA43" s="69">
        <f t="shared" si="16"/>
        <v>403667.19999999995</v>
      </c>
      <c r="BB43" s="68"/>
      <c r="BC43" s="18"/>
      <c r="BD43" s="18"/>
      <c r="BE43" s="20"/>
      <c r="BF43" s="18"/>
      <c r="BG43" s="18"/>
      <c r="BH43" s="18"/>
      <c r="BI43" s="18"/>
    </row>
    <row r="44" spans="1:61" s="11" customFormat="1" ht="34.5" customHeight="1">
      <c r="A44" s="82"/>
      <c r="B44" s="38" t="s">
        <v>67</v>
      </c>
      <c r="C44" s="70">
        <f>320600.7+1732.5</f>
        <v>322333.2</v>
      </c>
      <c r="D44" s="35">
        <f>74450.1+315.9</f>
        <v>74766</v>
      </c>
      <c r="E44" s="35">
        <v>75405.1</v>
      </c>
      <c r="F44" s="52">
        <f>E44/D44*100</f>
        <v>100.85480031030147</v>
      </c>
      <c r="G44" s="35">
        <f>79289.7+402.1</f>
        <v>79691.8</v>
      </c>
      <c r="H44" s="35">
        <f>64507.3+106.5</f>
        <v>64613.8</v>
      </c>
      <c r="I44" s="10">
        <f t="shared" si="8"/>
        <v>81.07960919442151</v>
      </c>
      <c r="J44" s="35">
        <f>78221.8+348.4</f>
        <v>78570.2</v>
      </c>
      <c r="K44" s="35">
        <f>71966.6+124.6</f>
        <v>72091.20000000001</v>
      </c>
      <c r="L44" s="10">
        <f t="shared" si="27"/>
        <v>91.75387106052932</v>
      </c>
      <c r="M44" s="71">
        <f t="shared" si="17"/>
        <v>233028</v>
      </c>
      <c r="N44" s="71">
        <f t="shared" si="18"/>
        <v>212110.10000000003</v>
      </c>
      <c r="O44" s="10">
        <f t="shared" si="10"/>
        <v>91.02343924335274</v>
      </c>
      <c r="P44" s="35">
        <f>83207.3+376</f>
        <v>83583.3</v>
      </c>
      <c r="Q44" s="35">
        <f>67899.7+368.7</f>
        <v>68268.4</v>
      </c>
      <c r="R44" s="10">
        <f t="shared" si="11"/>
        <v>81.6770814265529</v>
      </c>
      <c r="S44" s="35">
        <f>92277.8+395</f>
        <v>92672.8</v>
      </c>
      <c r="T44" s="35">
        <f>85730.5+91</f>
        <v>85821.5</v>
      </c>
      <c r="U44" s="10">
        <f t="shared" si="12"/>
        <v>92.60700011222278</v>
      </c>
      <c r="V44" s="35">
        <f>92999.9+460.7</f>
        <v>93460.59999999999</v>
      </c>
      <c r="W44" s="35">
        <f>74976.3+63.9</f>
        <v>75040.2</v>
      </c>
      <c r="X44" s="10">
        <f>W44/V44*100</f>
        <v>80.29073213739267</v>
      </c>
      <c r="Y44" s="71">
        <f>P44+S44+V44</f>
        <v>269716.7</v>
      </c>
      <c r="Z44" s="71">
        <f>Q44+T44+W44</f>
        <v>229130.09999999998</v>
      </c>
      <c r="AA44" s="10">
        <f t="shared" si="34"/>
        <v>84.9521368161482</v>
      </c>
      <c r="AB44" s="35">
        <f>92298.9+452.3</f>
        <v>92751.2</v>
      </c>
      <c r="AC44" s="35">
        <f>90205.6+202.6</f>
        <v>90408.20000000001</v>
      </c>
      <c r="AD44" s="10">
        <f t="shared" si="4"/>
        <v>97.47388713030129</v>
      </c>
      <c r="AE44" s="35">
        <f>93167.9+405.8</f>
        <v>93573.7</v>
      </c>
      <c r="AF44" s="35">
        <f>80850.3+124</f>
        <v>80974.3</v>
      </c>
      <c r="AG44" s="10">
        <f t="shared" si="5"/>
        <v>86.53531921896858</v>
      </c>
      <c r="AH44" s="35">
        <f>92545.6+411.9</f>
        <v>92957.5</v>
      </c>
      <c r="AI44" s="35">
        <f>87955.9+114.5</f>
        <v>88070.4</v>
      </c>
      <c r="AJ44" s="10">
        <f t="shared" si="6"/>
        <v>94.74265121157518</v>
      </c>
      <c r="AK44" s="71">
        <f>AB44+AE44+AH44</f>
        <v>279282.4</v>
      </c>
      <c r="AL44" s="71">
        <f>AC44+AF44+AI44</f>
        <v>259452.9</v>
      </c>
      <c r="AM44" s="10">
        <f t="shared" si="31"/>
        <v>92.8998390159924</v>
      </c>
      <c r="AN44" s="35"/>
      <c r="AO44" s="35"/>
      <c r="AP44" s="35"/>
      <c r="AQ44" s="35"/>
      <c r="AR44" s="35"/>
      <c r="AS44" s="35"/>
      <c r="AT44" s="58">
        <f>M44+Y44+AK44+AN44+AP44+AR44</f>
        <v>782027.1000000001</v>
      </c>
      <c r="AU44" s="58">
        <f>N44+Z44+AL44+AO44+AQ44+AS44</f>
        <v>700693.1</v>
      </c>
      <c r="AV44" s="10">
        <f t="shared" si="7"/>
        <v>89.59959315987898</v>
      </c>
      <c r="AW44" s="71">
        <f t="shared" si="25"/>
        <v>81334.00000000012</v>
      </c>
      <c r="AX44" s="72">
        <f t="shared" si="26"/>
        <v>403667.20000000007</v>
      </c>
      <c r="AY44" s="20">
        <f t="shared" si="14"/>
        <v>782027.1</v>
      </c>
      <c r="AZ44" s="20">
        <f t="shared" si="15"/>
        <v>700693.1000000001</v>
      </c>
      <c r="BA44" s="69">
        <f t="shared" si="16"/>
        <v>403667.19999999995</v>
      </c>
      <c r="BB44" s="36"/>
      <c r="BC44" s="18"/>
      <c r="BD44" s="18"/>
      <c r="BE44" s="36"/>
      <c r="BF44" s="18"/>
      <c r="BG44" s="18"/>
      <c r="BH44" s="18"/>
      <c r="BI44" s="18"/>
    </row>
    <row r="45" spans="1:61" ht="34.5" customHeight="1">
      <c r="A45" s="12"/>
      <c r="B45" s="14" t="s">
        <v>96</v>
      </c>
      <c r="C45" s="15">
        <f>C43+C7</f>
        <v>352448.7</v>
      </c>
      <c r="D45" s="16">
        <f>D43+D7</f>
        <v>88091</v>
      </c>
      <c r="E45" s="16">
        <f>E43+E7</f>
        <v>91907.40000000001</v>
      </c>
      <c r="F45" s="52">
        <f>E45/D45*100</f>
        <v>104.33233815032183</v>
      </c>
      <c r="G45" s="16">
        <f>G43+G7</f>
        <v>102360</v>
      </c>
      <c r="H45" s="16">
        <f>H43+H7</f>
        <v>79352.40000000001</v>
      </c>
      <c r="I45" s="10">
        <f t="shared" si="8"/>
        <v>77.52286049237983</v>
      </c>
      <c r="J45" s="16">
        <f>J43+J7</f>
        <v>106212.09999999999</v>
      </c>
      <c r="K45" s="16">
        <f>K43+K7</f>
        <v>91487.90000000001</v>
      </c>
      <c r="L45" s="10">
        <f t="shared" si="27"/>
        <v>86.1369843925504</v>
      </c>
      <c r="M45" s="16">
        <f>M43+M7</f>
        <v>296663.1</v>
      </c>
      <c r="N45" s="16">
        <f>N43+N7</f>
        <v>262747.7</v>
      </c>
      <c r="O45" s="10">
        <f t="shared" si="10"/>
        <v>88.56770525218674</v>
      </c>
      <c r="P45" s="16">
        <f>P43+P7</f>
        <v>108289.8</v>
      </c>
      <c r="Q45" s="16">
        <f>Q43+Q7</f>
        <v>87842.59999999999</v>
      </c>
      <c r="R45" s="10">
        <f t="shared" si="11"/>
        <v>81.11807390908469</v>
      </c>
      <c r="S45" s="16">
        <f>S43+S7</f>
        <v>134178.64</v>
      </c>
      <c r="T45" s="16">
        <f>T43+T7</f>
        <v>108720.73999999999</v>
      </c>
      <c r="U45" s="10">
        <f t="shared" si="12"/>
        <v>81.02686090722038</v>
      </c>
      <c r="V45" s="16">
        <f>V43+V7</f>
        <v>122708.09999999999</v>
      </c>
      <c r="W45" s="16">
        <f>W43+W7</f>
        <v>97299.4</v>
      </c>
      <c r="X45" s="10">
        <f>W45/V45*100</f>
        <v>79.29337998062068</v>
      </c>
      <c r="Y45" s="16">
        <f>Y43+Y7</f>
        <v>365176.54000000004</v>
      </c>
      <c r="Z45" s="16">
        <f>Z43+Z7</f>
        <v>293862.74</v>
      </c>
      <c r="AA45" s="10">
        <f t="shared" si="34"/>
        <v>80.47141801606422</v>
      </c>
      <c r="AB45" s="16">
        <f>AB43+AB7</f>
        <v>121102.79999999999</v>
      </c>
      <c r="AC45" s="16">
        <f>AC43+AC7</f>
        <v>116410.50000000001</v>
      </c>
      <c r="AD45" s="10">
        <f t="shared" si="4"/>
        <v>96.12535796034446</v>
      </c>
      <c r="AE45" s="16">
        <f>AE43+AE7</f>
        <v>118758.1</v>
      </c>
      <c r="AF45" s="16">
        <f>AF43+AF7</f>
        <v>106480.3</v>
      </c>
      <c r="AG45" s="10">
        <f t="shared" si="5"/>
        <v>89.66150519417202</v>
      </c>
      <c r="AH45" s="16">
        <f>AH43+AH7</f>
        <v>122077.6</v>
      </c>
      <c r="AI45" s="16">
        <f>AI43+AI7</f>
        <v>114489.09999999999</v>
      </c>
      <c r="AJ45" s="10">
        <f t="shared" si="6"/>
        <v>93.78387189787477</v>
      </c>
      <c r="AK45" s="16">
        <f>AK43+AK7</f>
        <v>353903.4</v>
      </c>
      <c r="AL45" s="16">
        <f>AL43+AL7</f>
        <v>329017.1</v>
      </c>
      <c r="AM45" s="10">
        <f t="shared" si="31"/>
        <v>92.96805286414313</v>
      </c>
      <c r="AN45" s="16">
        <f aca="true" t="shared" si="37" ref="AN45:AU45">AN43+AN7</f>
        <v>0</v>
      </c>
      <c r="AO45" s="16">
        <f t="shared" si="37"/>
        <v>0</v>
      </c>
      <c r="AP45" s="16">
        <f t="shared" si="37"/>
        <v>0</v>
      </c>
      <c r="AQ45" s="16">
        <f t="shared" si="37"/>
        <v>0</v>
      </c>
      <c r="AR45" s="16">
        <f>AR43+AR7</f>
        <v>0</v>
      </c>
      <c r="AS45" s="16">
        <f>AS43+AS7</f>
        <v>0</v>
      </c>
      <c r="AT45" s="103">
        <f t="shared" si="37"/>
        <v>1023778.1400000001</v>
      </c>
      <c r="AU45" s="103">
        <f t="shared" si="37"/>
        <v>893990.34</v>
      </c>
      <c r="AV45" s="10">
        <f>AU45/AT45*100</f>
        <v>87.32266348253927</v>
      </c>
      <c r="AW45" s="16">
        <f>AW43+AW7</f>
        <v>129787.80000000012</v>
      </c>
      <c r="AX45" s="16">
        <f>AX43+AX7</f>
        <v>482236.50000000006</v>
      </c>
      <c r="AY45" s="20">
        <f t="shared" si="14"/>
        <v>1023778.1399999999</v>
      </c>
      <c r="AZ45" s="20">
        <f t="shared" si="15"/>
        <v>893990.34</v>
      </c>
      <c r="BA45" s="69">
        <f t="shared" si="16"/>
        <v>482236.4999999999</v>
      </c>
      <c r="BB45" s="68"/>
      <c r="BC45" s="68"/>
      <c r="BD45" s="68"/>
      <c r="BE45" s="68"/>
      <c r="BF45" s="37"/>
      <c r="BG45" s="37"/>
      <c r="BH45" s="37"/>
      <c r="BI45" s="37"/>
    </row>
    <row r="46" spans="1:61" s="111" customFormat="1" ht="93" customHeight="1">
      <c r="A46" s="160" t="s">
        <v>101</v>
      </c>
      <c r="B46" s="160"/>
      <c r="C46" s="160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6"/>
      <c r="AU46" s="126"/>
      <c r="AV46" s="127"/>
      <c r="AW46" s="127"/>
      <c r="AX46" s="128" t="s">
        <v>100</v>
      </c>
      <c r="AY46" s="126"/>
      <c r="AZ46" s="126"/>
      <c r="BA46" s="126"/>
      <c r="BB46" s="126"/>
      <c r="BC46" s="126"/>
      <c r="BD46" s="126"/>
      <c r="BE46" s="126"/>
      <c r="BF46" s="129"/>
      <c r="BG46" s="129"/>
      <c r="BH46" s="129"/>
      <c r="BI46" s="129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118"/>
      <c r="G47" s="20"/>
      <c r="H47" s="20"/>
      <c r="I47" s="21"/>
      <c r="J47" s="20"/>
      <c r="K47" s="20"/>
      <c r="L47" s="21"/>
      <c r="M47" s="21"/>
      <c r="N47" s="21"/>
      <c r="O47" s="21"/>
      <c r="P47" s="20"/>
      <c r="Q47" s="20"/>
      <c r="R47" s="21"/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118"/>
      <c r="G48" s="20"/>
      <c r="H48" s="20"/>
      <c r="I48" s="21"/>
      <c r="J48" s="20"/>
      <c r="K48" s="20"/>
      <c r="L48" s="21"/>
      <c r="M48" s="21"/>
      <c r="N48" s="21"/>
      <c r="O48" s="21"/>
      <c r="P48" s="20"/>
      <c r="Q48" s="20"/>
      <c r="R48" s="21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4.25" customHeight="1" hidden="1">
      <c r="A49" s="23"/>
      <c r="B49" s="11" t="s">
        <v>71</v>
      </c>
      <c r="C49" s="19"/>
      <c r="D49" s="20"/>
      <c r="E49" s="20"/>
      <c r="F49" s="118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118"/>
      <c r="G50" s="17"/>
      <c r="H50" s="17"/>
      <c r="I50" s="48"/>
      <c r="J50" s="17"/>
      <c r="K50" s="17"/>
      <c r="L50" s="48"/>
      <c r="M50" s="48"/>
      <c r="N50" s="48"/>
      <c r="O50" s="48"/>
      <c r="P50" s="17"/>
      <c r="Q50" s="17"/>
      <c r="R50" s="48"/>
      <c r="S50" s="17"/>
      <c r="T50" s="17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17"/>
      <c r="AU50" s="17"/>
      <c r="AV50" s="48"/>
      <c r="AW50" s="17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96.75" customHeight="1">
      <c r="A51" s="26"/>
      <c r="B51" s="173" t="s">
        <v>76</v>
      </c>
      <c r="C51" s="173"/>
      <c r="D51" s="173"/>
      <c r="E51" s="173"/>
      <c r="F51" s="173"/>
      <c r="G51" s="27"/>
      <c r="H51" s="27"/>
      <c r="I51" s="49"/>
      <c r="J51" s="27"/>
      <c r="K51" s="27"/>
      <c r="L51" s="49"/>
      <c r="M51" s="49"/>
      <c r="N51" s="49"/>
      <c r="O51" s="49"/>
      <c r="P51" s="27"/>
      <c r="Q51" s="27"/>
      <c r="R51" s="49"/>
      <c r="S51" s="27"/>
      <c r="T51" s="27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27"/>
      <c r="AU51" s="27"/>
      <c r="AV51" s="49"/>
      <c r="AW51" s="175" t="s">
        <v>75</v>
      </c>
      <c r="AX51" s="175"/>
    </row>
    <row r="52" spans="1:50" ht="73.5" customHeight="1" hidden="1">
      <c r="A52" s="172" t="s">
        <v>72</v>
      </c>
      <c r="B52" s="172"/>
      <c r="C52" s="30"/>
      <c r="D52" s="30"/>
      <c r="E52" s="30"/>
      <c r="F52" s="119"/>
      <c r="G52" s="31"/>
      <c r="H52" s="31"/>
      <c r="I52" s="32"/>
      <c r="J52" s="31"/>
      <c r="K52" s="31"/>
      <c r="L52" s="32"/>
      <c r="M52" s="32"/>
      <c r="N52" s="32"/>
      <c r="O52" s="32"/>
      <c r="P52" s="31"/>
      <c r="Q52" s="31"/>
      <c r="R52" s="32"/>
      <c r="S52" s="31"/>
      <c r="T52" s="31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1"/>
      <c r="AU52" s="31"/>
      <c r="AV52" s="32"/>
      <c r="AX52" s="4" t="s">
        <v>73</v>
      </c>
    </row>
    <row r="53" spans="51:61" ht="24.75" customHeight="1"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</row>
    <row r="55" spans="51:61" ht="24.75" customHeight="1"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</row>
    <row r="56" spans="51:61" ht="24.75" customHeight="1"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</row>
    <row r="57" spans="51:61" ht="24.75" customHeight="1"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</row>
    <row r="58" spans="51:61" ht="24.75" customHeight="1"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</row>
    <row r="59" spans="51:61" ht="24.75" customHeight="1"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</row>
    <row r="60" spans="51:61" ht="18.75"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</row>
    <row r="61" spans="51:61" ht="18.75"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</row>
    <row r="62" spans="51:61" ht="18.75"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</row>
    <row r="63" spans="51:61" ht="18.75"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</row>
    <row r="64" spans="51:61" ht="18.75"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</row>
    <row r="65" spans="51:61" ht="18.75"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</row>
    <row r="66" spans="51:61" ht="18.75"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</row>
    <row r="67" spans="51:61" ht="18.75"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</row>
    <row r="68" spans="51:61" ht="18.75"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</row>
    <row r="69" spans="51:61" ht="18.75"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</row>
    <row r="70" spans="51:61" ht="18.75"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</row>
    <row r="71" spans="51:61" ht="18.75"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</row>
    <row r="72" spans="51:61" ht="18.75"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</row>
    <row r="73" spans="51:61" ht="18.75"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</row>
    <row r="74" spans="51:61" ht="18.75"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</row>
    <row r="75" spans="51:61" ht="18.75"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</row>
    <row r="76" spans="51:61" ht="18.75"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</row>
    <row r="77" spans="51:61" ht="18.75"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</row>
    <row r="78" spans="51:61" ht="18.75"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</row>
    <row r="79" spans="51:61" ht="18.75"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</row>
    <row r="80" spans="51:61" ht="18.75"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</row>
    <row r="81" spans="51:61" ht="18.75"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</row>
    <row r="82" spans="51:61" ht="18.75"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</row>
    <row r="83" spans="51:61" ht="18.75"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</row>
    <row r="84" spans="51:61" ht="18.75"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</row>
    <row r="85" spans="51:61" ht="18.75"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</row>
    <row r="86" spans="51:61" ht="18.75"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</row>
    <row r="87" spans="51:61" ht="18.75"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</row>
    <row r="88" spans="51:61" ht="18.75"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</row>
    <row r="89" spans="51:61" ht="18.75"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</row>
    <row r="90" spans="51:61" ht="18.75"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</row>
    <row r="91" spans="51:61" ht="18.75"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</row>
    <row r="92" spans="51:61" ht="18.75"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</row>
    <row r="93" spans="51:61" ht="18.75"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</row>
    <row r="94" spans="51:61" ht="18.75"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</row>
    <row r="95" spans="51:61" ht="18.75"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</row>
  </sheetData>
  <sheetProtection/>
  <mergeCells count="25">
    <mergeCell ref="B51:F51"/>
    <mergeCell ref="AE5:AG5"/>
    <mergeCell ref="AK5:AM5"/>
    <mergeCell ref="AP5:AQ5"/>
    <mergeCell ref="AW5:AW6"/>
    <mergeCell ref="G5:I5"/>
    <mergeCell ref="J5:L5"/>
    <mergeCell ref="AT5:AV5"/>
    <mergeCell ref="A46:C46"/>
    <mergeCell ref="A52:B52"/>
    <mergeCell ref="AW51:AX51"/>
    <mergeCell ref="M5:O5"/>
    <mergeCell ref="S5:U5"/>
    <mergeCell ref="P5:R5"/>
    <mergeCell ref="Y5:AA5"/>
    <mergeCell ref="V5:X5"/>
    <mergeCell ref="AB5:AD5"/>
    <mergeCell ref="AR5:AS5"/>
    <mergeCell ref="AN5:AO5"/>
    <mergeCell ref="I1:AX1"/>
    <mergeCell ref="B4:F4"/>
    <mergeCell ref="D5:F5"/>
    <mergeCell ref="AX5:AX6"/>
    <mergeCell ref="B2:AX3"/>
    <mergeCell ref="AH5:AJ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AE41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X7" sqref="AX7:AY45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3" customWidth="1"/>
    <col min="4" max="4" width="16.625" style="2" hidden="1" customWidth="1"/>
    <col min="5" max="5" width="16.125" style="2" hidden="1" customWidth="1"/>
    <col min="6" max="6" width="12.1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25390625" style="11" customWidth="1"/>
    <col min="14" max="14" width="12.8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875" style="11" hidden="1" customWidth="1"/>
    <col min="23" max="23" width="13.125" style="11" hidden="1" customWidth="1"/>
    <col min="24" max="24" width="11.125" style="11" hidden="1" customWidth="1"/>
    <col min="25" max="25" width="13.25390625" style="11" customWidth="1"/>
    <col min="26" max="26" width="12.875" style="11" customWidth="1"/>
    <col min="27" max="27" width="11.125" style="11" customWidth="1"/>
    <col min="28" max="28" width="14.875" style="11" customWidth="1"/>
    <col min="29" max="29" width="13.125" style="11" customWidth="1"/>
    <col min="30" max="30" width="11.125" style="11" customWidth="1"/>
    <col min="31" max="31" width="14.75390625" style="11" customWidth="1"/>
    <col min="32" max="32" width="12.125" style="11" customWidth="1"/>
    <col min="33" max="33" width="11.00390625" style="11" customWidth="1"/>
    <col min="34" max="34" width="13.125" style="11" customWidth="1"/>
    <col min="35" max="35" width="11.875" style="11" customWidth="1"/>
    <col min="36" max="36" width="13.75390625" style="11" hidden="1" customWidth="1"/>
    <col min="37" max="37" width="12.8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125" style="11" hidden="1" customWidth="1"/>
    <col min="42" max="42" width="11.875" style="11" hidden="1" customWidth="1"/>
    <col min="43" max="43" width="13.12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1" customFormat="1" ht="60" customHeight="1">
      <c r="A2" s="55"/>
      <c r="B2" s="159" t="s">
        <v>117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</row>
    <row r="3" spans="1:49" s="51" customFormat="1" ht="60" customHeight="1">
      <c r="A3" s="50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</row>
    <row r="4" spans="2:49" ht="49.5" customHeight="1">
      <c r="B4" s="182"/>
      <c r="C4" s="182"/>
      <c r="D4" s="182"/>
      <c r="E4" s="182"/>
      <c r="F4" s="18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86</v>
      </c>
    </row>
    <row r="5" spans="1:49" ht="58.5" customHeight="1">
      <c r="A5" s="41" t="s">
        <v>46</v>
      </c>
      <c r="B5" s="42"/>
      <c r="C5" s="43" t="s">
        <v>1</v>
      </c>
      <c r="D5" s="169" t="s">
        <v>102</v>
      </c>
      <c r="E5" s="170"/>
      <c r="F5" s="171"/>
      <c r="G5" s="164" t="s">
        <v>105</v>
      </c>
      <c r="H5" s="165"/>
      <c r="I5" s="166"/>
      <c r="J5" s="164" t="s">
        <v>106</v>
      </c>
      <c r="K5" s="165"/>
      <c r="L5" s="166"/>
      <c r="M5" s="164" t="s">
        <v>107</v>
      </c>
      <c r="N5" s="165"/>
      <c r="O5" s="166"/>
      <c r="P5" s="164" t="s">
        <v>108</v>
      </c>
      <c r="Q5" s="165"/>
      <c r="R5" s="166"/>
      <c r="S5" s="176" t="s">
        <v>110</v>
      </c>
      <c r="T5" s="177"/>
      <c r="U5" s="178"/>
      <c r="V5" s="176" t="s">
        <v>111</v>
      </c>
      <c r="W5" s="177"/>
      <c r="X5" s="178"/>
      <c r="Y5" s="164" t="s">
        <v>112</v>
      </c>
      <c r="Z5" s="165"/>
      <c r="AA5" s="166"/>
      <c r="AB5" s="164" t="s">
        <v>113</v>
      </c>
      <c r="AC5" s="165"/>
      <c r="AD5" s="166"/>
      <c r="AE5" s="164" t="s">
        <v>114</v>
      </c>
      <c r="AF5" s="165"/>
      <c r="AG5" s="166"/>
      <c r="AH5" s="164" t="s">
        <v>123</v>
      </c>
      <c r="AI5" s="166"/>
      <c r="AJ5" s="164" t="s">
        <v>84</v>
      </c>
      <c r="AK5" s="165"/>
      <c r="AL5" s="166"/>
      <c r="AM5" s="164" t="s">
        <v>79</v>
      </c>
      <c r="AN5" s="166"/>
      <c r="AO5" s="164" t="s">
        <v>80</v>
      </c>
      <c r="AP5" s="166"/>
      <c r="AQ5" s="164" t="s">
        <v>81</v>
      </c>
      <c r="AR5" s="166"/>
      <c r="AS5" s="169" t="s">
        <v>103</v>
      </c>
      <c r="AT5" s="170"/>
      <c r="AU5" s="171"/>
      <c r="AV5" s="167" t="s">
        <v>124</v>
      </c>
      <c r="AW5" s="167" t="s">
        <v>125</v>
      </c>
    </row>
    <row r="6" spans="1:51" ht="46.5" customHeight="1">
      <c r="A6" s="44" t="s">
        <v>47</v>
      </c>
      <c r="B6" s="45" t="s">
        <v>97</v>
      </c>
      <c r="C6" s="40" t="s">
        <v>104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85</v>
      </c>
      <c r="AT6" s="45" t="s">
        <v>69</v>
      </c>
      <c r="AU6" s="47" t="s">
        <v>0</v>
      </c>
      <c r="AV6" s="168"/>
      <c r="AW6" s="168"/>
      <c r="AY6" s="143">
        <f>AZ7-AW7</f>
        <v>0</v>
      </c>
    </row>
    <row r="7" spans="1:52" s="11" customFormat="1" ht="34.5" customHeight="1">
      <c r="A7" s="47"/>
      <c r="B7" s="112" t="s">
        <v>98</v>
      </c>
      <c r="C7" s="54">
        <f>SUM(C8:C42)-C33-C34</f>
        <v>1741.9000000000003</v>
      </c>
      <c r="D7" s="54">
        <f aca="true" t="shared" si="0" ref="D7:AT7">SUM(D8:D42)-D33-D34</f>
        <v>1037</v>
      </c>
      <c r="E7" s="54">
        <f t="shared" si="0"/>
        <v>957.6000000000001</v>
      </c>
      <c r="F7" s="54">
        <f t="shared" si="0"/>
        <v>3794.780966839714</v>
      </c>
      <c r="G7" s="54">
        <f t="shared" si="0"/>
        <v>1041.3999999999999</v>
      </c>
      <c r="H7" s="54">
        <f t="shared" si="0"/>
        <v>1017.7000000000003</v>
      </c>
      <c r="I7" s="54" t="e">
        <f t="shared" si="0"/>
        <v>#DIV/0!</v>
      </c>
      <c r="J7" s="54">
        <f t="shared" si="0"/>
        <v>1065.1000000000001</v>
      </c>
      <c r="K7" s="54">
        <f t="shared" si="0"/>
        <v>733.8999999999999</v>
      </c>
      <c r="L7" s="54">
        <f t="shared" si="0"/>
        <v>2115.548624094347</v>
      </c>
      <c r="M7" s="54">
        <f t="shared" si="0"/>
        <v>3143.5</v>
      </c>
      <c r="N7" s="54">
        <f t="shared" si="0"/>
        <v>2709.1999999999994</v>
      </c>
      <c r="O7" s="10">
        <f aca="true" t="shared" si="1" ref="O7:O45">N7/M7*100</f>
        <v>86.18418959758229</v>
      </c>
      <c r="P7" s="54">
        <f t="shared" si="0"/>
        <v>1070.5</v>
      </c>
      <c r="Q7" s="54">
        <f t="shared" si="0"/>
        <v>1478.5000000000002</v>
      </c>
      <c r="R7" s="54" t="e">
        <f t="shared" si="0"/>
        <v>#DIV/0!</v>
      </c>
      <c r="S7" s="54">
        <f t="shared" si="0"/>
        <v>1194.7999999999997</v>
      </c>
      <c r="T7" s="54">
        <f t="shared" si="0"/>
        <v>1155.7</v>
      </c>
      <c r="U7" s="54" t="e">
        <f t="shared" si="0"/>
        <v>#DIV/0!</v>
      </c>
      <c r="V7" s="54">
        <f t="shared" si="0"/>
        <v>1308.0999999999997</v>
      </c>
      <c r="W7" s="54">
        <f t="shared" si="0"/>
        <v>936.8000000000003</v>
      </c>
      <c r="X7" s="54">
        <f t="shared" si="0"/>
        <v>2664.640329226277</v>
      </c>
      <c r="Y7" s="54">
        <f t="shared" si="0"/>
        <v>3573.400000000001</v>
      </c>
      <c r="Z7" s="54">
        <f t="shared" si="0"/>
        <v>3570.9999999999995</v>
      </c>
      <c r="AA7" s="10">
        <f aca="true" t="shared" si="2" ref="AA7:AA28">Z7/Y7*100</f>
        <v>99.93283707393515</v>
      </c>
      <c r="AB7" s="54">
        <f t="shared" si="0"/>
        <v>1363.8999999999999</v>
      </c>
      <c r="AC7" s="54">
        <f t="shared" si="0"/>
        <v>1138.0999999999997</v>
      </c>
      <c r="AD7" s="10">
        <f aca="true" t="shared" si="3" ref="AD7:AD45">AC7/AB7*100</f>
        <v>83.444534056749</v>
      </c>
      <c r="AE7" s="54">
        <f t="shared" si="0"/>
        <v>1409.1999999999998</v>
      </c>
      <c r="AF7" s="54">
        <f t="shared" si="0"/>
        <v>152.89999999999998</v>
      </c>
      <c r="AG7" s="10">
        <f aca="true" t="shared" si="4" ref="AG7:AG45">AF7/AE7*100</f>
        <v>10.85012773204655</v>
      </c>
      <c r="AH7" s="54">
        <f t="shared" si="0"/>
        <v>1388.8899999999999</v>
      </c>
      <c r="AI7" s="54">
        <f t="shared" si="0"/>
        <v>2284.6000000000004</v>
      </c>
      <c r="AJ7" s="54">
        <f t="shared" si="0"/>
        <v>4161.989999999999</v>
      </c>
      <c r="AK7" s="54">
        <f t="shared" si="0"/>
        <v>3575.600000000001</v>
      </c>
      <c r="AL7" s="54">
        <f t="shared" si="0"/>
        <v>2891.0716278991035</v>
      </c>
      <c r="AM7" s="54">
        <f t="shared" si="0"/>
        <v>0</v>
      </c>
      <c r="AN7" s="54">
        <f t="shared" si="0"/>
        <v>0</v>
      </c>
      <c r="AO7" s="54">
        <f t="shared" si="0"/>
        <v>0</v>
      </c>
      <c r="AP7" s="54">
        <f t="shared" si="0"/>
        <v>0</v>
      </c>
      <c r="AQ7" s="54">
        <f t="shared" si="0"/>
        <v>0</v>
      </c>
      <c r="AR7" s="54">
        <f t="shared" si="0"/>
        <v>0</v>
      </c>
      <c r="AS7" s="54">
        <f t="shared" si="0"/>
        <v>10878.89</v>
      </c>
      <c r="AT7" s="54">
        <f t="shared" si="0"/>
        <v>9855.800000000001</v>
      </c>
      <c r="AU7" s="10">
        <f aca="true" t="shared" si="5" ref="AU7:AU44">AT7/AS7*100</f>
        <v>90.59563981251765</v>
      </c>
      <c r="AV7" s="54">
        <f>SUM(AV8:AV42)-AV33-AV34</f>
        <v>1023.0900000000003</v>
      </c>
      <c r="AW7" s="54">
        <f>SUM(AW8:AW42)-AW33-AW34</f>
        <v>2764.99</v>
      </c>
      <c r="AX7" s="20">
        <f>M7+Y7+AB7+AE7+AH7</f>
        <v>10878.89</v>
      </c>
      <c r="AY7" s="20">
        <f>N7+Z7+AC7+AF7+AI7</f>
        <v>9855.8</v>
      </c>
      <c r="AZ7" s="39">
        <f>C7+AX7-AY7</f>
        <v>2764.99</v>
      </c>
    </row>
    <row r="8" spans="1:52" ht="34.5" customHeight="1">
      <c r="A8" s="56">
        <v>1</v>
      </c>
      <c r="B8" s="57" t="s">
        <v>49</v>
      </c>
      <c r="C8" s="84">
        <v>69.8</v>
      </c>
      <c r="D8" s="35">
        <v>78.7</v>
      </c>
      <c r="E8" s="35">
        <v>69.8</v>
      </c>
      <c r="F8" s="10">
        <f>E8/D8*100</f>
        <v>88.69123252858957</v>
      </c>
      <c r="G8" s="35">
        <v>76.3</v>
      </c>
      <c r="H8" s="35">
        <v>78.7</v>
      </c>
      <c r="I8" s="10">
        <f aca="true" t="shared" si="6" ref="I8:I45">H8/G8*100</f>
        <v>103.14547837483619</v>
      </c>
      <c r="J8" s="35">
        <v>76.9</v>
      </c>
      <c r="K8" s="35">
        <v>76.3</v>
      </c>
      <c r="L8" s="10">
        <f aca="true" t="shared" si="7" ref="L8:L16">K8/J8*100</f>
        <v>99.21976592977893</v>
      </c>
      <c r="M8" s="71">
        <f>D8+G8+J8</f>
        <v>231.9</v>
      </c>
      <c r="N8" s="71">
        <f>E8+H8+K8</f>
        <v>224.8</v>
      </c>
      <c r="O8" s="10">
        <f t="shared" si="1"/>
        <v>96.9383354894351</v>
      </c>
      <c r="P8" s="35">
        <v>79.7</v>
      </c>
      <c r="Q8" s="35">
        <v>76.9</v>
      </c>
      <c r="R8" s="10">
        <f aca="true" t="shared" si="8" ref="R8:R45">Q8/P8*100</f>
        <v>96.48682559598495</v>
      </c>
      <c r="S8" s="35">
        <v>81.9</v>
      </c>
      <c r="T8" s="35">
        <v>79.7</v>
      </c>
      <c r="U8" s="10">
        <f aca="true" t="shared" si="9" ref="U8:U45">T8/S8*100</f>
        <v>97.31379731379731</v>
      </c>
      <c r="V8" s="35">
        <v>89</v>
      </c>
      <c r="W8" s="35">
        <v>81.9</v>
      </c>
      <c r="X8" s="10">
        <f aca="true" t="shared" si="10" ref="X8:X28">W8/V8*100</f>
        <v>92.02247191011237</v>
      </c>
      <c r="Y8" s="71">
        <f>P8+S8+V8</f>
        <v>250.60000000000002</v>
      </c>
      <c r="Z8" s="71">
        <f>Q8+T8+W8</f>
        <v>238.50000000000003</v>
      </c>
      <c r="AA8" s="10">
        <f t="shared" si="2"/>
        <v>95.17158818834797</v>
      </c>
      <c r="AB8" s="35">
        <v>90.4</v>
      </c>
      <c r="AC8" s="35">
        <v>89.6</v>
      </c>
      <c r="AD8" s="10">
        <f t="shared" si="3"/>
        <v>99.1150442477876</v>
      </c>
      <c r="AE8" s="35">
        <v>90.4</v>
      </c>
      <c r="AF8" s="35">
        <v>0</v>
      </c>
      <c r="AG8" s="10">
        <f t="shared" si="4"/>
        <v>0</v>
      </c>
      <c r="AH8" s="35">
        <v>90.1</v>
      </c>
      <c r="AI8" s="35">
        <v>0</v>
      </c>
      <c r="AJ8" s="71">
        <f>AB8+AE8+AH8</f>
        <v>270.9</v>
      </c>
      <c r="AK8" s="71">
        <f>AC8+AF8+AI8</f>
        <v>89.6</v>
      </c>
      <c r="AL8" s="10">
        <f aca="true" t="shared" si="11" ref="AL8:AL28">AK8/AJ8*100</f>
        <v>33.0749354005168</v>
      </c>
      <c r="AM8" s="35"/>
      <c r="AN8" s="35"/>
      <c r="AO8" s="35"/>
      <c r="AP8" s="35"/>
      <c r="AQ8" s="35"/>
      <c r="AR8" s="35"/>
      <c r="AS8" s="58">
        <f>M8+Y8+AJ8+AM8+AO8+AQ8</f>
        <v>753.4</v>
      </c>
      <c r="AT8" s="58">
        <f>N8+Z8+AK8+AN8+AP8+AR8</f>
        <v>552.9000000000001</v>
      </c>
      <c r="AU8" s="10">
        <f t="shared" si="5"/>
        <v>73.38731085744625</v>
      </c>
      <c r="AV8" s="58">
        <f>AS8-AT8</f>
        <v>200.4999999999999</v>
      </c>
      <c r="AW8" s="16">
        <f aca="true" t="shared" si="12" ref="AW8:AW28">C8+AS8-AT8</f>
        <v>270.29999999999984</v>
      </c>
      <c r="AX8" s="20">
        <f aca="true" t="shared" si="13" ref="AX8:AX45">M8+Y8+AB8+AE8+AH8</f>
        <v>753.4</v>
      </c>
      <c r="AY8" s="20">
        <f aca="true" t="shared" si="14" ref="AY8:AY45">N8+Z8+AC8+AF8+AI8</f>
        <v>552.9000000000001</v>
      </c>
      <c r="AZ8" s="39">
        <f aca="true" t="shared" si="15" ref="AZ8:AZ43">C8+AX8-AY8</f>
        <v>270.29999999999984</v>
      </c>
    </row>
    <row r="9" spans="1:52" ht="34.5" customHeight="1">
      <c r="A9" s="56">
        <v>2</v>
      </c>
      <c r="B9" s="59" t="s">
        <v>65</v>
      </c>
      <c r="C9" s="84">
        <v>54.9</v>
      </c>
      <c r="D9" s="35">
        <v>13.9</v>
      </c>
      <c r="E9" s="35">
        <v>45.8</v>
      </c>
      <c r="F9" s="10">
        <f>E9/D9*100</f>
        <v>329.4964028776978</v>
      </c>
      <c r="G9" s="35">
        <v>14.8</v>
      </c>
      <c r="H9" s="35">
        <v>9</v>
      </c>
      <c r="I9" s="10">
        <f t="shared" si="6"/>
        <v>60.810810810810814</v>
      </c>
      <c r="J9" s="35">
        <v>15</v>
      </c>
      <c r="K9" s="35">
        <v>16.7</v>
      </c>
      <c r="L9" s="10">
        <f t="shared" si="7"/>
        <v>111.33333333333333</v>
      </c>
      <c r="M9" s="71">
        <f aca="true" t="shared" si="16" ref="M9:M44">D9+G9+J9</f>
        <v>43.7</v>
      </c>
      <c r="N9" s="71">
        <f aca="true" t="shared" si="17" ref="N9:N44">E9+H9+K9</f>
        <v>71.5</v>
      </c>
      <c r="O9" s="10">
        <f t="shared" si="1"/>
        <v>163.61556064073227</v>
      </c>
      <c r="P9" s="35">
        <v>13.6</v>
      </c>
      <c r="Q9" s="35">
        <v>0</v>
      </c>
      <c r="R9" s="10">
        <f t="shared" si="8"/>
        <v>0</v>
      </c>
      <c r="S9" s="35">
        <v>16.7</v>
      </c>
      <c r="T9" s="35">
        <v>0</v>
      </c>
      <c r="U9" s="10">
        <f t="shared" si="9"/>
        <v>0</v>
      </c>
      <c r="V9" s="35">
        <v>15.7</v>
      </c>
      <c r="W9" s="35">
        <v>0</v>
      </c>
      <c r="X9" s="10">
        <f t="shared" si="10"/>
        <v>0</v>
      </c>
      <c r="Y9" s="71">
        <f aca="true" t="shared" si="18" ref="Y9:Y28">P9+S9+V9</f>
        <v>46</v>
      </c>
      <c r="Z9" s="71">
        <f aca="true" t="shared" si="19" ref="Z9:Z28">Q9+T9+W9</f>
        <v>0</v>
      </c>
      <c r="AA9" s="10">
        <f t="shared" si="2"/>
        <v>0</v>
      </c>
      <c r="AB9" s="35">
        <v>17.2</v>
      </c>
      <c r="AC9" s="35">
        <v>0</v>
      </c>
      <c r="AD9" s="10">
        <f t="shared" si="3"/>
        <v>0</v>
      </c>
      <c r="AE9" s="35">
        <v>17.3</v>
      </c>
      <c r="AF9" s="35">
        <v>0</v>
      </c>
      <c r="AG9" s="10">
        <f t="shared" si="4"/>
        <v>0</v>
      </c>
      <c r="AH9" s="35">
        <v>16.8</v>
      </c>
      <c r="AI9" s="35">
        <v>0</v>
      </c>
      <c r="AJ9" s="71">
        <f aca="true" t="shared" si="20" ref="AJ9:AJ42">AB9+AE9+AH9</f>
        <v>51.3</v>
      </c>
      <c r="AK9" s="71">
        <f aca="true" t="shared" si="21" ref="AK9:AK42">AC9+AF9+AI9</f>
        <v>0</v>
      </c>
      <c r="AL9" s="10">
        <f t="shared" si="11"/>
        <v>0</v>
      </c>
      <c r="AM9" s="35"/>
      <c r="AN9" s="35"/>
      <c r="AO9" s="35"/>
      <c r="AP9" s="35"/>
      <c r="AQ9" s="35"/>
      <c r="AR9" s="35"/>
      <c r="AS9" s="58">
        <f aca="true" t="shared" si="22" ref="AS9:AS41">M9+Y9+AJ9+AM9+AO9+AQ9</f>
        <v>141</v>
      </c>
      <c r="AT9" s="58">
        <f aca="true" t="shared" si="23" ref="AT9:AT42">N9+Z9+AK9+AN9+AP9+AR9</f>
        <v>71.5</v>
      </c>
      <c r="AU9" s="10">
        <f t="shared" si="5"/>
        <v>50.70921985815603</v>
      </c>
      <c r="AV9" s="58">
        <f aca="true" t="shared" si="24" ref="AV9:AV44">AS9-AT9</f>
        <v>69.5</v>
      </c>
      <c r="AW9" s="16">
        <f t="shared" si="12"/>
        <v>124.4</v>
      </c>
      <c r="AX9" s="20">
        <f t="shared" si="13"/>
        <v>141</v>
      </c>
      <c r="AY9" s="20">
        <f t="shared" si="14"/>
        <v>71.5</v>
      </c>
      <c r="AZ9" s="39">
        <f t="shared" si="15"/>
        <v>124.4</v>
      </c>
    </row>
    <row r="10" spans="1:52" ht="34.5" customHeight="1">
      <c r="A10" s="56">
        <v>3</v>
      </c>
      <c r="B10" s="61" t="s">
        <v>87</v>
      </c>
      <c r="C10" s="84">
        <v>5.8</v>
      </c>
      <c r="D10" s="35">
        <v>0</v>
      </c>
      <c r="E10" s="35">
        <v>0</v>
      </c>
      <c r="F10" s="10">
        <v>0</v>
      </c>
      <c r="G10" s="35">
        <v>4.4</v>
      </c>
      <c r="H10" s="35">
        <v>8.4</v>
      </c>
      <c r="I10" s="10">
        <f t="shared" si="6"/>
        <v>190.9090909090909</v>
      </c>
      <c r="J10" s="35">
        <v>3.1</v>
      </c>
      <c r="K10" s="35">
        <v>0</v>
      </c>
      <c r="L10" s="10">
        <f t="shared" si="7"/>
        <v>0</v>
      </c>
      <c r="M10" s="71">
        <f t="shared" si="16"/>
        <v>7.5</v>
      </c>
      <c r="N10" s="71">
        <f t="shared" si="17"/>
        <v>8.4</v>
      </c>
      <c r="O10" s="10">
        <f t="shared" si="1"/>
        <v>112.00000000000001</v>
      </c>
      <c r="P10" s="35">
        <v>2.6</v>
      </c>
      <c r="Q10" s="35">
        <v>2.9</v>
      </c>
      <c r="R10" s="10">
        <f t="shared" si="8"/>
        <v>111.53846153846155</v>
      </c>
      <c r="S10" s="35">
        <v>2.1</v>
      </c>
      <c r="T10" s="35">
        <v>2.1</v>
      </c>
      <c r="U10" s="10">
        <f t="shared" si="9"/>
        <v>100</v>
      </c>
      <c r="V10" s="35">
        <v>2.6</v>
      </c>
      <c r="W10" s="35">
        <v>2.9</v>
      </c>
      <c r="X10" s="103">
        <f t="shared" si="10"/>
        <v>111.53846153846155</v>
      </c>
      <c r="Y10" s="71">
        <f t="shared" si="18"/>
        <v>7.300000000000001</v>
      </c>
      <c r="Z10" s="71">
        <f t="shared" si="19"/>
        <v>7.9</v>
      </c>
      <c r="AA10" s="10">
        <f t="shared" si="2"/>
        <v>108.21917808219177</v>
      </c>
      <c r="AB10" s="35">
        <v>2.1</v>
      </c>
      <c r="AC10" s="35">
        <v>2.1</v>
      </c>
      <c r="AD10" s="10">
        <f t="shared" si="3"/>
        <v>100</v>
      </c>
      <c r="AE10" s="35">
        <v>2.1</v>
      </c>
      <c r="AF10" s="35">
        <v>2.1</v>
      </c>
      <c r="AG10" s="10">
        <f t="shared" si="4"/>
        <v>100</v>
      </c>
      <c r="AH10" s="35">
        <v>2.1</v>
      </c>
      <c r="AI10" s="35">
        <v>2.1</v>
      </c>
      <c r="AJ10" s="71">
        <f t="shared" si="20"/>
        <v>6.300000000000001</v>
      </c>
      <c r="AK10" s="71">
        <f t="shared" si="21"/>
        <v>6.300000000000001</v>
      </c>
      <c r="AL10" s="10">
        <f t="shared" si="11"/>
        <v>100</v>
      </c>
      <c r="AM10" s="35"/>
      <c r="AN10" s="35"/>
      <c r="AO10" s="35"/>
      <c r="AP10" s="35"/>
      <c r="AQ10" s="35"/>
      <c r="AR10" s="35"/>
      <c r="AS10" s="58">
        <f t="shared" si="22"/>
        <v>21.1</v>
      </c>
      <c r="AT10" s="58">
        <f t="shared" si="23"/>
        <v>22.6</v>
      </c>
      <c r="AU10" s="10">
        <f t="shared" si="5"/>
        <v>107.10900473933648</v>
      </c>
      <c r="AV10" s="58">
        <f t="shared" si="24"/>
        <v>-1.5</v>
      </c>
      <c r="AW10" s="16">
        <f t="shared" si="12"/>
        <v>4.300000000000001</v>
      </c>
      <c r="AX10" s="20">
        <f t="shared" si="13"/>
        <v>21.100000000000005</v>
      </c>
      <c r="AY10" s="20">
        <f t="shared" si="14"/>
        <v>22.600000000000005</v>
      </c>
      <c r="AZ10" s="39">
        <f t="shared" si="15"/>
        <v>4.300000000000001</v>
      </c>
    </row>
    <row r="11" spans="1:52" ht="34.5" customHeight="1">
      <c r="A11" s="56">
        <v>4</v>
      </c>
      <c r="B11" s="57" t="s">
        <v>50</v>
      </c>
      <c r="C11" s="84">
        <v>63.9</v>
      </c>
      <c r="D11" s="35">
        <v>24.6</v>
      </c>
      <c r="E11" s="35">
        <v>60.2</v>
      </c>
      <c r="F11" s="10">
        <f>E11/D11*100</f>
        <v>244.71544715447155</v>
      </c>
      <c r="G11" s="35">
        <v>25.1</v>
      </c>
      <c r="H11" s="35">
        <v>0</v>
      </c>
      <c r="I11" s="10">
        <f t="shared" si="6"/>
        <v>0</v>
      </c>
      <c r="J11" s="35">
        <v>27.9</v>
      </c>
      <c r="K11" s="35">
        <v>37</v>
      </c>
      <c r="L11" s="10">
        <f t="shared" si="7"/>
        <v>132.61648745519713</v>
      </c>
      <c r="M11" s="71">
        <f t="shared" si="16"/>
        <v>77.6</v>
      </c>
      <c r="N11" s="71">
        <f t="shared" si="17"/>
        <v>97.2</v>
      </c>
      <c r="O11" s="10">
        <f t="shared" si="1"/>
        <v>125.2577319587629</v>
      </c>
      <c r="P11" s="35">
        <v>28.1</v>
      </c>
      <c r="Q11" s="35">
        <v>10.4</v>
      </c>
      <c r="R11" s="10">
        <f t="shared" si="8"/>
        <v>37.01067615658363</v>
      </c>
      <c r="S11" s="35">
        <v>27.9</v>
      </c>
      <c r="T11" s="35">
        <v>26.6</v>
      </c>
      <c r="U11" s="10">
        <f t="shared" si="9"/>
        <v>95.34050179211471</v>
      </c>
      <c r="V11" s="35">
        <v>40.3</v>
      </c>
      <c r="W11" s="35">
        <v>0</v>
      </c>
      <c r="X11" s="103">
        <f t="shared" si="10"/>
        <v>0</v>
      </c>
      <c r="Y11" s="71">
        <f t="shared" si="18"/>
        <v>96.3</v>
      </c>
      <c r="Z11" s="71">
        <f t="shared" si="19"/>
        <v>37</v>
      </c>
      <c r="AA11" s="10">
        <f t="shared" si="2"/>
        <v>38.42159916926272</v>
      </c>
      <c r="AB11" s="35">
        <v>43</v>
      </c>
      <c r="AC11" s="35">
        <v>21.4</v>
      </c>
      <c r="AD11" s="10">
        <f t="shared" si="3"/>
        <v>49.76744186046511</v>
      </c>
      <c r="AE11" s="35">
        <v>43.5</v>
      </c>
      <c r="AF11" s="35">
        <v>78.4</v>
      </c>
      <c r="AG11" s="10">
        <f t="shared" si="4"/>
        <v>180.22988505747128</v>
      </c>
      <c r="AH11" s="35">
        <v>42.3</v>
      </c>
      <c r="AI11" s="35">
        <v>42.2</v>
      </c>
      <c r="AJ11" s="71">
        <f t="shared" si="20"/>
        <v>128.8</v>
      </c>
      <c r="AK11" s="71">
        <f t="shared" si="21"/>
        <v>142</v>
      </c>
      <c r="AL11" s="10">
        <f t="shared" si="11"/>
        <v>110.24844720496894</v>
      </c>
      <c r="AM11" s="35"/>
      <c r="AN11" s="35"/>
      <c r="AO11" s="35"/>
      <c r="AP11" s="35"/>
      <c r="AQ11" s="35"/>
      <c r="AR11" s="35"/>
      <c r="AS11" s="58">
        <f t="shared" si="22"/>
        <v>302.7</v>
      </c>
      <c r="AT11" s="58">
        <f t="shared" si="23"/>
        <v>276.2</v>
      </c>
      <c r="AU11" s="10">
        <f t="shared" si="5"/>
        <v>91.24545754872811</v>
      </c>
      <c r="AV11" s="58">
        <f t="shared" si="24"/>
        <v>26.5</v>
      </c>
      <c r="AW11" s="16">
        <f t="shared" si="12"/>
        <v>90.39999999999998</v>
      </c>
      <c r="AX11" s="20">
        <f t="shared" si="13"/>
        <v>302.7</v>
      </c>
      <c r="AY11" s="20">
        <f t="shared" si="14"/>
        <v>276.2</v>
      </c>
      <c r="AZ11" s="39">
        <f t="shared" si="15"/>
        <v>90.39999999999998</v>
      </c>
    </row>
    <row r="12" spans="1:52" ht="34.5" customHeight="1">
      <c r="A12" s="56">
        <v>5</v>
      </c>
      <c r="B12" s="57" t="s">
        <v>51</v>
      </c>
      <c r="C12" s="84">
        <v>8</v>
      </c>
      <c r="D12" s="35">
        <v>8.2</v>
      </c>
      <c r="E12" s="35">
        <v>8</v>
      </c>
      <c r="F12" s="10">
        <f>E12/D12*100</f>
        <v>97.56097560975611</v>
      </c>
      <c r="G12" s="35">
        <v>8.1</v>
      </c>
      <c r="H12" s="35">
        <v>0</v>
      </c>
      <c r="I12" s="10">
        <f t="shared" si="6"/>
        <v>0</v>
      </c>
      <c r="J12" s="35">
        <v>8.1</v>
      </c>
      <c r="K12" s="35">
        <v>12.6</v>
      </c>
      <c r="L12" s="10">
        <f t="shared" si="7"/>
        <v>155.55555555555557</v>
      </c>
      <c r="M12" s="71">
        <f t="shared" si="16"/>
        <v>24.4</v>
      </c>
      <c r="N12" s="71">
        <f t="shared" si="17"/>
        <v>20.6</v>
      </c>
      <c r="O12" s="10">
        <f t="shared" si="1"/>
        <v>84.42622950819674</v>
      </c>
      <c r="P12" s="35">
        <v>7.8</v>
      </c>
      <c r="Q12" s="35">
        <v>11.8</v>
      </c>
      <c r="R12" s="10">
        <f t="shared" si="8"/>
        <v>151.2820512820513</v>
      </c>
      <c r="S12" s="35">
        <v>8.4</v>
      </c>
      <c r="T12" s="35">
        <v>7.8</v>
      </c>
      <c r="U12" s="10">
        <f t="shared" si="9"/>
        <v>92.85714285714285</v>
      </c>
      <c r="V12" s="35">
        <v>8.9</v>
      </c>
      <c r="W12" s="35">
        <v>8.4</v>
      </c>
      <c r="X12" s="10">
        <f t="shared" si="10"/>
        <v>94.3820224719101</v>
      </c>
      <c r="Y12" s="71">
        <f t="shared" si="18"/>
        <v>25.1</v>
      </c>
      <c r="Z12" s="71">
        <f t="shared" si="19"/>
        <v>28</v>
      </c>
      <c r="AA12" s="10">
        <f t="shared" si="2"/>
        <v>111.55378486055776</v>
      </c>
      <c r="AB12" s="35">
        <v>9.6</v>
      </c>
      <c r="AC12" s="35">
        <v>8.9</v>
      </c>
      <c r="AD12" s="10">
        <f t="shared" si="3"/>
        <v>92.70833333333334</v>
      </c>
      <c r="AE12" s="35">
        <v>11.1</v>
      </c>
      <c r="AF12" s="35">
        <v>0</v>
      </c>
      <c r="AG12" s="10">
        <f t="shared" si="4"/>
        <v>0</v>
      </c>
      <c r="AH12" s="35">
        <v>13.1</v>
      </c>
      <c r="AI12" s="35">
        <v>20.7</v>
      </c>
      <c r="AJ12" s="71">
        <f t="shared" si="20"/>
        <v>33.8</v>
      </c>
      <c r="AK12" s="71">
        <f t="shared" si="21"/>
        <v>29.6</v>
      </c>
      <c r="AL12" s="10">
        <f t="shared" si="11"/>
        <v>87.57396449704143</v>
      </c>
      <c r="AM12" s="35"/>
      <c r="AN12" s="35"/>
      <c r="AO12" s="35"/>
      <c r="AP12" s="35"/>
      <c r="AQ12" s="35"/>
      <c r="AR12" s="35"/>
      <c r="AS12" s="58">
        <f t="shared" si="22"/>
        <v>83.3</v>
      </c>
      <c r="AT12" s="58">
        <f t="shared" si="23"/>
        <v>78.2</v>
      </c>
      <c r="AU12" s="10">
        <f t="shared" si="5"/>
        <v>93.87755102040816</v>
      </c>
      <c r="AV12" s="58">
        <f t="shared" si="24"/>
        <v>5.099999999999994</v>
      </c>
      <c r="AW12" s="16">
        <f t="shared" si="12"/>
        <v>13.099999999999994</v>
      </c>
      <c r="AX12" s="20">
        <f t="shared" si="13"/>
        <v>83.3</v>
      </c>
      <c r="AY12" s="20">
        <f t="shared" si="14"/>
        <v>78.2</v>
      </c>
      <c r="AZ12" s="39">
        <f t="shared" si="15"/>
        <v>13.099999999999994</v>
      </c>
    </row>
    <row r="13" spans="1:52" ht="34.5" customHeight="1">
      <c r="A13" s="56">
        <v>6</v>
      </c>
      <c r="B13" s="57" t="s">
        <v>52</v>
      </c>
      <c r="C13" s="84">
        <v>40.7</v>
      </c>
      <c r="D13" s="35">
        <v>20.4</v>
      </c>
      <c r="E13" s="35">
        <v>21.3</v>
      </c>
      <c r="F13" s="10">
        <f aca="true" t="shared" si="25" ref="F13:F45">E13/D13*100</f>
        <v>104.41176470588236</v>
      </c>
      <c r="G13" s="35">
        <v>19</v>
      </c>
      <c r="H13" s="35">
        <v>19.4</v>
      </c>
      <c r="I13" s="10">
        <f t="shared" si="6"/>
        <v>102.10526315789473</v>
      </c>
      <c r="J13" s="35">
        <v>20</v>
      </c>
      <c r="K13" s="35">
        <v>0</v>
      </c>
      <c r="L13" s="10">
        <f t="shared" si="7"/>
        <v>0</v>
      </c>
      <c r="M13" s="71">
        <f t="shared" si="16"/>
        <v>59.4</v>
      </c>
      <c r="N13" s="71">
        <f t="shared" si="17"/>
        <v>40.7</v>
      </c>
      <c r="O13" s="10">
        <f t="shared" si="1"/>
        <v>68.51851851851852</v>
      </c>
      <c r="P13" s="35">
        <v>19.9</v>
      </c>
      <c r="Q13" s="35">
        <v>59.4</v>
      </c>
      <c r="R13" s="10">
        <f t="shared" si="8"/>
        <v>298.4924623115578</v>
      </c>
      <c r="S13" s="35">
        <v>21</v>
      </c>
      <c r="T13" s="35">
        <v>10.2</v>
      </c>
      <c r="U13" s="10">
        <f t="shared" si="9"/>
        <v>48.57142857142856</v>
      </c>
      <c r="V13" s="35">
        <v>27.6</v>
      </c>
      <c r="W13" s="35">
        <v>9.7</v>
      </c>
      <c r="X13" s="103">
        <f t="shared" si="10"/>
        <v>35.144927536231876</v>
      </c>
      <c r="Y13" s="71">
        <f t="shared" si="18"/>
        <v>68.5</v>
      </c>
      <c r="Z13" s="71">
        <f t="shared" si="19"/>
        <v>79.3</v>
      </c>
      <c r="AA13" s="10">
        <f t="shared" si="2"/>
        <v>115.76642335766422</v>
      </c>
      <c r="AB13" s="35">
        <v>24</v>
      </c>
      <c r="AC13" s="35">
        <v>21</v>
      </c>
      <c r="AD13" s="10">
        <f t="shared" si="3"/>
        <v>87.5</v>
      </c>
      <c r="AE13" s="35">
        <v>39.6</v>
      </c>
      <c r="AF13" s="35">
        <v>0</v>
      </c>
      <c r="AG13" s="10">
        <f t="shared" si="4"/>
        <v>0</v>
      </c>
      <c r="AH13" s="35">
        <v>36.9</v>
      </c>
      <c r="AI13" s="35">
        <v>37.2</v>
      </c>
      <c r="AJ13" s="71">
        <f t="shared" si="20"/>
        <v>100.5</v>
      </c>
      <c r="AK13" s="71">
        <f t="shared" si="21"/>
        <v>58.2</v>
      </c>
      <c r="AL13" s="10">
        <f t="shared" si="11"/>
        <v>57.91044776119403</v>
      </c>
      <c r="AM13" s="35"/>
      <c r="AN13" s="35"/>
      <c r="AO13" s="35"/>
      <c r="AP13" s="35"/>
      <c r="AQ13" s="35"/>
      <c r="AR13" s="35"/>
      <c r="AS13" s="58">
        <f t="shared" si="22"/>
        <v>228.4</v>
      </c>
      <c r="AT13" s="58">
        <f t="shared" si="23"/>
        <v>178.2</v>
      </c>
      <c r="AU13" s="10">
        <f t="shared" si="5"/>
        <v>78.02101576182136</v>
      </c>
      <c r="AV13" s="58">
        <f t="shared" si="24"/>
        <v>50.20000000000002</v>
      </c>
      <c r="AW13" s="16">
        <f t="shared" si="12"/>
        <v>90.90000000000003</v>
      </c>
      <c r="AX13" s="20">
        <f t="shared" si="13"/>
        <v>228.4</v>
      </c>
      <c r="AY13" s="20">
        <f t="shared" si="14"/>
        <v>178.2</v>
      </c>
      <c r="AZ13" s="39">
        <f t="shared" si="15"/>
        <v>90.90000000000003</v>
      </c>
    </row>
    <row r="14" spans="1:52" ht="34.5" customHeight="1">
      <c r="A14" s="56">
        <v>7</v>
      </c>
      <c r="B14" s="57" t="s">
        <v>88</v>
      </c>
      <c r="C14" s="84">
        <v>3.7</v>
      </c>
      <c r="D14" s="35">
        <v>4.7</v>
      </c>
      <c r="E14" s="35">
        <v>3.7</v>
      </c>
      <c r="F14" s="10">
        <f t="shared" si="25"/>
        <v>78.72340425531915</v>
      </c>
      <c r="G14" s="35">
        <v>5.4</v>
      </c>
      <c r="H14" s="35">
        <v>4.7</v>
      </c>
      <c r="I14" s="10">
        <f t="shared" si="6"/>
        <v>87.03703703703704</v>
      </c>
      <c r="J14" s="35">
        <v>5.6</v>
      </c>
      <c r="K14" s="35">
        <v>2.6</v>
      </c>
      <c r="L14" s="10">
        <f t="shared" si="7"/>
        <v>46.42857142857144</v>
      </c>
      <c r="M14" s="71">
        <f t="shared" si="16"/>
        <v>15.700000000000001</v>
      </c>
      <c r="N14" s="71">
        <f t="shared" si="17"/>
        <v>11</v>
      </c>
      <c r="O14" s="10">
        <f t="shared" si="1"/>
        <v>70.06369426751591</v>
      </c>
      <c r="P14" s="35">
        <v>5.5</v>
      </c>
      <c r="Q14" s="35">
        <v>8.4</v>
      </c>
      <c r="R14" s="10">
        <f t="shared" si="8"/>
        <v>152.72727272727275</v>
      </c>
      <c r="S14" s="35">
        <v>5.9</v>
      </c>
      <c r="T14" s="35">
        <v>5.5</v>
      </c>
      <c r="U14" s="10">
        <f t="shared" si="9"/>
        <v>93.22033898305084</v>
      </c>
      <c r="V14" s="35">
        <v>5.9</v>
      </c>
      <c r="W14" s="35">
        <v>0</v>
      </c>
      <c r="X14" s="10">
        <f t="shared" si="10"/>
        <v>0</v>
      </c>
      <c r="Y14" s="71">
        <f t="shared" si="18"/>
        <v>17.3</v>
      </c>
      <c r="Z14" s="71">
        <f t="shared" si="19"/>
        <v>13.9</v>
      </c>
      <c r="AA14" s="10">
        <f t="shared" si="2"/>
        <v>80.34682080924856</v>
      </c>
      <c r="AB14" s="35">
        <v>7.5</v>
      </c>
      <c r="AC14" s="35">
        <v>11.8</v>
      </c>
      <c r="AD14" s="10">
        <f t="shared" si="3"/>
        <v>157.33333333333334</v>
      </c>
      <c r="AE14" s="35">
        <v>12.4</v>
      </c>
      <c r="AF14" s="35">
        <v>0</v>
      </c>
      <c r="AG14" s="10">
        <f t="shared" si="4"/>
        <v>0</v>
      </c>
      <c r="AH14" s="35">
        <v>11.8</v>
      </c>
      <c r="AI14" s="35">
        <v>19.9</v>
      </c>
      <c r="AJ14" s="71">
        <f t="shared" si="20"/>
        <v>31.7</v>
      </c>
      <c r="AK14" s="71">
        <f t="shared" si="21"/>
        <v>31.7</v>
      </c>
      <c r="AL14" s="10">
        <f t="shared" si="11"/>
        <v>100</v>
      </c>
      <c r="AM14" s="35"/>
      <c r="AN14" s="35"/>
      <c r="AO14" s="35"/>
      <c r="AP14" s="35"/>
      <c r="AQ14" s="35"/>
      <c r="AR14" s="35"/>
      <c r="AS14" s="58">
        <f t="shared" si="22"/>
        <v>64.7</v>
      </c>
      <c r="AT14" s="58">
        <f t="shared" si="23"/>
        <v>56.599999999999994</v>
      </c>
      <c r="AU14" s="10">
        <f t="shared" si="5"/>
        <v>87.48068006182379</v>
      </c>
      <c r="AV14" s="58">
        <f t="shared" si="24"/>
        <v>8.100000000000009</v>
      </c>
      <c r="AW14" s="16">
        <f t="shared" si="12"/>
        <v>11.800000000000011</v>
      </c>
      <c r="AX14" s="20">
        <f t="shared" si="13"/>
        <v>64.7</v>
      </c>
      <c r="AY14" s="20">
        <f t="shared" si="14"/>
        <v>56.6</v>
      </c>
      <c r="AZ14" s="39">
        <f t="shared" si="15"/>
        <v>11.800000000000004</v>
      </c>
    </row>
    <row r="15" spans="1:52" ht="34.5" customHeight="1">
      <c r="A15" s="56">
        <v>8</v>
      </c>
      <c r="B15" s="57" t="s">
        <v>53</v>
      </c>
      <c r="C15" s="84">
        <v>125.4</v>
      </c>
      <c r="D15" s="35">
        <v>76</v>
      </c>
      <c r="E15" s="35">
        <v>73.4</v>
      </c>
      <c r="F15" s="10">
        <f t="shared" si="25"/>
        <v>96.57894736842107</v>
      </c>
      <c r="G15" s="35">
        <v>82.2</v>
      </c>
      <c r="H15" s="35">
        <v>75.7</v>
      </c>
      <c r="I15" s="10">
        <f t="shared" si="6"/>
        <v>92.09245742092457</v>
      </c>
      <c r="J15" s="35">
        <v>91.4</v>
      </c>
      <c r="K15" s="35">
        <v>56.7</v>
      </c>
      <c r="L15" s="10">
        <f t="shared" si="7"/>
        <v>62.03501094091904</v>
      </c>
      <c r="M15" s="71">
        <f t="shared" si="16"/>
        <v>249.6</v>
      </c>
      <c r="N15" s="71">
        <f t="shared" si="17"/>
        <v>205.8</v>
      </c>
      <c r="O15" s="10">
        <f t="shared" si="1"/>
        <v>82.45192307692308</v>
      </c>
      <c r="P15" s="35">
        <v>89.9</v>
      </c>
      <c r="Q15" s="35">
        <v>122.4</v>
      </c>
      <c r="R15" s="10">
        <f t="shared" si="8"/>
        <v>136.15127919911012</v>
      </c>
      <c r="S15" s="35">
        <v>106.6</v>
      </c>
      <c r="T15" s="35">
        <v>85.1</v>
      </c>
      <c r="U15" s="10">
        <f t="shared" si="9"/>
        <v>79.8311444652908</v>
      </c>
      <c r="V15" s="35">
        <v>115.1</v>
      </c>
      <c r="W15" s="35">
        <v>94.9</v>
      </c>
      <c r="X15" s="103">
        <f t="shared" si="10"/>
        <v>82.45004344048654</v>
      </c>
      <c r="Y15" s="71">
        <f t="shared" si="18"/>
        <v>311.6</v>
      </c>
      <c r="Z15" s="71">
        <f t="shared" si="19"/>
        <v>302.4</v>
      </c>
      <c r="AA15" s="10">
        <f t="shared" si="2"/>
        <v>97.04749679075736</v>
      </c>
      <c r="AB15" s="35">
        <v>117.3</v>
      </c>
      <c r="AC15" s="35">
        <v>108.5</v>
      </c>
      <c r="AD15" s="10">
        <f t="shared" si="3"/>
        <v>92.49786871270247</v>
      </c>
      <c r="AE15" s="35">
        <v>115.8</v>
      </c>
      <c r="AF15" s="35">
        <v>11</v>
      </c>
      <c r="AG15" s="10">
        <f t="shared" si="4"/>
        <v>9.499136442141625</v>
      </c>
      <c r="AH15" s="35">
        <v>120.2</v>
      </c>
      <c r="AI15" s="35">
        <v>223.1</v>
      </c>
      <c r="AJ15" s="71">
        <f t="shared" si="20"/>
        <v>353.3</v>
      </c>
      <c r="AK15" s="71">
        <f t="shared" si="21"/>
        <v>342.6</v>
      </c>
      <c r="AL15" s="10">
        <f t="shared" si="11"/>
        <v>96.97141239739598</v>
      </c>
      <c r="AM15" s="35"/>
      <c r="AN15" s="35"/>
      <c r="AO15" s="35"/>
      <c r="AP15" s="35"/>
      <c r="AQ15" s="35"/>
      <c r="AR15" s="35"/>
      <c r="AS15" s="58">
        <f t="shared" si="22"/>
        <v>914.5</v>
      </c>
      <c r="AT15" s="58">
        <f t="shared" si="23"/>
        <v>850.8</v>
      </c>
      <c r="AU15" s="10">
        <f t="shared" si="5"/>
        <v>93.03444505194095</v>
      </c>
      <c r="AV15" s="58">
        <f t="shared" si="24"/>
        <v>63.700000000000045</v>
      </c>
      <c r="AW15" s="16">
        <f t="shared" si="12"/>
        <v>189.10000000000014</v>
      </c>
      <c r="AX15" s="20">
        <f t="shared" si="13"/>
        <v>914.5</v>
      </c>
      <c r="AY15" s="20">
        <f t="shared" si="14"/>
        <v>850.8000000000001</v>
      </c>
      <c r="AZ15" s="39">
        <f t="shared" si="15"/>
        <v>189.10000000000002</v>
      </c>
    </row>
    <row r="16" spans="1:52" ht="34.5" customHeight="1">
      <c r="A16" s="56">
        <v>9</v>
      </c>
      <c r="B16" s="57" t="s">
        <v>54</v>
      </c>
      <c r="C16" s="84">
        <v>1.9</v>
      </c>
      <c r="D16" s="35">
        <v>0.8</v>
      </c>
      <c r="E16" s="35">
        <v>0.8</v>
      </c>
      <c r="F16" s="10">
        <f t="shared" si="25"/>
        <v>100</v>
      </c>
      <c r="G16" s="35">
        <v>1</v>
      </c>
      <c r="H16" s="35">
        <v>0.9</v>
      </c>
      <c r="I16" s="10">
        <f t="shared" si="6"/>
        <v>90</v>
      </c>
      <c r="J16" s="35">
        <v>0.9</v>
      </c>
      <c r="K16" s="35">
        <v>0.4</v>
      </c>
      <c r="L16" s="10">
        <f t="shared" si="7"/>
        <v>44.44444444444445</v>
      </c>
      <c r="M16" s="71">
        <f t="shared" si="16"/>
        <v>2.7</v>
      </c>
      <c r="N16" s="71">
        <f t="shared" si="17"/>
        <v>2.1</v>
      </c>
      <c r="O16" s="10">
        <f t="shared" si="1"/>
        <v>77.77777777777779</v>
      </c>
      <c r="P16" s="35">
        <v>1</v>
      </c>
      <c r="Q16" s="35">
        <v>1.6</v>
      </c>
      <c r="R16" s="10">
        <f t="shared" si="8"/>
        <v>160</v>
      </c>
      <c r="S16" s="35">
        <v>1</v>
      </c>
      <c r="T16" s="35">
        <v>1</v>
      </c>
      <c r="U16" s="10">
        <f t="shared" si="9"/>
        <v>100</v>
      </c>
      <c r="V16" s="35">
        <v>1.4</v>
      </c>
      <c r="W16" s="35">
        <v>0.9</v>
      </c>
      <c r="X16" s="10">
        <f t="shared" si="10"/>
        <v>64.28571428571429</v>
      </c>
      <c r="Y16" s="71">
        <f t="shared" si="18"/>
        <v>3.4</v>
      </c>
      <c r="Z16" s="71">
        <f t="shared" si="19"/>
        <v>3.5</v>
      </c>
      <c r="AA16" s="10">
        <f t="shared" si="2"/>
        <v>102.94117647058825</v>
      </c>
      <c r="AB16" s="35">
        <v>2.3</v>
      </c>
      <c r="AC16" s="35">
        <v>1.1</v>
      </c>
      <c r="AD16" s="10">
        <f t="shared" si="3"/>
        <v>47.82608695652175</v>
      </c>
      <c r="AE16" s="35">
        <v>3</v>
      </c>
      <c r="AF16" s="35">
        <v>0</v>
      </c>
      <c r="AG16" s="10">
        <f t="shared" si="4"/>
        <v>0</v>
      </c>
      <c r="AH16" s="35">
        <v>3.6</v>
      </c>
      <c r="AI16" s="35">
        <v>3.6</v>
      </c>
      <c r="AJ16" s="71">
        <f t="shared" si="20"/>
        <v>8.9</v>
      </c>
      <c r="AK16" s="71">
        <f t="shared" si="21"/>
        <v>4.7</v>
      </c>
      <c r="AL16" s="10">
        <f t="shared" si="11"/>
        <v>52.80898876404494</v>
      </c>
      <c r="AM16" s="35"/>
      <c r="AN16" s="35"/>
      <c r="AO16" s="35"/>
      <c r="AP16" s="35"/>
      <c r="AQ16" s="35"/>
      <c r="AR16" s="35"/>
      <c r="AS16" s="58">
        <f t="shared" si="22"/>
        <v>15</v>
      </c>
      <c r="AT16" s="58">
        <f t="shared" si="23"/>
        <v>10.3</v>
      </c>
      <c r="AU16" s="10">
        <f t="shared" si="5"/>
        <v>68.66666666666667</v>
      </c>
      <c r="AV16" s="58">
        <f t="shared" si="24"/>
        <v>4.699999999999999</v>
      </c>
      <c r="AW16" s="16">
        <f t="shared" si="12"/>
        <v>6.599999999999998</v>
      </c>
      <c r="AX16" s="20">
        <f t="shared" si="13"/>
        <v>14.999999999999998</v>
      </c>
      <c r="AY16" s="20">
        <f t="shared" si="14"/>
        <v>10.299999999999999</v>
      </c>
      <c r="AZ16" s="39">
        <f t="shared" si="15"/>
        <v>6.6</v>
      </c>
    </row>
    <row r="17" spans="1:52" ht="34.5" customHeight="1">
      <c r="A17" s="56">
        <v>10</v>
      </c>
      <c r="B17" s="61" t="s">
        <v>89</v>
      </c>
      <c r="C17" s="84">
        <f>55.1+95.7</f>
        <v>150.8</v>
      </c>
      <c r="D17" s="35">
        <f>6.7+31.8</f>
        <v>38.5</v>
      </c>
      <c r="E17" s="35">
        <f>9.7+58</f>
        <v>67.7</v>
      </c>
      <c r="F17" s="10">
        <f t="shared" si="25"/>
        <v>175.84415584415584</v>
      </c>
      <c r="G17" s="35">
        <f>6+27.6</f>
        <v>33.6</v>
      </c>
      <c r="H17" s="35">
        <f>43.1+66.4</f>
        <v>109.5</v>
      </c>
      <c r="I17" s="10">
        <f t="shared" si="6"/>
        <v>325.8928571428571</v>
      </c>
      <c r="J17" s="35">
        <f>7.1+27.9</f>
        <v>35</v>
      </c>
      <c r="K17" s="35">
        <v>16.4</v>
      </c>
      <c r="L17" s="10">
        <f aca="true" t="shared" si="26" ref="L17:L28">K17/J17*100</f>
        <v>46.857142857142854</v>
      </c>
      <c r="M17" s="71">
        <f t="shared" si="16"/>
        <v>107.1</v>
      </c>
      <c r="N17" s="71">
        <f t="shared" si="17"/>
        <v>193.6</v>
      </c>
      <c r="O17" s="10">
        <f t="shared" si="1"/>
        <v>180.765639589169</v>
      </c>
      <c r="P17" s="35">
        <f>6.1+29</f>
        <v>35.1</v>
      </c>
      <c r="Q17" s="35">
        <f>15+42.2</f>
        <v>57.2</v>
      </c>
      <c r="R17" s="10">
        <f t="shared" si="8"/>
        <v>162.96296296296296</v>
      </c>
      <c r="S17" s="35">
        <f>27.1+7.7</f>
        <v>34.800000000000004</v>
      </c>
      <c r="T17" s="35">
        <f>29.1+7.1</f>
        <v>36.2</v>
      </c>
      <c r="U17" s="10">
        <f t="shared" si="9"/>
        <v>104.02298850574712</v>
      </c>
      <c r="V17" s="35">
        <f>31.4+10.1</f>
        <v>41.5</v>
      </c>
      <c r="W17" s="35">
        <f>27.1+6.1</f>
        <v>33.2</v>
      </c>
      <c r="X17" s="10">
        <f t="shared" si="10"/>
        <v>80</v>
      </c>
      <c r="Y17" s="71">
        <f t="shared" si="18"/>
        <v>111.4</v>
      </c>
      <c r="Z17" s="71">
        <f t="shared" si="19"/>
        <v>126.60000000000001</v>
      </c>
      <c r="AA17" s="10">
        <f t="shared" si="2"/>
        <v>113.64452423698384</v>
      </c>
      <c r="AB17" s="35">
        <f>7.6+33.5</f>
        <v>41.1</v>
      </c>
      <c r="AC17" s="35">
        <f>7.7+31.3</f>
        <v>39</v>
      </c>
      <c r="AD17" s="10">
        <f t="shared" si="3"/>
        <v>94.8905109489051</v>
      </c>
      <c r="AE17" s="35">
        <f>6.2+31.4</f>
        <v>37.6</v>
      </c>
      <c r="AF17" s="35">
        <f>0</f>
        <v>0</v>
      </c>
      <c r="AG17" s="10">
        <f t="shared" si="4"/>
        <v>0</v>
      </c>
      <c r="AH17" s="35">
        <f>32.3+7.7</f>
        <v>40</v>
      </c>
      <c r="AI17" s="35">
        <f>64.9+17.7</f>
        <v>82.60000000000001</v>
      </c>
      <c r="AJ17" s="71">
        <f t="shared" si="20"/>
        <v>118.7</v>
      </c>
      <c r="AK17" s="71">
        <f t="shared" si="21"/>
        <v>121.60000000000001</v>
      </c>
      <c r="AL17" s="10">
        <f t="shared" si="11"/>
        <v>102.44313395113733</v>
      </c>
      <c r="AM17" s="35"/>
      <c r="AN17" s="35"/>
      <c r="AO17" s="35"/>
      <c r="AP17" s="35"/>
      <c r="AQ17" s="35"/>
      <c r="AR17" s="35"/>
      <c r="AS17" s="58">
        <f t="shared" si="22"/>
        <v>337.2</v>
      </c>
      <c r="AT17" s="58">
        <f t="shared" si="23"/>
        <v>441.8</v>
      </c>
      <c r="AU17" s="10">
        <f t="shared" si="5"/>
        <v>131.02016607354687</v>
      </c>
      <c r="AV17" s="58">
        <f t="shared" si="24"/>
        <v>-104.60000000000002</v>
      </c>
      <c r="AW17" s="16">
        <f t="shared" si="12"/>
        <v>46.19999999999999</v>
      </c>
      <c r="AX17" s="20">
        <f t="shared" si="13"/>
        <v>337.20000000000005</v>
      </c>
      <c r="AY17" s="20">
        <f t="shared" si="14"/>
        <v>441.8</v>
      </c>
      <c r="AZ17" s="39">
        <f t="shared" si="15"/>
        <v>46.200000000000045</v>
      </c>
    </row>
    <row r="18" spans="1:52" ht="34.5" customHeight="1">
      <c r="A18" s="56">
        <v>11</v>
      </c>
      <c r="B18" s="61" t="s">
        <v>55</v>
      </c>
      <c r="C18" s="84">
        <v>10.3</v>
      </c>
      <c r="D18" s="35">
        <v>10.2</v>
      </c>
      <c r="E18" s="35">
        <v>10.3</v>
      </c>
      <c r="F18" s="10">
        <f t="shared" si="25"/>
        <v>100.98039215686276</v>
      </c>
      <c r="G18" s="35">
        <v>10.2</v>
      </c>
      <c r="H18" s="35">
        <v>10.2</v>
      </c>
      <c r="I18" s="10">
        <f t="shared" si="6"/>
        <v>100</v>
      </c>
      <c r="J18" s="35">
        <v>10.3</v>
      </c>
      <c r="K18" s="35">
        <v>5</v>
      </c>
      <c r="L18" s="10">
        <f t="shared" si="26"/>
        <v>48.543689320388346</v>
      </c>
      <c r="M18" s="71">
        <f t="shared" si="16"/>
        <v>30.7</v>
      </c>
      <c r="N18" s="71">
        <f t="shared" si="17"/>
        <v>25.5</v>
      </c>
      <c r="O18" s="10">
        <f t="shared" si="1"/>
        <v>83.06188925081433</v>
      </c>
      <c r="P18" s="35">
        <v>9.9</v>
      </c>
      <c r="Q18" s="35">
        <v>15.5</v>
      </c>
      <c r="R18" s="10">
        <f t="shared" si="8"/>
        <v>156.56565656565655</v>
      </c>
      <c r="S18" s="35">
        <v>10.2</v>
      </c>
      <c r="T18" s="35">
        <v>9.9</v>
      </c>
      <c r="U18" s="10">
        <f t="shared" si="9"/>
        <v>97.05882352941177</v>
      </c>
      <c r="V18" s="35">
        <v>10.4</v>
      </c>
      <c r="W18" s="35">
        <v>10.2</v>
      </c>
      <c r="X18" s="10">
        <f t="shared" si="10"/>
        <v>98.07692307692307</v>
      </c>
      <c r="Y18" s="71">
        <f t="shared" si="18"/>
        <v>30.5</v>
      </c>
      <c r="Z18" s="71">
        <f t="shared" si="19"/>
        <v>35.599999999999994</v>
      </c>
      <c r="AA18" s="10">
        <f t="shared" si="2"/>
        <v>116.72131147540983</v>
      </c>
      <c r="AB18" s="35">
        <v>10.8</v>
      </c>
      <c r="AC18" s="35">
        <v>10.4</v>
      </c>
      <c r="AD18" s="10">
        <f t="shared" si="3"/>
        <v>96.29629629629629</v>
      </c>
      <c r="AE18" s="35">
        <v>10.4</v>
      </c>
      <c r="AF18" s="35">
        <v>0</v>
      </c>
      <c r="AG18" s="10">
        <f t="shared" si="4"/>
        <v>0</v>
      </c>
      <c r="AH18" s="35">
        <v>11.9</v>
      </c>
      <c r="AI18" s="35">
        <v>28.2</v>
      </c>
      <c r="AJ18" s="71">
        <f t="shared" si="20"/>
        <v>33.1</v>
      </c>
      <c r="AK18" s="71">
        <f t="shared" si="21"/>
        <v>38.6</v>
      </c>
      <c r="AL18" s="10">
        <f t="shared" si="11"/>
        <v>116.61631419939577</v>
      </c>
      <c r="AM18" s="35"/>
      <c r="AN18" s="35"/>
      <c r="AO18" s="35"/>
      <c r="AP18" s="35"/>
      <c r="AQ18" s="35"/>
      <c r="AR18" s="35"/>
      <c r="AS18" s="58">
        <f t="shared" si="22"/>
        <v>94.30000000000001</v>
      </c>
      <c r="AT18" s="58">
        <f t="shared" si="23"/>
        <v>99.69999999999999</v>
      </c>
      <c r="AU18" s="10">
        <f t="shared" si="5"/>
        <v>105.72640509013785</v>
      </c>
      <c r="AV18" s="58">
        <f t="shared" si="24"/>
        <v>-5.399999999999977</v>
      </c>
      <c r="AW18" s="16">
        <f t="shared" si="12"/>
        <v>4.90000000000002</v>
      </c>
      <c r="AX18" s="20">
        <f t="shared" si="13"/>
        <v>94.30000000000001</v>
      </c>
      <c r="AY18" s="20">
        <f t="shared" si="14"/>
        <v>99.7</v>
      </c>
      <c r="AZ18" s="39">
        <f t="shared" si="15"/>
        <v>4.900000000000006</v>
      </c>
    </row>
    <row r="19" spans="1:52" ht="34.5" customHeight="1">
      <c r="A19" s="56">
        <v>12</v>
      </c>
      <c r="B19" s="57" t="s">
        <v>56</v>
      </c>
      <c r="C19" s="84">
        <v>23.6</v>
      </c>
      <c r="D19" s="35">
        <v>23</v>
      </c>
      <c r="E19" s="35">
        <v>0</v>
      </c>
      <c r="F19" s="10">
        <f t="shared" si="25"/>
        <v>0</v>
      </c>
      <c r="G19" s="35">
        <v>24.5</v>
      </c>
      <c r="H19" s="35">
        <v>23.6</v>
      </c>
      <c r="I19" s="10">
        <f t="shared" si="6"/>
        <v>96.3265306122449</v>
      </c>
      <c r="J19" s="35">
        <v>24.3</v>
      </c>
      <c r="K19" s="35">
        <v>7.6</v>
      </c>
      <c r="L19" s="10">
        <f t="shared" si="26"/>
        <v>31.27572016460905</v>
      </c>
      <c r="M19" s="71">
        <f t="shared" si="16"/>
        <v>71.8</v>
      </c>
      <c r="N19" s="71">
        <f t="shared" si="17"/>
        <v>31.200000000000003</v>
      </c>
      <c r="O19" s="10">
        <f t="shared" si="1"/>
        <v>43.45403899721449</v>
      </c>
      <c r="P19" s="35">
        <v>23.3</v>
      </c>
      <c r="Q19" s="35">
        <v>39.9</v>
      </c>
      <c r="R19" s="10">
        <f t="shared" si="8"/>
        <v>171.24463519313304</v>
      </c>
      <c r="S19" s="35">
        <v>31.6</v>
      </c>
      <c r="T19" s="35">
        <v>24.3</v>
      </c>
      <c r="U19" s="10">
        <f t="shared" si="9"/>
        <v>76.89873417721519</v>
      </c>
      <c r="V19" s="35">
        <v>38.8</v>
      </c>
      <c r="W19" s="35">
        <v>24.3</v>
      </c>
      <c r="X19" s="103">
        <f t="shared" si="10"/>
        <v>62.62886597938145</v>
      </c>
      <c r="Y19" s="71">
        <f t="shared" si="18"/>
        <v>93.7</v>
      </c>
      <c r="Z19" s="71">
        <f t="shared" si="19"/>
        <v>88.5</v>
      </c>
      <c r="AA19" s="10">
        <f t="shared" si="2"/>
        <v>94.45037353255069</v>
      </c>
      <c r="AB19" s="35">
        <v>43.7</v>
      </c>
      <c r="AC19" s="35">
        <v>30.6</v>
      </c>
      <c r="AD19" s="10">
        <f t="shared" si="3"/>
        <v>70.0228832951945</v>
      </c>
      <c r="AE19" s="35">
        <v>46.7</v>
      </c>
      <c r="AF19" s="35">
        <v>0</v>
      </c>
      <c r="AG19" s="10">
        <f t="shared" si="4"/>
        <v>0</v>
      </c>
      <c r="AH19" s="35">
        <v>43.1</v>
      </c>
      <c r="AI19" s="35">
        <v>82.6</v>
      </c>
      <c r="AJ19" s="71">
        <f t="shared" si="20"/>
        <v>133.5</v>
      </c>
      <c r="AK19" s="71">
        <f t="shared" si="21"/>
        <v>113.19999999999999</v>
      </c>
      <c r="AL19" s="10">
        <f t="shared" si="11"/>
        <v>84.79400749063669</v>
      </c>
      <c r="AM19" s="35"/>
      <c r="AN19" s="35"/>
      <c r="AO19" s="35"/>
      <c r="AP19" s="35"/>
      <c r="AQ19" s="35"/>
      <c r="AR19" s="35"/>
      <c r="AS19" s="58">
        <f t="shared" si="22"/>
        <v>299</v>
      </c>
      <c r="AT19" s="58">
        <f t="shared" si="23"/>
        <v>232.89999999999998</v>
      </c>
      <c r="AU19" s="10">
        <f t="shared" si="5"/>
        <v>77.89297658862876</v>
      </c>
      <c r="AV19" s="58">
        <f t="shared" si="24"/>
        <v>66.10000000000002</v>
      </c>
      <c r="AW19" s="16">
        <f t="shared" si="12"/>
        <v>89.70000000000005</v>
      </c>
      <c r="AX19" s="20">
        <f t="shared" si="13"/>
        <v>299</v>
      </c>
      <c r="AY19" s="20">
        <f t="shared" si="14"/>
        <v>232.9</v>
      </c>
      <c r="AZ19" s="39">
        <f t="shared" si="15"/>
        <v>89.70000000000002</v>
      </c>
    </row>
    <row r="20" spans="1:52" ht="34.5" customHeight="1">
      <c r="A20" s="56">
        <v>13</v>
      </c>
      <c r="B20" s="61" t="s">
        <v>57</v>
      </c>
      <c r="C20" s="84">
        <v>15.2</v>
      </c>
      <c r="D20" s="35">
        <v>5.7</v>
      </c>
      <c r="E20" s="35">
        <v>15.2</v>
      </c>
      <c r="F20" s="10">
        <v>0</v>
      </c>
      <c r="G20" s="35">
        <v>10.9</v>
      </c>
      <c r="H20" s="35">
        <v>5.7</v>
      </c>
      <c r="I20" s="10">
        <f t="shared" si="6"/>
        <v>52.293577981651374</v>
      </c>
      <c r="J20" s="35">
        <v>11.6</v>
      </c>
      <c r="K20" s="35">
        <v>0.4</v>
      </c>
      <c r="L20" s="10">
        <f t="shared" si="26"/>
        <v>3.4482758620689653</v>
      </c>
      <c r="M20" s="71">
        <f t="shared" si="16"/>
        <v>28.200000000000003</v>
      </c>
      <c r="N20" s="71">
        <f t="shared" si="17"/>
        <v>21.299999999999997</v>
      </c>
      <c r="O20" s="10">
        <f t="shared" si="1"/>
        <v>75.531914893617</v>
      </c>
      <c r="P20" s="35">
        <v>8.7</v>
      </c>
      <c r="Q20" s="35">
        <v>22</v>
      </c>
      <c r="R20" s="10">
        <f t="shared" si="8"/>
        <v>252.8735632183908</v>
      </c>
      <c r="S20" s="35">
        <v>10.6</v>
      </c>
      <c r="T20" s="35">
        <v>8.8</v>
      </c>
      <c r="U20" s="10">
        <f t="shared" si="9"/>
        <v>83.01886792452832</v>
      </c>
      <c r="V20" s="35">
        <v>12.1</v>
      </c>
      <c r="W20" s="35">
        <v>10.5</v>
      </c>
      <c r="X20" s="103">
        <f t="shared" si="10"/>
        <v>86.77685950413223</v>
      </c>
      <c r="Y20" s="71">
        <f t="shared" si="18"/>
        <v>31.4</v>
      </c>
      <c r="Z20" s="71">
        <f t="shared" si="19"/>
        <v>41.3</v>
      </c>
      <c r="AA20" s="10">
        <f t="shared" si="2"/>
        <v>131.52866242038218</v>
      </c>
      <c r="AB20" s="35">
        <v>12.7</v>
      </c>
      <c r="AC20" s="35">
        <v>12.1</v>
      </c>
      <c r="AD20" s="10">
        <f t="shared" si="3"/>
        <v>95.2755905511811</v>
      </c>
      <c r="AE20" s="35">
        <v>14</v>
      </c>
      <c r="AF20" s="35">
        <v>0</v>
      </c>
      <c r="AG20" s="10">
        <f t="shared" si="4"/>
        <v>0</v>
      </c>
      <c r="AH20" s="35">
        <v>12.1</v>
      </c>
      <c r="AI20" s="35">
        <v>26.8</v>
      </c>
      <c r="AJ20" s="71">
        <f t="shared" si="20"/>
        <v>38.8</v>
      </c>
      <c r="AK20" s="71">
        <f t="shared" si="21"/>
        <v>38.9</v>
      </c>
      <c r="AL20" s="10">
        <f t="shared" si="11"/>
        <v>100.25773195876289</v>
      </c>
      <c r="AM20" s="35"/>
      <c r="AN20" s="35"/>
      <c r="AO20" s="35"/>
      <c r="AP20" s="35"/>
      <c r="AQ20" s="35"/>
      <c r="AR20" s="35"/>
      <c r="AS20" s="58">
        <f t="shared" si="22"/>
        <v>98.4</v>
      </c>
      <c r="AT20" s="58">
        <f t="shared" si="23"/>
        <v>101.5</v>
      </c>
      <c r="AU20" s="10">
        <f t="shared" si="5"/>
        <v>103.15040650406505</v>
      </c>
      <c r="AV20" s="58">
        <f t="shared" si="24"/>
        <v>-3.0999999999999943</v>
      </c>
      <c r="AW20" s="16">
        <f t="shared" si="12"/>
        <v>12.100000000000009</v>
      </c>
      <c r="AX20" s="20">
        <f t="shared" si="13"/>
        <v>98.39999999999999</v>
      </c>
      <c r="AY20" s="20">
        <f t="shared" si="14"/>
        <v>101.49999999999999</v>
      </c>
      <c r="AZ20" s="39">
        <f t="shared" si="15"/>
        <v>12.100000000000009</v>
      </c>
    </row>
    <row r="21" spans="1:52" ht="34.5" customHeight="1">
      <c r="A21" s="56">
        <v>14</v>
      </c>
      <c r="B21" s="61" t="s">
        <v>58</v>
      </c>
      <c r="C21" s="84">
        <v>6.6</v>
      </c>
      <c r="D21" s="35">
        <v>3</v>
      </c>
      <c r="E21" s="35">
        <v>3.1</v>
      </c>
      <c r="F21" s="54">
        <f t="shared" si="25"/>
        <v>103.33333333333334</v>
      </c>
      <c r="G21" s="35">
        <v>3.2</v>
      </c>
      <c r="H21" s="35">
        <v>3.1</v>
      </c>
      <c r="I21" s="10">
        <f t="shared" si="6"/>
        <v>96.875</v>
      </c>
      <c r="J21" s="35">
        <v>3.1</v>
      </c>
      <c r="K21" s="35">
        <v>0.6</v>
      </c>
      <c r="L21" s="10">
        <f t="shared" si="26"/>
        <v>19.35483870967742</v>
      </c>
      <c r="M21" s="71">
        <f t="shared" si="16"/>
        <v>9.3</v>
      </c>
      <c r="N21" s="71">
        <f t="shared" si="17"/>
        <v>6.8</v>
      </c>
      <c r="O21" s="10">
        <f t="shared" si="1"/>
        <v>73.11827956989247</v>
      </c>
      <c r="P21" s="35">
        <v>3.1</v>
      </c>
      <c r="Q21" s="35">
        <v>5.6</v>
      </c>
      <c r="R21" s="10">
        <f t="shared" si="8"/>
        <v>180.64516129032256</v>
      </c>
      <c r="S21" s="35">
        <v>3.3</v>
      </c>
      <c r="T21" s="35">
        <v>3.1</v>
      </c>
      <c r="U21" s="10">
        <f t="shared" si="9"/>
        <v>93.93939393939394</v>
      </c>
      <c r="V21" s="35">
        <v>3.5</v>
      </c>
      <c r="W21" s="35">
        <v>3.1</v>
      </c>
      <c r="X21" s="103">
        <f t="shared" si="10"/>
        <v>88.57142857142858</v>
      </c>
      <c r="Y21" s="71">
        <f t="shared" si="18"/>
        <v>9.9</v>
      </c>
      <c r="Z21" s="71">
        <f t="shared" si="19"/>
        <v>11.799999999999999</v>
      </c>
      <c r="AA21" s="10">
        <f t="shared" si="2"/>
        <v>119.19191919191918</v>
      </c>
      <c r="AB21" s="35">
        <v>13.2</v>
      </c>
      <c r="AC21" s="35">
        <v>4.7</v>
      </c>
      <c r="AD21" s="10">
        <f t="shared" si="3"/>
        <v>35.60606060606061</v>
      </c>
      <c r="AE21" s="35">
        <v>3.7</v>
      </c>
      <c r="AF21" s="35">
        <v>0</v>
      </c>
      <c r="AG21" s="10">
        <f t="shared" si="4"/>
        <v>0</v>
      </c>
      <c r="AH21" s="35">
        <v>3.9</v>
      </c>
      <c r="AI21" s="35">
        <v>7.4</v>
      </c>
      <c r="AJ21" s="71">
        <f t="shared" si="20"/>
        <v>20.799999999999997</v>
      </c>
      <c r="AK21" s="71">
        <f t="shared" si="21"/>
        <v>12.100000000000001</v>
      </c>
      <c r="AL21" s="10">
        <f t="shared" si="11"/>
        <v>58.17307692307694</v>
      </c>
      <c r="AM21" s="35"/>
      <c r="AN21" s="35"/>
      <c r="AO21" s="35"/>
      <c r="AP21" s="35"/>
      <c r="AQ21" s="35"/>
      <c r="AR21" s="35"/>
      <c r="AS21" s="58">
        <f t="shared" si="22"/>
        <v>40</v>
      </c>
      <c r="AT21" s="58">
        <f t="shared" si="23"/>
        <v>30.7</v>
      </c>
      <c r="AU21" s="10">
        <f t="shared" si="5"/>
        <v>76.75</v>
      </c>
      <c r="AV21" s="58">
        <f t="shared" si="24"/>
        <v>9.3</v>
      </c>
      <c r="AW21" s="16">
        <f t="shared" si="12"/>
        <v>15.900000000000002</v>
      </c>
      <c r="AX21" s="20">
        <f t="shared" si="13"/>
        <v>40.00000000000001</v>
      </c>
      <c r="AY21" s="20">
        <f t="shared" si="14"/>
        <v>30.699999999999996</v>
      </c>
      <c r="AZ21" s="39">
        <f t="shared" si="15"/>
        <v>15.900000000000013</v>
      </c>
    </row>
    <row r="22" spans="1:52" ht="34.5" customHeight="1">
      <c r="A22" s="56">
        <v>15</v>
      </c>
      <c r="B22" s="61" t="s">
        <v>41</v>
      </c>
      <c r="C22" s="84">
        <v>7.3</v>
      </c>
      <c r="D22" s="35">
        <v>8.2</v>
      </c>
      <c r="E22" s="35">
        <v>7.3</v>
      </c>
      <c r="F22" s="10">
        <f t="shared" si="25"/>
        <v>89.02439024390245</v>
      </c>
      <c r="G22" s="35">
        <v>8.4</v>
      </c>
      <c r="H22" s="35">
        <v>8</v>
      </c>
      <c r="I22" s="10">
        <f t="shared" si="6"/>
        <v>95.23809523809523</v>
      </c>
      <c r="J22" s="35">
        <v>7.1</v>
      </c>
      <c r="K22" s="35">
        <v>4.7</v>
      </c>
      <c r="L22" s="10">
        <f t="shared" si="26"/>
        <v>66.19718309859155</v>
      </c>
      <c r="M22" s="71">
        <f t="shared" si="16"/>
        <v>23.700000000000003</v>
      </c>
      <c r="N22" s="71">
        <f t="shared" si="17"/>
        <v>20</v>
      </c>
      <c r="O22" s="10">
        <f t="shared" si="1"/>
        <v>84.38818565400842</v>
      </c>
      <c r="P22" s="35">
        <v>5.6</v>
      </c>
      <c r="Q22" s="35">
        <v>3.3</v>
      </c>
      <c r="R22" s="10">
        <f t="shared" si="8"/>
        <v>58.92857142857143</v>
      </c>
      <c r="S22" s="35">
        <v>8.2</v>
      </c>
      <c r="T22" s="35">
        <v>14.1</v>
      </c>
      <c r="U22" s="10">
        <f t="shared" si="9"/>
        <v>171.95121951219514</v>
      </c>
      <c r="V22" s="35">
        <v>12.4</v>
      </c>
      <c r="W22" s="35">
        <v>11</v>
      </c>
      <c r="X22" s="103">
        <f t="shared" si="10"/>
        <v>88.70967741935483</v>
      </c>
      <c r="Y22" s="71">
        <f t="shared" si="18"/>
        <v>26.2</v>
      </c>
      <c r="Z22" s="71">
        <f t="shared" si="19"/>
        <v>28.4</v>
      </c>
      <c r="AA22" s="10">
        <f t="shared" si="2"/>
        <v>108.3969465648855</v>
      </c>
      <c r="AB22" s="35">
        <v>0.6</v>
      </c>
      <c r="AC22" s="35">
        <v>6.6</v>
      </c>
      <c r="AD22" s="10">
        <f t="shared" si="3"/>
        <v>1100</v>
      </c>
      <c r="AE22" s="35">
        <v>16.2</v>
      </c>
      <c r="AF22" s="35">
        <v>7.7</v>
      </c>
      <c r="AG22" s="10">
        <f t="shared" si="4"/>
        <v>47.53086419753087</v>
      </c>
      <c r="AH22" s="35">
        <v>10.3</v>
      </c>
      <c r="AI22" s="35">
        <v>11.1</v>
      </c>
      <c r="AJ22" s="71">
        <f t="shared" si="20"/>
        <v>27.1</v>
      </c>
      <c r="AK22" s="71">
        <f t="shared" si="21"/>
        <v>25.4</v>
      </c>
      <c r="AL22" s="10">
        <f t="shared" si="11"/>
        <v>93.72693726937268</v>
      </c>
      <c r="AM22" s="35"/>
      <c r="AN22" s="35"/>
      <c r="AO22" s="35"/>
      <c r="AP22" s="35"/>
      <c r="AQ22" s="35"/>
      <c r="AR22" s="35"/>
      <c r="AS22" s="58">
        <f t="shared" si="22"/>
        <v>77</v>
      </c>
      <c r="AT22" s="58">
        <f t="shared" si="23"/>
        <v>73.8</v>
      </c>
      <c r="AU22" s="10">
        <f t="shared" si="5"/>
        <v>95.84415584415584</v>
      </c>
      <c r="AV22" s="58">
        <f t="shared" si="24"/>
        <v>3.200000000000003</v>
      </c>
      <c r="AW22" s="16">
        <f t="shared" si="12"/>
        <v>10.5</v>
      </c>
      <c r="AX22" s="20">
        <f t="shared" si="13"/>
        <v>77</v>
      </c>
      <c r="AY22" s="20">
        <f t="shared" si="14"/>
        <v>73.8</v>
      </c>
      <c r="AZ22" s="39">
        <f t="shared" si="15"/>
        <v>10.5</v>
      </c>
    </row>
    <row r="23" spans="1:52" ht="34.5" customHeight="1">
      <c r="A23" s="56">
        <v>16</v>
      </c>
      <c r="B23" s="61" t="s">
        <v>90</v>
      </c>
      <c r="C23" s="84">
        <v>1.6</v>
      </c>
      <c r="D23" s="35">
        <v>1.7</v>
      </c>
      <c r="E23" s="35">
        <v>1.4</v>
      </c>
      <c r="F23" s="10">
        <v>584.2</v>
      </c>
      <c r="G23" s="35">
        <v>1.8</v>
      </c>
      <c r="H23" s="35">
        <v>1.9</v>
      </c>
      <c r="I23" s="10">
        <f t="shared" si="6"/>
        <v>105.55555555555556</v>
      </c>
      <c r="J23" s="35">
        <v>1.8</v>
      </c>
      <c r="K23" s="35">
        <v>0</v>
      </c>
      <c r="L23" s="10">
        <f t="shared" si="26"/>
        <v>0</v>
      </c>
      <c r="M23" s="71">
        <f t="shared" si="16"/>
        <v>5.3</v>
      </c>
      <c r="N23" s="71">
        <f t="shared" si="17"/>
        <v>3.3</v>
      </c>
      <c r="O23" s="10">
        <f t="shared" si="1"/>
        <v>62.264150943396224</v>
      </c>
      <c r="P23" s="35">
        <v>1.8</v>
      </c>
      <c r="Q23" s="35">
        <v>3.6</v>
      </c>
      <c r="R23" s="10">
        <f t="shared" si="8"/>
        <v>200</v>
      </c>
      <c r="S23" s="35">
        <v>2.1</v>
      </c>
      <c r="T23" s="35">
        <v>1.8</v>
      </c>
      <c r="U23" s="10">
        <f t="shared" si="9"/>
        <v>85.71428571428571</v>
      </c>
      <c r="V23" s="35">
        <v>2.2</v>
      </c>
      <c r="W23" s="35">
        <v>2.1</v>
      </c>
      <c r="X23" s="10">
        <f t="shared" si="10"/>
        <v>95.45454545454545</v>
      </c>
      <c r="Y23" s="71">
        <f t="shared" si="18"/>
        <v>6.1000000000000005</v>
      </c>
      <c r="Z23" s="71">
        <f t="shared" si="19"/>
        <v>7.5</v>
      </c>
      <c r="AA23" s="10">
        <f t="shared" si="2"/>
        <v>122.95081967213113</v>
      </c>
      <c r="AB23" s="35">
        <v>2.3</v>
      </c>
      <c r="AC23" s="35">
        <v>2.2</v>
      </c>
      <c r="AD23" s="10">
        <f t="shared" si="3"/>
        <v>95.6521739130435</v>
      </c>
      <c r="AE23" s="35">
        <v>2.3</v>
      </c>
      <c r="AF23" s="35">
        <v>0</v>
      </c>
      <c r="AG23" s="10">
        <f t="shared" si="4"/>
        <v>0</v>
      </c>
      <c r="AH23" s="35">
        <v>2.4</v>
      </c>
      <c r="AI23" s="35">
        <v>4.6</v>
      </c>
      <c r="AJ23" s="71">
        <f t="shared" si="20"/>
        <v>7</v>
      </c>
      <c r="AK23" s="71">
        <f t="shared" si="21"/>
        <v>6.8</v>
      </c>
      <c r="AL23" s="10">
        <f t="shared" si="11"/>
        <v>97.14285714285714</v>
      </c>
      <c r="AM23" s="35"/>
      <c r="AN23" s="35"/>
      <c r="AO23" s="35"/>
      <c r="AP23" s="35"/>
      <c r="AQ23" s="35"/>
      <c r="AR23" s="35"/>
      <c r="AS23" s="58">
        <f t="shared" si="22"/>
        <v>18.4</v>
      </c>
      <c r="AT23" s="58">
        <f t="shared" si="23"/>
        <v>17.6</v>
      </c>
      <c r="AU23" s="10">
        <f t="shared" si="5"/>
        <v>95.6521739130435</v>
      </c>
      <c r="AV23" s="58">
        <f t="shared" si="24"/>
        <v>0.7999999999999972</v>
      </c>
      <c r="AW23" s="16">
        <f t="shared" si="12"/>
        <v>2.3999999999999986</v>
      </c>
      <c r="AX23" s="20">
        <f t="shared" si="13"/>
        <v>18.4</v>
      </c>
      <c r="AY23" s="20">
        <f t="shared" si="14"/>
        <v>17.6</v>
      </c>
      <c r="AZ23" s="39">
        <f t="shared" si="15"/>
        <v>2.3999999999999986</v>
      </c>
    </row>
    <row r="24" spans="1:52" ht="34.5" customHeight="1">
      <c r="A24" s="56">
        <v>17</v>
      </c>
      <c r="B24" s="61" t="s">
        <v>40</v>
      </c>
      <c r="C24" s="84">
        <v>72</v>
      </c>
      <c r="D24" s="35">
        <v>39.2</v>
      </c>
      <c r="E24" s="35">
        <v>38.2</v>
      </c>
      <c r="F24" s="10">
        <f t="shared" si="25"/>
        <v>97.44897959183673</v>
      </c>
      <c r="G24" s="35">
        <v>38.6</v>
      </c>
      <c r="H24" s="35">
        <v>33.7</v>
      </c>
      <c r="I24" s="10">
        <f t="shared" si="6"/>
        <v>87.30569948186529</v>
      </c>
      <c r="J24" s="35">
        <v>37</v>
      </c>
      <c r="K24" s="35">
        <v>39.3</v>
      </c>
      <c r="L24" s="10">
        <f t="shared" si="26"/>
        <v>106.21621621621622</v>
      </c>
      <c r="M24" s="71">
        <f t="shared" si="16"/>
        <v>114.80000000000001</v>
      </c>
      <c r="N24" s="71">
        <f t="shared" si="17"/>
        <v>111.2</v>
      </c>
      <c r="O24" s="10">
        <f t="shared" si="1"/>
        <v>96.86411149825783</v>
      </c>
      <c r="P24" s="35">
        <v>37.6</v>
      </c>
      <c r="Q24" s="35">
        <v>75.6</v>
      </c>
      <c r="R24" s="10">
        <f t="shared" si="8"/>
        <v>201.06382978723403</v>
      </c>
      <c r="S24" s="35">
        <v>58.2</v>
      </c>
      <c r="T24" s="35">
        <v>34.7</v>
      </c>
      <c r="U24" s="10">
        <f t="shared" si="9"/>
        <v>59.62199312714777</v>
      </c>
      <c r="V24" s="35">
        <v>73.1</v>
      </c>
      <c r="W24" s="35">
        <v>32.2</v>
      </c>
      <c r="X24" s="10">
        <f t="shared" si="10"/>
        <v>44.04924760601916</v>
      </c>
      <c r="Y24" s="71">
        <f t="shared" si="18"/>
        <v>168.9</v>
      </c>
      <c r="Z24" s="71">
        <f t="shared" si="19"/>
        <v>142.5</v>
      </c>
      <c r="AA24" s="10">
        <f t="shared" si="2"/>
        <v>84.36944937833037</v>
      </c>
      <c r="AB24" s="35">
        <v>66.5</v>
      </c>
      <c r="AC24" s="35">
        <v>28.9</v>
      </c>
      <c r="AD24" s="10">
        <f t="shared" si="3"/>
        <v>43.45864661654135</v>
      </c>
      <c r="AE24" s="35">
        <v>69.3</v>
      </c>
      <c r="AF24" s="35">
        <v>40</v>
      </c>
      <c r="AG24" s="10">
        <f t="shared" si="4"/>
        <v>57.720057720057724</v>
      </c>
      <c r="AH24" s="35">
        <v>63.3</v>
      </c>
      <c r="AI24" s="35">
        <v>168.9</v>
      </c>
      <c r="AJ24" s="71">
        <f t="shared" si="20"/>
        <v>199.10000000000002</v>
      </c>
      <c r="AK24" s="71">
        <f t="shared" si="21"/>
        <v>237.8</v>
      </c>
      <c r="AL24" s="10">
        <f t="shared" si="11"/>
        <v>119.43746860873932</v>
      </c>
      <c r="AM24" s="35"/>
      <c r="AN24" s="35"/>
      <c r="AO24" s="35"/>
      <c r="AP24" s="35"/>
      <c r="AQ24" s="35"/>
      <c r="AR24" s="35"/>
      <c r="AS24" s="58">
        <f t="shared" si="22"/>
        <v>482.80000000000007</v>
      </c>
      <c r="AT24" s="58">
        <f t="shared" si="23"/>
        <v>491.5</v>
      </c>
      <c r="AU24" s="10">
        <f t="shared" si="5"/>
        <v>101.80198840099419</v>
      </c>
      <c r="AV24" s="58">
        <f t="shared" si="24"/>
        <v>-8.699999999999932</v>
      </c>
      <c r="AW24" s="16">
        <f t="shared" si="12"/>
        <v>63.30000000000007</v>
      </c>
      <c r="AX24" s="20">
        <f t="shared" si="13"/>
        <v>482.80000000000007</v>
      </c>
      <c r="AY24" s="20">
        <f t="shared" si="14"/>
        <v>491.5</v>
      </c>
      <c r="AZ24" s="39">
        <f t="shared" si="15"/>
        <v>63.30000000000007</v>
      </c>
    </row>
    <row r="25" spans="1:52" ht="34.5" customHeight="1">
      <c r="A25" s="56">
        <v>18</v>
      </c>
      <c r="B25" s="57" t="s">
        <v>43</v>
      </c>
      <c r="C25" s="84">
        <v>12.3</v>
      </c>
      <c r="D25" s="35">
        <v>13.6</v>
      </c>
      <c r="E25" s="35">
        <v>12.3</v>
      </c>
      <c r="F25" s="10">
        <f t="shared" si="25"/>
        <v>90.44117647058825</v>
      </c>
      <c r="G25" s="35">
        <v>14.4</v>
      </c>
      <c r="H25" s="35">
        <v>13.6</v>
      </c>
      <c r="I25" s="10">
        <f t="shared" si="6"/>
        <v>94.44444444444444</v>
      </c>
      <c r="J25" s="35">
        <v>16.8</v>
      </c>
      <c r="K25" s="35">
        <v>6.2</v>
      </c>
      <c r="L25" s="10">
        <f t="shared" si="26"/>
        <v>36.904761904761905</v>
      </c>
      <c r="M25" s="71">
        <f t="shared" si="16"/>
        <v>44.8</v>
      </c>
      <c r="N25" s="71">
        <f t="shared" si="17"/>
        <v>32.1</v>
      </c>
      <c r="O25" s="10">
        <f t="shared" si="1"/>
        <v>71.65178571428572</v>
      </c>
      <c r="P25" s="35">
        <v>11.9</v>
      </c>
      <c r="Q25" s="35">
        <v>25.1</v>
      </c>
      <c r="R25" s="10">
        <f t="shared" si="8"/>
        <v>210.92436974789916</v>
      </c>
      <c r="S25" s="35">
        <v>15.6</v>
      </c>
      <c r="T25" s="35">
        <v>11.9</v>
      </c>
      <c r="U25" s="10">
        <f t="shared" si="9"/>
        <v>76.28205128205128</v>
      </c>
      <c r="V25" s="35">
        <v>15.6</v>
      </c>
      <c r="W25" s="35">
        <v>11.9</v>
      </c>
      <c r="X25" s="10">
        <f t="shared" si="10"/>
        <v>76.28205128205128</v>
      </c>
      <c r="Y25" s="71">
        <f t="shared" si="18"/>
        <v>43.1</v>
      </c>
      <c r="Z25" s="71">
        <f t="shared" si="19"/>
        <v>48.9</v>
      </c>
      <c r="AA25" s="10">
        <f t="shared" si="2"/>
        <v>113.4570765661253</v>
      </c>
      <c r="AB25" s="35">
        <v>21.5</v>
      </c>
      <c r="AC25" s="35">
        <v>14.7</v>
      </c>
      <c r="AD25" s="10">
        <f t="shared" si="3"/>
        <v>68.37209302325581</v>
      </c>
      <c r="AE25" s="35">
        <v>19</v>
      </c>
      <c r="AF25" s="35">
        <v>0</v>
      </c>
      <c r="AG25" s="10">
        <f t="shared" si="4"/>
        <v>0</v>
      </c>
      <c r="AH25" s="35">
        <v>17.8</v>
      </c>
      <c r="AI25" s="35">
        <v>40.5</v>
      </c>
      <c r="AJ25" s="71">
        <f t="shared" si="20"/>
        <v>58.3</v>
      </c>
      <c r="AK25" s="71">
        <f t="shared" si="21"/>
        <v>55.2</v>
      </c>
      <c r="AL25" s="10">
        <f t="shared" si="11"/>
        <v>94.68267581475129</v>
      </c>
      <c r="AM25" s="35"/>
      <c r="AN25" s="35"/>
      <c r="AO25" s="35"/>
      <c r="AP25" s="35"/>
      <c r="AQ25" s="35"/>
      <c r="AR25" s="35"/>
      <c r="AS25" s="58">
        <f t="shared" si="22"/>
        <v>146.2</v>
      </c>
      <c r="AT25" s="58">
        <f t="shared" si="23"/>
        <v>136.2</v>
      </c>
      <c r="AU25" s="10">
        <f t="shared" si="5"/>
        <v>93.16005471956224</v>
      </c>
      <c r="AV25" s="58">
        <f t="shared" si="24"/>
        <v>10</v>
      </c>
      <c r="AW25" s="16">
        <f t="shared" si="12"/>
        <v>22.30000000000001</v>
      </c>
      <c r="AX25" s="20">
        <f t="shared" si="13"/>
        <v>146.20000000000002</v>
      </c>
      <c r="AY25" s="20">
        <f t="shared" si="14"/>
        <v>136.2</v>
      </c>
      <c r="AZ25" s="39">
        <f t="shared" si="15"/>
        <v>22.30000000000004</v>
      </c>
    </row>
    <row r="26" spans="1:52" ht="34.5" customHeight="1">
      <c r="A26" s="56">
        <v>19</v>
      </c>
      <c r="B26" s="61" t="s">
        <v>91</v>
      </c>
      <c r="C26" s="84">
        <v>3.1</v>
      </c>
      <c r="D26" s="35">
        <v>4.3</v>
      </c>
      <c r="E26" s="35">
        <v>3.1</v>
      </c>
      <c r="F26" s="10">
        <f t="shared" si="25"/>
        <v>72.09302325581396</v>
      </c>
      <c r="G26" s="35">
        <v>4.3</v>
      </c>
      <c r="H26" s="35">
        <v>4.3</v>
      </c>
      <c r="I26" s="10">
        <f t="shared" si="6"/>
        <v>100</v>
      </c>
      <c r="J26" s="35">
        <v>4.5</v>
      </c>
      <c r="K26" s="35">
        <v>3.7</v>
      </c>
      <c r="L26" s="10">
        <f t="shared" si="26"/>
        <v>82.22222222222223</v>
      </c>
      <c r="M26" s="71">
        <f t="shared" si="16"/>
        <v>13.1</v>
      </c>
      <c r="N26" s="71">
        <f t="shared" si="17"/>
        <v>11.100000000000001</v>
      </c>
      <c r="O26" s="10">
        <f t="shared" si="1"/>
        <v>84.73282442748092</v>
      </c>
      <c r="P26" s="35">
        <v>4.7</v>
      </c>
      <c r="Q26" s="35">
        <v>5.1</v>
      </c>
      <c r="R26" s="10">
        <f t="shared" si="8"/>
        <v>108.51063829787233</v>
      </c>
      <c r="S26" s="35">
        <v>4.9</v>
      </c>
      <c r="T26" s="35">
        <v>4.8</v>
      </c>
      <c r="U26" s="10">
        <f t="shared" si="9"/>
        <v>97.95918367346937</v>
      </c>
      <c r="V26" s="35">
        <v>5.2</v>
      </c>
      <c r="W26" s="35">
        <v>4.8</v>
      </c>
      <c r="X26" s="10">
        <f t="shared" si="10"/>
        <v>92.3076923076923</v>
      </c>
      <c r="Y26" s="71">
        <f t="shared" si="18"/>
        <v>14.8</v>
      </c>
      <c r="Z26" s="71">
        <f t="shared" si="19"/>
        <v>14.7</v>
      </c>
      <c r="AA26" s="10">
        <f t="shared" si="2"/>
        <v>99.32432432432432</v>
      </c>
      <c r="AB26" s="35">
        <v>5.7</v>
      </c>
      <c r="AC26" s="35">
        <v>5.2</v>
      </c>
      <c r="AD26" s="10">
        <f t="shared" si="3"/>
        <v>91.22807017543859</v>
      </c>
      <c r="AE26" s="35">
        <v>4.7</v>
      </c>
      <c r="AF26" s="35">
        <v>0</v>
      </c>
      <c r="AG26" s="10">
        <f t="shared" si="4"/>
        <v>0</v>
      </c>
      <c r="AH26" s="35">
        <v>6</v>
      </c>
      <c r="AI26" s="35">
        <v>10.6</v>
      </c>
      <c r="AJ26" s="71">
        <f t="shared" si="20"/>
        <v>16.4</v>
      </c>
      <c r="AK26" s="71">
        <f t="shared" si="21"/>
        <v>15.8</v>
      </c>
      <c r="AL26" s="10">
        <f t="shared" si="11"/>
        <v>96.34146341463415</v>
      </c>
      <c r="AM26" s="35"/>
      <c r="AN26" s="35"/>
      <c r="AO26" s="35"/>
      <c r="AP26" s="35"/>
      <c r="AQ26" s="35"/>
      <c r="AR26" s="35"/>
      <c r="AS26" s="58">
        <f t="shared" si="22"/>
        <v>44.3</v>
      </c>
      <c r="AT26" s="58">
        <f t="shared" si="23"/>
        <v>41.6</v>
      </c>
      <c r="AU26" s="10">
        <f t="shared" si="5"/>
        <v>93.90519187358917</v>
      </c>
      <c r="AV26" s="58">
        <f t="shared" si="24"/>
        <v>2.6999999999999957</v>
      </c>
      <c r="AW26" s="16">
        <f t="shared" si="12"/>
        <v>5.799999999999997</v>
      </c>
      <c r="AX26" s="20">
        <f t="shared" si="13"/>
        <v>44.300000000000004</v>
      </c>
      <c r="AY26" s="20">
        <f t="shared" si="14"/>
        <v>41.6</v>
      </c>
      <c r="AZ26" s="39">
        <f t="shared" si="15"/>
        <v>5.800000000000004</v>
      </c>
    </row>
    <row r="27" spans="1:52" ht="34.5" customHeight="1">
      <c r="A27" s="56">
        <v>20</v>
      </c>
      <c r="B27" s="61" t="s">
        <v>59</v>
      </c>
      <c r="C27" s="84">
        <v>19</v>
      </c>
      <c r="D27" s="35">
        <v>22.4</v>
      </c>
      <c r="E27" s="35">
        <v>19</v>
      </c>
      <c r="F27" s="10">
        <f t="shared" si="25"/>
        <v>84.82142857142858</v>
      </c>
      <c r="G27" s="35">
        <v>13.5</v>
      </c>
      <c r="H27" s="35">
        <v>22.4</v>
      </c>
      <c r="I27" s="10">
        <f t="shared" si="6"/>
        <v>165.92592592592592</v>
      </c>
      <c r="J27" s="35">
        <v>18.5</v>
      </c>
      <c r="K27" s="35">
        <v>13.5</v>
      </c>
      <c r="L27" s="10">
        <f t="shared" si="26"/>
        <v>72.97297297297297</v>
      </c>
      <c r="M27" s="71">
        <f t="shared" si="16"/>
        <v>54.4</v>
      </c>
      <c r="N27" s="71">
        <f t="shared" si="17"/>
        <v>54.9</v>
      </c>
      <c r="O27" s="10">
        <f t="shared" si="1"/>
        <v>100.91911764705883</v>
      </c>
      <c r="P27" s="35">
        <v>19</v>
      </c>
      <c r="Q27" s="35">
        <v>18.5</v>
      </c>
      <c r="R27" s="10">
        <f t="shared" si="8"/>
        <v>97.36842105263158</v>
      </c>
      <c r="S27" s="35">
        <v>17.8</v>
      </c>
      <c r="T27" s="35">
        <v>19</v>
      </c>
      <c r="U27" s="10">
        <f t="shared" si="9"/>
        <v>106.74157303370787</v>
      </c>
      <c r="V27" s="35">
        <v>19.6</v>
      </c>
      <c r="W27" s="35">
        <v>17.8</v>
      </c>
      <c r="X27" s="10">
        <f t="shared" si="10"/>
        <v>90.81632653061224</v>
      </c>
      <c r="Y27" s="71">
        <f t="shared" si="18"/>
        <v>56.4</v>
      </c>
      <c r="Z27" s="71">
        <f t="shared" si="19"/>
        <v>55.3</v>
      </c>
      <c r="AA27" s="10">
        <f t="shared" si="2"/>
        <v>98.04964539007092</v>
      </c>
      <c r="AB27" s="35">
        <v>20.8</v>
      </c>
      <c r="AC27" s="35">
        <v>19.6</v>
      </c>
      <c r="AD27" s="10">
        <f t="shared" si="3"/>
        <v>94.23076923076923</v>
      </c>
      <c r="AE27" s="35">
        <v>22</v>
      </c>
      <c r="AF27" s="35">
        <v>0</v>
      </c>
      <c r="AG27" s="10">
        <f t="shared" si="4"/>
        <v>0</v>
      </c>
      <c r="AH27" s="35">
        <v>23.4</v>
      </c>
      <c r="AI27" s="35">
        <v>45.4</v>
      </c>
      <c r="AJ27" s="71">
        <f t="shared" si="20"/>
        <v>66.19999999999999</v>
      </c>
      <c r="AK27" s="71">
        <f t="shared" si="21"/>
        <v>65</v>
      </c>
      <c r="AL27" s="10">
        <f t="shared" si="11"/>
        <v>98.18731117824775</v>
      </c>
      <c r="AM27" s="35"/>
      <c r="AN27" s="35"/>
      <c r="AO27" s="35"/>
      <c r="AP27" s="35"/>
      <c r="AQ27" s="35"/>
      <c r="AR27" s="35"/>
      <c r="AS27" s="58">
        <f t="shared" si="22"/>
        <v>177</v>
      </c>
      <c r="AT27" s="58">
        <f t="shared" si="23"/>
        <v>175.2</v>
      </c>
      <c r="AU27" s="10">
        <f t="shared" si="5"/>
        <v>98.98305084745762</v>
      </c>
      <c r="AV27" s="58">
        <f t="shared" si="24"/>
        <v>1.8000000000000114</v>
      </c>
      <c r="AW27" s="16">
        <f t="shared" si="12"/>
        <v>20.80000000000001</v>
      </c>
      <c r="AX27" s="20">
        <f t="shared" si="13"/>
        <v>177</v>
      </c>
      <c r="AY27" s="20">
        <f t="shared" si="14"/>
        <v>175.2</v>
      </c>
      <c r="AZ27" s="39">
        <f t="shared" si="15"/>
        <v>20.80000000000001</v>
      </c>
    </row>
    <row r="28" spans="1:52" ht="34.5" customHeight="1">
      <c r="A28" s="56">
        <v>21</v>
      </c>
      <c r="B28" s="113" t="s">
        <v>92</v>
      </c>
      <c r="C28" s="84">
        <v>21.5</v>
      </c>
      <c r="D28" s="35">
        <v>9.8</v>
      </c>
      <c r="E28" s="35">
        <v>9.8</v>
      </c>
      <c r="F28" s="10">
        <f t="shared" si="25"/>
        <v>100</v>
      </c>
      <c r="G28" s="35">
        <v>9.2</v>
      </c>
      <c r="H28" s="35">
        <v>4.7</v>
      </c>
      <c r="I28" s="10">
        <f t="shared" si="6"/>
        <v>51.08695652173913</v>
      </c>
      <c r="J28" s="35">
        <v>9.2</v>
      </c>
      <c r="K28" s="35">
        <v>16.8</v>
      </c>
      <c r="L28" s="10">
        <f t="shared" si="26"/>
        <v>182.60869565217394</v>
      </c>
      <c r="M28" s="71">
        <f t="shared" si="16"/>
        <v>28.2</v>
      </c>
      <c r="N28" s="71">
        <f t="shared" si="17"/>
        <v>31.3</v>
      </c>
      <c r="O28" s="10">
        <f t="shared" si="1"/>
        <v>110.99290780141844</v>
      </c>
      <c r="P28" s="35">
        <v>9.4</v>
      </c>
      <c r="Q28" s="35">
        <v>18.4</v>
      </c>
      <c r="R28" s="10">
        <f t="shared" si="8"/>
        <v>195.7446808510638</v>
      </c>
      <c r="S28" s="35">
        <v>9.8</v>
      </c>
      <c r="T28" s="35">
        <v>1</v>
      </c>
      <c r="U28" s="10">
        <f t="shared" si="9"/>
        <v>10.20408163265306</v>
      </c>
      <c r="V28" s="35">
        <v>9.9</v>
      </c>
      <c r="W28" s="35">
        <v>9.4</v>
      </c>
      <c r="X28" s="10">
        <f t="shared" si="10"/>
        <v>94.94949494949495</v>
      </c>
      <c r="Y28" s="71">
        <f t="shared" si="18"/>
        <v>29.1</v>
      </c>
      <c r="Z28" s="71">
        <f t="shared" si="19"/>
        <v>28.799999999999997</v>
      </c>
      <c r="AA28" s="10">
        <f t="shared" si="2"/>
        <v>98.96907216494843</v>
      </c>
      <c r="AB28" s="35">
        <v>10.2</v>
      </c>
      <c r="AC28" s="35">
        <v>9.8</v>
      </c>
      <c r="AD28" s="10">
        <f t="shared" si="3"/>
        <v>96.07843137254903</v>
      </c>
      <c r="AE28" s="35">
        <v>9.9</v>
      </c>
      <c r="AF28" s="79">
        <v>0</v>
      </c>
      <c r="AG28" s="10">
        <f t="shared" si="4"/>
        <v>0</v>
      </c>
      <c r="AH28" s="35">
        <v>9.7</v>
      </c>
      <c r="AI28" s="79">
        <v>19.1</v>
      </c>
      <c r="AJ28" s="71">
        <f t="shared" si="20"/>
        <v>29.8</v>
      </c>
      <c r="AK28" s="71">
        <f t="shared" si="21"/>
        <v>28.900000000000002</v>
      </c>
      <c r="AL28" s="10">
        <f t="shared" si="11"/>
        <v>96.97986577181209</v>
      </c>
      <c r="AM28" s="35"/>
      <c r="AN28" s="79"/>
      <c r="AO28" s="35"/>
      <c r="AP28" s="79"/>
      <c r="AQ28" s="35"/>
      <c r="AR28" s="79"/>
      <c r="AS28" s="58">
        <f t="shared" si="22"/>
        <v>87.1</v>
      </c>
      <c r="AT28" s="58">
        <f t="shared" si="23"/>
        <v>89</v>
      </c>
      <c r="AU28" s="10">
        <f t="shared" si="5"/>
        <v>102.18140068886339</v>
      </c>
      <c r="AV28" s="58">
        <f t="shared" si="24"/>
        <v>-1.9000000000000057</v>
      </c>
      <c r="AW28" s="16">
        <f t="shared" si="12"/>
        <v>19.599999999999994</v>
      </c>
      <c r="AX28" s="20">
        <f t="shared" si="13"/>
        <v>87.10000000000001</v>
      </c>
      <c r="AY28" s="20">
        <f t="shared" si="14"/>
        <v>89</v>
      </c>
      <c r="AZ28" s="39">
        <f t="shared" si="15"/>
        <v>19.60000000000001</v>
      </c>
    </row>
    <row r="29" spans="1:52" ht="34.5" customHeight="1">
      <c r="A29" s="56">
        <v>22</v>
      </c>
      <c r="B29" s="57" t="s">
        <v>2</v>
      </c>
      <c r="C29" s="53"/>
      <c r="D29" s="53"/>
      <c r="E29" s="53"/>
      <c r="F29" s="53"/>
      <c r="G29" s="53"/>
      <c r="H29" s="53"/>
      <c r="I29" s="85" t="e">
        <f t="shared" si="6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8"/>
        <v>#DIV/0!</v>
      </c>
      <c r="S29" s="53"/>
      <c r="T29" s="53"/>
      <c r="U29" s="85" t="e">
        <f t="shared" si="9"/>
        <v>#DIV/0!</v>
      </c>
      <c r="V29" s="53"/>
      <c r="W29" s="53"/>
      <c r="X29" s="53"/>
      <c r="Y29" s="71"/>
      <c r="Z29" s="71"/>
      <c r="AA29" s="10"/>
      <c r="AB29" s="53"/>
      <c r="AC29" s="53"/>
      <c r="AD29" s="85" t="e">
        <f t="shared" si="3"/>
        <v>#DIV/0!</v>
      </c>
      <c r="AE29" s="53"/>
      <c r="AF29" s="53"/>
      <c r="AG29" s="85" t="e">
        <f t="shared" si="4"/>
        <v>#DIV/0!</v>
      </c>
      <c r="AH29" s="53"/>
      <c r="AI29" s="53"/>
      <c r="AJ29" s="71">
        <f t="shared" si="20"/>
        <v>0</v>
      </c>
      <c r="AK29" s="71">
        <f t="shared" si="21"/>
        <v>0</v>
      </c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58"/>
      <c r="AW29" s="86"/>
      <c r="AX29" s="20">
        <f t="shared" si="13"/>
        <v>0</v>
      </c>
      <c r="AY29" s="20">
        <f t="shared" si="14"/>
        <v>0</v>
      </c>
      <c r="AZ29" s="39">
        <f t="shared" si="15"/>
        <v>0</v>
      </c>
    </row>
    <row r="30" spans="1:52" ht="34.5" customHeight="1">
      <c r="A30" s="56">
        <v>23</v>
      </c>
      <c r="B30" s="61" t="s">
        <v>39</v>
      </c>
      <c r="C30" s="84">
        <v>3</v>
      </c>
      <c r="D30" s="35">
        <v>4.3</v>
      </c>
      <c r="E30" s="35">
        <v>3</v>
      </c>
      <c r="F30" s="10">
        <f t="shared" si="25"/>
        <v>69.76744186046511</v>
      </c>
      <c r="G30" s="35">
        <v>5.3</v>
      </c>
      <c r="H30" s="35">
        <v>4.3</v>
      </c>
      <c r="I30" s="10">
        <f t="shared" si="6"/>
        <v>81.13207547169812</v>
      </c>
      <c r="J30" s="35">
        <v>4.9</v>
      </c>
      <c r="K30" s="35">
        <v>1.9</v>
      </c>
      <c r="L30" s="60">
        <f aca="true" t="shared" si="27" ref="L30:L45">K30/J30*100</f>
        <v>38.77551020408163</v>
      </c>
      <c r="M30" s="71">
        <f t="shared" si="16"/>
        <v>14.5</v>
      </c>
      <c r="N30" s="71">
        <f t="shared" si="17"/>
        <v>9.2</v>
      </c>
      <c r="O30" s="10">
        <f t="shared" si="1"/>
        <v>63.44827586206896</v>
      </c>
      <c r="P30" s="35">
        <v>4.8</v>
      </c>
      <c r="Q30" s="35">
        <v>0</v>
      </c>
      <c r="R30" s="10">
        <f t="shared" si="8"/>
        <v>0</v>
      </c>
      <c r="S30" s="35">
        <v>5.3</v>
      </c>
      <c r="T30" s="35">
        <v>0</v>
      </c>
      <c r="U30" s="10">
        <f t="shared" si="9"/>
        <v>0</v>
      </c>
      <c r="V30" s="35">
        <v>4.9</v>
      </c>
      <c r="W30" s="35">
        <v>13.1</v>
      </c>
      <c r="X30" s="103">
        <f aca="true" t="shared" si="28" ref="X30:X45">W30/V30*100</f>
        <v>267.3469387755102</v>
      </c>
      <c r="Y30" s="71">
        <f aca="true" t="shared" si="29" ref="Y30:Y42">P30+S30+V30</f>
        <v>15</v>
      </c>
      <c r="Z30" s="71">
        <f aca="true" t="shared" si="30" ref="Z30:Z42">Q30+T30+W30</f>
        <v>13.1</v>
      </c>
      <c r="AA30" s="10">
        <f aca="true" t="shared" si="31" ref="AA30:AA45">Z30/Y30*100</f>
        <v>87.33333333333333</v>
      </c>
      <c r="AB30" s="35">
        <v>5.3</v>
      </c>
      <c r="AC30" s="35">
        <v>10.2</v>
      </c>
      <c r="AD30" s="10">
        <f t="shared" si="3"/>
        <v>192.45283018867926</v>
      </c>
      <c r="AE30" s="35">
        <v>4</v>
      </c>
      <c r="AF30" s="35">
        <v>0</v>
      </c>
      <c r="AG30" s="10">
        <f t="shared" si="4"/>
        <v>0</v>
      </c>
      <c r="AH30" s="35">
        <v>6.3</v>
      </c>
      <c r="AI30" s="35">
        <v>9.4</v>
      </c>
      <c r="AJ30" s="71">
        <f t="shared" si="20"/>
        <v>15.600000000000001</v>
      </c>
      <c r="AK30" s="71">
        <f t="shared" si="21"/>
        <v>19.6</v>
      </c>
      <c r="AL30" s="10">
        <f aca="true" t="shared" si="32" ref="AL30:AL45">AK30/AJ30*100</f>
        <v>125.64102564102564</v>
      </c>
      <c r="AM30" s="35"/>
      <c r="AN30" s="35"/>
      <c r="AO30" s="35"/>
      <c r="AP30" s="35"/>
      <c r="AQ30" s="35"/>
      <c r="AR30" s="35"/>
      <c r="AS30" s="58">
        <f t="shared" si="22"/>
        <v>45.1</v>
      </c>
      <c r="AT30" s="58">
        <f t="shared" si="23"/>
        <v>41.9</v>
      </c>
      <c r="AU30" s="10">
        <f t="shared" si="5"/>
        <v>92.90465631929045</v>
      </c>
      <c r="AV30" s="58">
        <f t="shared" si="24"/>
        <v>3.200000000000003</v>
      </c>
      <c r="AW30" s="16">
        <f aca="true" t="shared" si="33" ref="AW30:AW41">C30+AS30-AT30</f>
        <v>6.200000000000003</v>
      </c>
      <c r="AX30" s="20">
        <f t="shared" si="13"/>
        <v>45.099999999999994</v>
      </c>
      <c r="AY30" s="20">
        <f t="shared" si="14"/>
        <v>41.9</v>
      </c>
      <c r="AZ30" s="39">
        <f t="shared" si="15"/>
        <v>6.199999999999996</v>
      </c>
    </row>
    <row r="31" spans="1:52" ht="34.5" customHeight="1">
      <c r="A31" s="56">
        <v>24</v>
      </c>
      <c r="B31" s="61" t="s">
        <v>3</v>
      </c>
      <c r="C31" s="84">
        <v>8.5</v>
      </c>
      <c r="D31" s="35">
        <v>6.7</v>
      </c>
      <c r="E31" s="35">
        <v>8.6</v>
      </c>
      <c r="F31" s="10">
        <f t="shared" si="25"/>
        <v>128.3582089552239</v>
      </c>
      <c r="G31" s="35">
        <v>7.4</v>
      </c>
      <c r="H31" s="35">
        <v>0</v>
      </c>
      <c r="I31" s="10">
        <f t="shared" si="6"/>
        <v>0</v>
      </c>
      <c r="J31" s="35">
        <v>7.7</v>
      </c>
      <c r="K31" s="35">
        <v>6.7</v>
      </c>
      <c r="L31" s="10">
        <f t="shared" si="27"/>
        <v>87.01298701298701</v>
      </c>
      <c r="M31" s="71">
        <f t="shared" si="16"/>
        <v>21.8</v>
      </c>
      <c r="N31" s="71">
        <f t="shared" si="17"/>
        <v>15.3</v>
      </c>
      <c r="O31" s="10">
        <f t="shared" si="1"/>
        <v>70.18348623853211</v>
      </c>
      <c r="P31" s="35">
        <v>5.5</v>
      </c>
      <c r="Q31" s="35">
        <v>15.1</v>
      </c>
      <c r="R31" s="10">
        <f t="shared" si="8"/>
        <v>274.54545454545456</v>
      </c>
      <c r="S31" s="35">
        <v>7.6</v>
      </c>
      <c r="T31" s="35"/>
      <c r="U31" s="10">
        <f t="shared" si="9"/>
        <v>0</v>
      </c>
      <c r="V31" s="35">
        <v>10.1</v>
      </c>
      <c r="W31" s="35">
        <v>15.1</v>
      </c>
      <c r="X31" s="10">
        <f t="shared" si="28"/>
        <v>149.5049504950495</v>
      </c>
      <c r="Y31" s="71">
        <f t="shared" si="29"/>
        <v>23.2</v>
      </c>
      <c r="Z31" s="71">
        <f t="shared" si="30"/>
        <v>30.2</v>
      </c>
      <c r="AA31" s="10">
        <f t="shared" si="31"/>
        <v>130.17241379310346</v>
      </c>
      <c r="AB31" s="35">
        <v>11</v>
      </c>
      <c r="AC31" s="35">
        <v>10.1</v>
      </c>
      <c r="AD31" s="10">
        <f t="shared" si="3"/>
        <v>91.81818181818181</v>
      </c>
      <c r="AE31" s="35">
        <v>10.5</v>
      </c>
      <c r="AF31" s="35">
        <v>0</v>
      </c>
      <c r="AG31" s="10">
        <f t="shared" si="4"/>
        <v>0</v>
      </c>
      <c r="AH31" s="35">
        <v>10.4</v>
      </c>
      <c r="AI31" s="35">
        <v>19.4</v>
      </c>
      <c r="AJ31" s="71">
        <f t="shared" si="20"/>
        <v>31.9</v>
      </c>
      <c r="AK31" s="71">
        <f t="shared" si="21"/>
        <v>29.5</v>
      </c>
      <c r="AL31" s="10">
        <f t="shared" si="32"/>
        <v>92.47648902821317</v>
      </c>
      <c r="AM31" s="35"/>
      <c r="AN31" s="35"/>
      <c r="AO31" s="35"/>
      <c r="AP31" s="35"/>
      <c r="AQ31" s="35"/>
      <c r="AR31" s="35"/>
      <c r="AS31" s="58">
        <f t="shared" si="22"/>
        <v>76.9</v>
      </c>
      <c r="AT31" s="58">
        <f t="shared" si="23"/>
        <v>75</v>
      </c>
      <c r="AU31" s="10">
        <f t="shared" si="5"/>
        <v>97.52925877763329</v>
      </c>
      <c r="AV31" s="58">
        <f t="shared" si="24"/>
        <v>1.9000000000000057</v>
      </c>
      <c r="AW31" s="16">
        <f t="shared" si="33"/>
        <v>10.400000000000006</v>
      </c>
      <c r="AX31" s="20">
        <f t="shared" si="13"/>
        <v>76.9</v>
      </c>
      <c r="AY31" s="20">
        <f t="shared" si="14"/>
        <v>75</v>
      </c>
      <c r="AZ31" s="39">
        <f t="shared" si="15"/>
        <v>10.400000000000006</v>
      </c>
    </row>
    <row r="32" spans="1:52" ht="34.5" customHeight="1">
      <c r="A32" s="56">
        <v>25</v>
      </c>
      <c r="B32" s="61" t="s">
        <v>93</v>
      </c>
      <c r="C32" s="67">
        <f>SUM(C33:C34)</f>
        <v>142.4</v>
      </c>
      <c r="D32" s="67">
        <f aca="true" t="shared" si="34" ref="D32:Y32">SUM(D33:D34)</f>
        <v>65</v>
      </c>
      <c r="E32" s="67">
        <f t="shared" si="34"/>
        <v>81.5</v>
      </c>
      <c r="F32" s="67">
        <f t="shared" si="34"/>
        <v>275.7236227824463</v>
      </c>
      <c r="G32" s="67">
        <f t="shared" si="34"/>
        <v>68.4</v>
      </c>
      <c r="H32" s="67">
        <f t="shared" si="34"/>
        <v>59</v>
      </c>
      <c r="I32" s="67">
        <f t="shared" si="34"/>
        <v>109.96609302028021</v>
      </c>
      <c r="J32" s="67">
        <f t="shared" si="34"/>
        <v>68.6</v>
      </c>
      <c r="K32" s="67">
        <f t="shared" si="34"/>
        <v>30.200000000000003</v>
      </c>
      <c r="L32" s="67">
        <f t="shared" si="34"/>
        <v>125.78849721706865</v>
      </c>
      <c r="M32" s="67">
        <f t="shared" si="34"/>
        <v>202</v>
      </c>
      <c r="N32" s="67">
        <f t="shared" si="34"/>
        <v>170.7</v>
      </c>
      <c r="O32" s="10">
        <f t="shared" si="1"/>
        <v>84.5049504950495</v>
      </c>
      <c r="P32" s="67">
        <f t="shared" si="34"/>
        <v>68</v>
      </c>
      <c r="Q32" s="67">
        <f t="shared" si="34"/>
        <v>73.3</v>
      </c>
      <c r="R32" s="67">
        <f t="shared" si="34"/>
        <v>217.10822556154773</v>
      </c>
      <c r="S32" s="67">
        <f t="shared" si="34"/>
        <v>103.9</v>
      </c>
      <c r="T32" s="67">
        <f t="shared" si="34"/>
        <v>82.3</v>
      </c>
      <c r="U32" s="67">
        <f t="shared" si="34"/>
        <v>177.03134698944754</v>
      </c>
      <c r="V32" s="67">
        <f t="shared" si="34"/>
        <v>95.30000000000001</v>
      </c>
      <c r="W32" s="67">
        <f t="shared" si="34"/>
        <v>14.1</v>
      </c>
      <c r="X32" s="67">
        <f t="shared" si="34"/>
        <v>101.43884892086331</v>
      </c>
      <c r="Y32" s="67">
        <f t="shared" si="34"/>
        <v>267.20000000000005</v>
      </c>
      <c r="Z32" s="67">
        <f>SUM(Z33:Z34)</f>
        <v>169.7</v>
      </c>
      <c r="AA32" s="10">
        <f t="shared" si="31"/>
        <v>63.510479041916156</v>
      </c>
      <c r="AB32" s="67">
        <f>SUM(AB33:AB34)</f>
        <v>90.7</v>
      </c>
      <c r="AC32" s="67">
        <f>SUM(AC33:AC34)</f>
        <v>157.6</v>
      </c>
      <c r="AD32" s="10">
        <f t="shared" si="3"/>
        <v>173.75964718853362</v>
      </c>
      <c r="AE32" s="67">
        <f>SUM(AE33:AE34)</f>
        <v>82.2</v>
      </c>
      <c r="AF32" s="67">
        <f>SUM(AF33:AF34)</f>
        <v>0.1</v>
      </c>
      <c r="AG32" s="10">
        <f t="shared" si="4"/>
        <v>0.12165450121654502</v>
      </c>
      <c r="AH32" s="67">
        <f aca="true" t="shared" si="35" ref="AH32:AR32">SUM(AH33:AH34)</f>
        <v>83.9</v>
      </c>
      <c r="AI32" s="67">
        <f t="shared" si="35"/>
        <v>172.1</v>
      </c>
      <c r="AJ32" s="67">
        <f t="shared" si="35"/>
        <v>256.8</v>
      </c>
      <c r="AK32" s="67">
        <f t="shared" si="35"/>
        <v>329.8</v>
      </c>
      <c r="AL32" s="67">
        <f t="shared" si="35"/>
        <v>232.2552448491109</v>
      </c>
      <c r="AM32" s="67">
        <f t="shared" si="35"/>
        <v>0</v>
      </c>
      <c r="AN32" s="67">
        <f t="shared" si="35"/>
        <v>0</v>
      </c>
      <c r="AO32" s="67">
        <f t="shared" si="35"/>
        <v>0</v>
      </c>
      <c r="AP32" s="67">
        <f t="shared" si="35"/>
        <v>0</v>
      </c>
      <c r="AQ32" s="67">
        <f t="shared" si="35"/>
        <v>0</v>
      </c>
      <c r="AR32" s="67">
        <f t="shared" si="35"/>
        <v>0</v>
      </c>
      <c r="AS32" s="67">
        <f>SUM(AS33:AS34)</f>
        <v>726</v>
      </c>
      <c r="AT32" s="67">
        <f>SUM(AT33:AT34)</f>
        <v>670.1999999999999</v>
      </c>
      <c r="AU32" s="10">
        <f t="shared" si="5"/>
        <v>92.31404958677685</v>
      </c>
      <c r="AV32" s="67">
        <f>SUM(AV33:AV34)</f>
        <v>55.8000000000001</v>
      </c>
      <c r="AW32" s="67">
        <f>SUM(AW33:AW34)</f>
        <v>198.20000000000005</v>
      </c>
      <c r="AX32" s="20">
        <f t="shared" si="13"/>
        <v>726.0000000000001</v>
      </c>
      <c r="AY32" s="20">
        <f t="shared" si="14"/>
        <v>670.2</v>
      </c>
      <c r="AZ32" s="39">
        <f t="shared" si="15"/>
        <v>198.20000000000005</v>
      </c>
    </row>
    <row r="33" spans="1:52" ht="34.5" customHeight="1">
      <c r="A33" s="56"/>
      <c r="B33" s="61" t="s">
        <v>109</v>
      </c>
      <c r="C33" s="84">
        <v>115.8</v>
      </c>
      <c r="D33" s="35">
        <v>49.7</v>
      </c>
      <c r="E33" s="35">
        <v>56.8</v>
      </c>
      <c r="F33" s="10">
        <f t="shared" si="25"/>
        <v>114.28571428571428</v>
      </c>
      <c r="G33" s="35">
        <v>53.9</v>
      </c>
      <c r="H33" s="35">
        <v>58.9</v>
      </c>
      <c r="I33" s="10">
        <f t="shared" si="6"/>
        <v>109.27643784786642</v>
      </c>
      <c r="J33" s="35">
        <v>53.9</v>
      </c>
      <c r="K33" s="35">
        <v>16.1</v>
      </c>
      <c r="L33" s="10">
        <f t="shared" si="27"/>
        <v>29.870129870129876</v>
      </c>
      <c r="M33" s="71">
        <f t="shared" si="16"/>
        <v>157.5</v>
      </c>
      <c r="N33" s="71">
        <f t="shared" si="17"/>
        <v>131.79999999999998</v>
      </c>
      <c r="O33" s="10">
        <f t="shared" si="1"/>
        <v>83.68253968253967</v>
      </c>
      <c r="P33" s="35">
        <v>53.8</v>
      </c>
      <c r="Q33" s="35">
        <v>57.7</v>
      </c>
      <c r="R33" s="10">
        <f t="shared" si="8"/>
        <v>107.24907063197027</v>
      </c>
      <c r="S33" s="35">
        <v>89.5</v>
      </c>
      <c r="T33" s="35">
        <v>67.7</v>
      </c>
      <c r="U33" s="10">
        <f t="shared" si="9"/>
        <v>75.64245810055866</v>
      </c>
      <c r="V33" s="35">
        <v>81.4</v>
      </c>
      <c r="W33" s="35">
        <v>0</v>
      </c>
      <c r="X33" s="10">
        <f t="shared" si="28"/>
        <v>0</v>
      </c>
      <c r="Y33" s="71">
        <f t="shared" si="29"/>
        <v>224.70000000000002</v>
      </c>
      <c r="Z33" s="71">
        <f t="shared" si="30"/>
        <v>125.4</v>
      </c>
      <c r="AA33" s="10">
        <f t="shared" si="31"/>
        <v>55.80774365821095</v>
      </c>
      <c r="AB33" s="35">
        <v>76.4</v>
      </c>
      <c r="AC33" s="35">
        <v>143.2</v>
      </c>
      <c r="AD33" s="10">
        <f t="shared" si="3"/>
        <v>187.43455497382195</v>
      </c>
      <c r="AE33" s="35">
        <v>68.2</v>
      </c>
      <c r="AF33" s="35">
        <v>0</v>
      </c>
      <c r="AG33" s="10">
        <f t="shared" si="4"/>
        <v>0</v>
      </c>
      <c r="AH33" s="35">
        <v>68.5</v>
      </c>
      <c r="AI33" s="35">
        <v>144</v>
      </c>
      <c r="AJ33" s="71">
        <f t="shared" si="20"/>
        <v>213.10000000000002</v>
      </c>
      <c r="AK33" s="71">
        <f t="shared" si="21"/>
        <v>287.2</v>
      </c>
      <c r="AL33" s="10">
        <f t="shared" si="32"/>
        <v>134.7724073205068</v>
      </c>
      <c r="AM33" s="35"/>
      <c r="AN33" s="35"/>
      <c r="AO33" s="35"/>
      <c r="AP33" s="35"/>
      <c r="AQ33" s="35"/>
      <c r="AR33" s="35"/>
      <c r="AS33" s="58">
        <f t="shared" si="22"/>
        <v>595.3000000000001</v>
      </c>
      <c r="AT33" s="58">
        <f t="shared" si="23"/>
        <v>544.4</v>
      </c>
      <c r="AU33" s="10">
        <f t="shared" si="5"/>
        <v>91.44968923231983</v>
      </c>
      <c r="AV33" s="58">
        <f t="shared" si="24"/>
        <v>50.90000000000009</v>
      </c>
      <c r="AW33" s="16">
        <f t="shared" si="33"/>
        <v>166.70000000000005</v>
      </c>
      <c r="AX33" s="20">
        <f t="shared" si="13"/>
        <v>595.3000000000001</v>
      </c>
      <c r="AY33" s="20">
        <f t="shared" si="14"/>
        <v>544.4</v>
      </c>
      <c r="AZ33" s="39">
        <f t="shared" si="15"/>
        <v>166.70000000000005</v>
      </c>
    </row>
    <row r="34" spans="1:52" ht="34.5" customHeight="1">
      <c r="A34" s="56"/>
      <c r="B34" s="61" t="s">
        <v>94</v>
      </c>
      <c r="C34" s="88">
        <v>26.6</v>
      </c>
      <c r="D34" s="35">
        <v>15.3</v>
      </c>
      <c r="E34" s="35">
        <v>24.7</v>
      </c>
      <c r="F34" s="10">
        <f t="shared" si="25"/>
        <v>161.437908496732</v>
      </c>
      <c r="G34" s="35">
        <v>14.5</v>
      </c>
      <c r="H34" s="35">
        <v>0.1</v>
      </c>
      <c r="I34" s="10">
        <f t="shared" si="6"/>
        <v>0.6896551724137931</v>
      </c>
      <c r="J34" s="35">
        <v>14.7</v>
      </c>
      <c r="K34" s="35">
        <v>14.1</v>
      </c>
      <c r="L34" s="10">
        <f t="shared" si="27"/>
        <v>95.91836734693878</v>
      </c>
      <c r="M34" s="71">
        <f t="shared" si="16"/>
        <v>44.5</v>
      </c>
      <c r="N34" s="71">
        <f t="shared" si="17"/>
        <v>38.9</v>
      </c>
      <c r="O34" s="10">
        <f t="shared" si="1"/>
        <v>87.41573033707864</v>
      </c>
      <c r="P34" s="35">
        <v>14.2</v>
      </c>
      <c r="Q34" s="35">
        <v>15.6</v>
      </c>
      <c r="R34" s="10">
        <f t="shared" si="8"/>
        <v>109.85915492957747</v>
      </c>
      <c r="S34" s="35">
        <v>14.4</v>
      </c>
      <c r="T34" s="35">
        <v>14.6</v>
      </c>
      <c r="U34" s="10">
        <f t="shared" si="9"/>
        <v>101.38888888888889</v>
      </c>
      <c r="V34" s="35">
        <v>13.9</v>
      </c>
      <c r="W34" s="35">
        <v>14.1</v>
      </c>
      <c r="X34" s="10">
        <f t="shared" si="28"/>
        <v>101.43884892086331</v>
      </c>
      <c r="Y34" s="71">
        <f>P34+S34+V34</f>
        <v>42.5</v>
      </c>
      <c r="Z34" s="71">
        <f>Q34+T34+W34</f>
        <v>44.3</v>
      </c>
      <c r="AA34" s="10">
        <f>Z34/Y34*100</f>
        <v>104.23529411764704</v>
      </c>
      <c r="AB34" s="35">
        <v>14.3</v>
      </c>
      <c r="AC34" s="35">
        <v>14.4</v>
      </c>
      <c r="AD34" s="10">
        <f t="shared" si="3"/>
        <v>100.6993006993007</v>
      </c>
      <c r="AE34" s="35">
        <v>14</v>
      </c>
      <c r="AF34" s="35">
        <v>0.1</v>
      </c>
      <c r="AG34" s="10">
        <f t="shared" si="4"/>
        <v>0.7142857142857143</v>
      </c>
      <c r="AH34" s="35">
        <v>15.4</v>
      </c>
      <c r="AI34" s="35">
        <v>28.1</v>
      </c>
      <c r="AJ34" s="71">
        <f t="shared" si="20"/>
        <v>43.7</v>
      </c>
      <c r="AK34" s="71">
        <f t="shared" si="21"/>
        <v>42.6</v>
      </c>
      <c r="AL34" s="10">
        <f t="shared" si="32"/>
        <v>97.48283752860412</v>
      </c>
      <c r="AM34" s="35"/>
      <c r="AN34" s="35"/>
      <c r="AO34" s="35"/>
      <c r="AP34" s="35"/>
      <c r="AQ34" s="35"/>
      <c r="AR34" s="35"/>
      <c r="AS34" s="58">
        <f t="shared" si="22"/>
        <v>130.7</v>
      </c>
      <c r="AT34" s="58">
        <f t="shared" si="23"/>
        <v>125.79999999999998</v>
      </c>
      <c r="AU34" s="10">
        <f t="shared" si="5"/>
        <v>96.25095638867636</v>
      </c>
      <c r="AV34" s="58">
        <f t="shared" si="24"/>
        <v>4.900000000000006</v>
      </c>
      <c r="AW34" s="16">
        <f t="shared" si="33"/>
        <v>31.5</v>
      </c>
      <c r="AX34" s="20">
        <f t="shared" si="13"/>
        <v>130.7</v>
      </c>
      <c r="AY34" s="20">
        <f t="shared" si="14"/>
        <v>125.79999999999998</v>
      </c>
      <c r="AZ34" s="39">
        <f t="shared" si="15"/>
        <v>31.5</v>
      </c>
    </row>
    <row r="35" spans="1:52" ht="34.5" customHeight="1">
      <c r="A35" s="56">
        <v>26</v>
      </c>
      <c r="B35" s="61" t="s">
        <v>60</v>
      </c>
      <c r="C35" s="88">
        <v>48.5</v>
      </c>
      <c r="D35" s="34">
        <v>29.7</v>
      </c>
      <c r="E35" s="34">
        <v>35.4</v>
      </c>
      <c r="F35" s="10">
        <f>E35/D35*100</f>
        <v>119.19191919191918</v>
      </c>
      <c r="G35" s="35">
        <v>32.1</v>
      </c>
      <c r="H35" s="35">
        <v>38.9</v>
      </c>
      <c r="I35" s="10">
        <f t="shared" si="6"/>
        <v>121.18380062305295</v>
      </c>
      <c r="J35" s="35">
        <v>28.6</v>
      </c>
      <c r="K35" s="35">
        <v>15.3</v>
      </c>
      <c r="L35" s="10">
        <f t="shared" si="27"/>
        <v>53.4965034965035</v>
      </c>
      <c r="M35" s="71">
        <f t="shared" si="16"/>
        <v>90.4</v>
      </c>
      <c r="N35" s="71">
        <f t="shared" si="17"/>
        <v>89.6</v>
      </c>
      <c r="O35" s="10">
        <f t="shared" si="1"/>
        <v>99.1150442477876</v>
      </c>
      <c r="P35" s="35">
        <v>31.3</v>
      </c>
      <c r="Q35" s="35">
        <v>24</v>
      </c>
      <c r="R35" s="10">
        <f t="shared" si="8"/>
        <v>76.6773162939297</v>
      </c>
      <c r="S35" s="35">
        <v>33.3</v>
      </c>
      <c r="T35" s="35">
        <v>23.6</v>
      </c>
      <c r="U35" s="10">
        <f t="shared" si="9"/>
        <v>70.87087087087089</v>
      </c>
      <c r="V35" s="35">
        <v>32.8</v>
      </c>
      <c r="W35" s="35">
        <v>31.2</v>
      </c>
      <c r="X35" s="10">
        <f t="shared" si="28"/>
        <v>95.1219512195122</v>
      </c>
      <c r="Y35" s="71">
        <f t="shared" si="29"/>
        <v>97.39999999999999</v>
      </c>
      <c r="Z35" s="71">
        <f t="shared" si="30"/>
        <v>78.8</v>
      </c>
      <c r="AA35" s="10">
        <f t="shared" si="31"/>
        <v>80.9034907597536</v>
      </c>
      <c r="AB35" s="35">
        <v>31.7</v>
      </c>
      <c r="AC35" s="35">
        <v>34.2</v>
      </c>
      <c r="AD35" s="10">
        <f t="shared" si="3"/>
        <v>107.8864353312303</v>
      </c>
      <c r="AE35" s="35">
        <v>28.3</v>
      </c>
      <c r="AF35" s="35">
        <v>13.6</v>
      </c>
      <c r="AG35" s="10">
        <f t="shared" si="4"/>
        <v>48.0565371024735</v>
      </c>
      <c r="AH35" s="35">
        <v>34.6</v>
      </c>
      <c r="AI35" s="35">
        <v>60.7</v>
      </c>
      <c r="AJ35" s="71">
        <f t="shared" si="20"/>
        <v>94.6</v>
      </c>
      <c r="AK35" s="71">
        <f t="shared" si="21"/>
        <v>108.5</v>
      </c>
      <c r="AL35" s="10">
        <f t="shared" si="32"/>
        <v>114.69344608879493</v>
      </c>
      <c r="AM35" s="35"/>
      <c r="AN35" s="35"/>
      <c r="AO35" s="35"/>
      <c r="AP35" s="35"/>
      <c r="AQ35" s="35"/>
      <c r="AR35" s="35"/>
      <c r="AS35" s="58">
        <f t="shared" si="22"/>
        <v>282.4</v>
      </c>
      <c r="AT35" s="58">
        <f t="shared" si="23"/>
        <v>276.9</v>
      </c>
      <c r="AU35" s="10">
        <f t="shared" si="5"/>
        <v>98.05240793201133</v>
      </c>
      <c r="AV35" s="58">
        <f t="shared" si="24"/>
        <v>5.5</v>
      </c>
      <c r="AW35" s="16">
        <f t="shared" si="33"/>
        <v>54</v>
      </c>
      <c r="AX35" s="20">
        <f t="shared" si="13"/>
        <v>282.40000000000003</v>
      </c>
      <c r="AY35" s="20">
        <f t="shared" si="14"/>
        <v>276.9</v>
      </c>
      <c r="AZ35" s="39">
        <f t="shared" si="15"/>
        <v>54.00000000000006</v>
      </c>
    </row>
    <row r="36" spans="1:52" ht="34.5" customHeight="1">
      <c r="A36" s="56">
        <v>27</v>
      </c>
      <c r="B36" s="114" t="s">
        <v>61</v>
      </c>
      <c r="C36" s="84">
        <v>26</v>
      </c>
      <c r="D36" s="64">
        <v>12.4</v>
      </c>
      <c r="E36" s="64">
        <v>10.1</v>
      </c>
      <c r="F36" s="10">
        <f t="shared" si="25"/>
        <v>81.4516129032258</v>
      </c>
      <c r="G36" s="35">
        <v>12.6</v>
      </c>
      <c r="H36" s="35">
        <v>15.8</v>
      </c>
      <c r="I36" s="10">
        <f t="shared" si="6"/>
        <v>125.39682539682539</v>
      </c>
      <c r="J36" s="35">
        <v>11.7</v>
      </c>
      <c r="K36" s="35">
        <v>3.8</v>
      </c>
      <c r="L36" s="60">
        <f t="shared" si="27"/>
        <v>32.47863247863248</v>
      </c>
      <c r="M36" s="71">
        <f t="shared" si="16"/>
        <v>36.7</v>
      </c>
      <c r="N36" s="71">
        <f t="shared" si="17"/>
        <v>29.7</v>
      </c>
      <c r="O36" s="10">
        <f t="shared" si="1"/>
        <v>80.92643051771117</v>
      </c>
      <c r="P36" s="35">
        <v>12.4</v>
      </c>
      <c r="Q36" s="35">
        <v>24.9</v>
      </c>
      <c r="R36" s="10">
        <f t="shared" si="8"/>
        <v>200.8064516129032</v>
      </c>
      <c r="S36" s="35">
        <v>16</v>
      </c>
      <c r="T36" s="35">
        <v>8</v>
      </c>
      <c r="U36" s="10">
        <f t="shared" si="9"/>
        <v>50</v>
      </c>
      <c r="V36" s="35">
        <v>14.9</v>
      </c>
      <c r="W36" s="35">
        <v>12.4</v>
      </c>
      <c r="X36" s="103">
        <f t="shared" si="28"/>
        <v>83.22147651006712</v>
      </c>
      <c r="Y36" s="71">
        <f t="shared" si="29"/>
        <v>43.3</v>
      </c>
      <c r="Z36" s="71">
        <f t="shared" si="30"/>
        <v>45.3</v>
      </c>
      <c r="AA36" s="10">
        <f t="shared" si="31"/>
        <v>104.6189376443418</v>
      </c>
      <c r="AB36" s="35">
        <v>11.9</v>
      </c>
      <c r="AC36" s="35">
        <v>16</v>
      </c>
      <c r="AD36" s="10">
        <f t="shared" si="3"/>
        <v>134.45378151260502</v>
      </c>
      <c r="AE36" s="35">
        <v>15.9</v>
      </c>
      <c r="AF36" s="35">
        <v>0</v>
      </c>
      <c r="AG36" s="10">
        <f t="shared" si="4"/>
        <v>0</v>
      </c>
      <c r="AH36" s="35">
        <v>14.8</v>
      </c>
      <c r="AI36" s="35">
        <v>26.8</v>
      </c>
      <c r="AJ36" s="71">
        <f t="shared" si="20"/>
        <v>42.6</v>
      </c>
      <c r="AK36" s="71">
        <f t="shared" si="21"/>
        <v>42.8</v>
      </c>
      <c r="AL36" s="10">
        <f t="shared" si="32"/>
        <v>100.4694835680751</v>
      </c>
      <c r="AM36" s="35"/>
      <c r="AN36" s="35"/>
      <c r="AO36" s="35"/>
      <c r="AP36" s="35"/>
      <c r="AQ36" s="35"/>
      <c r="AR36" s="35"/>
      <c r="AS36" s="58">
        <f t="shared" si="22"/>
        <v>122.6</v>
      </c>
      <c r="AT36" s="58">
        <f t="shared" si="23"/>
        <v>117.8</v>
      </c>
      <c r="AU36" s="10">
        <f t="shared" si="5"/>
        <v>96.08482871125612</v>
      </c>
      <c r="AV36" s="58">
        <f t="shared" si="24"/>
        <v>4.799999999999997</v>
      </c>
      <c r="AW36" s="16">
        <f t="shared" si="33"/>
        <v>30.799999999999997</v>
      </c>
      <c r="AX36" s="20">
        <f t="shared" si="13"/>
        <v>122.60000000000001</v>
      </c>
      <c r="AY36" s="20">
        <f t="shared" si="14"/>
        <v>117.8</v>
      </c>
      <c r="AZ36" s="39">
        <f t="shared" si="15"/>
        <v>30.800000000000026</v>
      </c>
    </row>
    <row r="37" spans="1:52" ht="34.5" customHeight="1">
      <c r="A37" s="56">
        <v>28</v>
      </c>
      <c r="B37" s="115" t="s">
        <v>62</v>
      </c>
      <c r="C37" s="84">
        <v>164.9</v>
      </c>
      <c r="D37" s="35">
        <v>79</v>
      </c>
      <c r="E37" s="35">
        <v>80.9</v>
      </c>
      <c r="F37" s="10">
        <f t="shared" si="25"/>
        <v>102.40506329113926</v>
      </c>
      <c r="G37" s="35">
        <v>78.6</v>
      </c>
      <c r="H37" s="35">
        <v>84</v>
      </c>
      <c r="I37" s="10">
        <f t="shared" si="6"/>
        <v>106.87022900763358</v>
      </c>
      <c r="J37" s="35">
        <v>86.6</v>
      </c>
      <c r="K37" s="35">
        <v>76.5</v>
      </c>
      <c r="L37" s="10">
        <f t="shared" si="27"/>
        <v>88.33718244803696</v>
      </c>
      <c r="M37" s="71">
        <f t="shared" si="16"/>
        <v>244.2</v>
      </c>
      <c r="N37" s="71">
        <f t="shared" si="17"/>
        <v>241.4</v>
      </c>
      <c r="O37" s="10">
        <f t="shared" si="1"/>
        <v>98.85339885339886</v>
      </c>
      <c r="P37" s="35">
        <v>88.4</v>
      </c>
      <c r="Q37" s="35">
        <v>164.6</v>
      </c>
      <c r="R37" s="10">
        <f t="shared" si="8"/>
        <v>186.19909502262442</v>
      </c>
      <c r="S37" s="35">
        <v>96.3</v>
      </c>
      <c r="T37" s="35">
        <v>88.5</v>
      </c>
      <c r="U37" s="10">
        <f t="shared" si="9"/>
        <v>91.90031152647975</v>
      </c>
      <c r="V37" s="35">
        <v>105</v>
      </c>
      <c r="W37" s="35">
        <v>36.3</v>
      </c>
      <c r="X37" s="10">
        <f t="shared" si="28"/>
        <v>34.57142857142857</v>
      </c>
      <c r="Y37" s="71">
        <f t="shared" si="29"/>
        <v>289.7</v>
      </c>
      <c r="Z37" s="71">
        <f t="shared" si="30"/>
        <v>289.4</v>
      </c>
      <c r="AA37" s="10">
        <f t="shared" si="31"/>
        <v>99.89644459785984</v>
      </c>
      <c r="AB37" s="35">
        <v>104.4</v>
      </c>
      <c r="AC37" s="35">
        <v>63.1</v>
      </c>
      <c r="AD37" s="10">
        <f t="shared" si="3"/>
        <v>60.440613026819925</v>
      </c>
      <c r="AE37" s="35">
        <v>108.8</v>
      </c>
      <c r="AF37" s="35">
        <v>0</v>
      </c>
      <c r="AG37" s="10">
        <f t="shared" si="4"/>
        <v>0</v>
      </c>
      <c r="AH37" s="35">
        <v>115.5</v>
      </c>
      <c r="AI37" s="35">
        <v>209.4</v>
      </c>
      <c r="AJ37" s="71">
        <f t="shared" si="20"/>
        <v>328.7</v>
      </c>
      <c r="AK37" s="71">
        <f t="shared" si="21"/>
        <v>272.5</v>
      </c>
      <c r="AL37" s="10">
        <f t="shared" si="32"/>
        <v>82.90234256160633</v>
      </c>
      <c r="AM37" s="35"/>
      <c r="AN37" s="35"/>
      <c r="AO37" s="35"/>
      <c r="AP37" s="35"/>
      <c r="AQ37" s="35"/>
      <c r="AR37" s="35"/>
      <c r="AS37" s="58">
        <f t="shared" si="22"/>
        <v>862.5999999999999</v>
      </c>
      <c r="AT37" s="58">
        <f t="shared" si="23"/>
        <v>803.3</v>
      </c>
      <c r="AU37" s="10">
        <f t="shared" si="5"/>
        <v>93.12543473220497</v>
      </c>
      <c r="AV37" s="58">
        <f t="shared" si="24"/>
        <v>59.299999999999955</v>
      </c>
      <c r="AW37" s="16">
        <f t="shared" si="33"/>
        <v>224.20000000000005</v>
      </c>
      <c r="AX37" s="20">
        <f t="shared" si="13"/>
        <v>862.5999999999999</v>
      </c>
      <c r="AY37" s="20">
        <f t="shared" si="14"/>
        <v>803.3</v>
      </c>
      <c r="AZ37" s="39">
        <f t="shared" si="15"/>
        <v>224.20000000000005</v>
      </c>
    </row>
    <row r="38" spans="1:52" ht="34.5" customHeight="1">
      <c r="A38" s="56">
        <v>29</v>
      </c>
      <c r="B38" s="115" t="s">
        <v>95</v>
      </c>
      <c r="C38" s="84">
        <v>175.8</v>
      </c>
      <c r="D38" s="35">
        <v>84.7</v>
      </c>
      <c r="E38" s="35">
        <v>55.2</v>
      </c>
      <c r="F38" s="10">
        <f t="shared" si="25"/>
        <v>65.17119244391972</v>
      </c>
      <c r="G38" s="35">
        <v>79.4</v>
      </c>
      <c r="H38" s="35">
        <v>74.2</v>
      </c>
      <c r="I38" s="10">
        <f t="shared" si="6"/>
        <v>93.45088161209067</v>
      </c>
      <c r="J38" s="35">
        <v>78.9</v>
      </c>
      <c r="K38" s="35">
        <v>45.3</v>
      </c>
      <c r="L38" s="10">
        <f t="shared" si="27"/>
        <v>57.41444866920151</v>
      </c>
      <c r="M38" s="71">
        <f t="shared" si="16"/>
        <v>243.00000000000003</v>
      </c>
      <c r="N38" s="71">
        <f t="shared" si="17"/>
        <v>174.7</v>
      </c>
      <c r="O38" s="10">
        <f t="shared" si="1"/>
        <v>71.89300411522632</v>
      </c>
      <c r="P38" s="35">
        <v>83.7</v>
      </c>
      <c r="Q38" s="35">
        <v>125.8</v>
      </c>
      <c r="R38" s="10">
        <f t="shared" si="8"/>
        <v>150.29868578255673</v>
      </c>
      <c r="S38" s="35">
        <v>84.9</v>
      </c>
      <c r="T38" s="35">
        <v>78.9</v>
      </c>
      <c r="U38" s="10">
        <f t="shared" si="9"/>
        <v>92.93286219081273</v>
      </c>
      <c r="V38" s="35">
        <v>90</v>
      </c>
      <c r="W38" s="35">
        <v>83.7</v>
      </c>
      <c r="X38" s="10">
        <f t="shared" si="28"/>
        <v>93</v>
      </c>
      <c r="Y38" s="71">
        <f t="shared" si="29"/>
        <v>258.6</v>
      </c>
      <c r="Z38" s="71">
        <f t="shared" si="30"/>
        <v>288.4</v>
      </c>
      <c r="AA38" s="10">
        <f t="shared" si="31"/>
        <v>111.52358855375095</v>
      </c>
      <c r="AB38" s="35">
        <v>99.4</v>
      </c>
      <c r="AC38" s="35">
        <v>0</v>
      </c>
      <c r="AD38" s="10">
        <f t="shared" si="3"/>
        <v>0</v>
      </c>
      <c r="AE38" s="35">
        <v>99.1</v>
      </c>
      <c r="AF38" s="35">
        <v>0</v>
      </c>
      <c r="AG38" s="10">
        <f t="shared" si="4"/>
        <v>0</v>
      </c>
      <c r="AH38" s="35">
        <v>99.4</v>
      </c>
      <c r="AI38" s="35">
        <v>99.4</v>
      </c>
      <c r="AJ38" s="71">
        <f t="shared" si="20"/>
        <v>297.9</v>
      </c>
      <c r="AK38" s="71">
        <f t="shared" si="21"/>
        <v>99.4</v>
      </c>
      <c r="AL38" s="10">
        <f t="shared" si="32"/>
        <v>33.36690164484727</v>
      </c>
      <c r="AM38" s="35"/>
      <c r="AN38" s="35"/>
      <c r="AO38" s="35"/>
      <c r="AP38" s="35"/>
      <c r="AQ38" s="35"/>
      <c r="AR38" s="35"/>
      <c r="AS38" s="58">
        <f t="shared" si="22"/>
        <v>799.5</v>
      </c>
      <c r="AT38" s="58">
        <f t="shared" si="23"/>
        <v>562.5</v>
      </c>
      <c r="AU38" s="10">
        <f t="shared" si="5"/>
        <v>70.35647279549718</v>
      </c>
      <c r="AV38" s="58">
        <f t="shared" si="24"/>
        <v>237</v>
      </c>
      <c r="AW38" s="16">
        <f t="shared" si="33"/>
        <v>412.79999999999995</v>
      </c>
      <c r="AX38" s="20">
        <f t="shared" si="13"/>
        <v>799.5</v>
      </c>
      <c r="AY38" s="20">
        <f t="shared" si="14"/>
        <v>562.5</v>
      </c>
      <c r="AZ38" s="39">
        <f t="shared" si="15"/>
        <v>412.79999999999995</v>
      </c>
    </row>
    <row r="39" spans="1:52" ht="34.5" customHeight="1">
      <c r="A39" s="56">
        <v>30</v>
      </c>
      <c r="B39" s="115" t="s">
        <v>4</v>
      </c>
      <c r="C39" s="84">
        <v>96.4</v>
      </c>
      <c r="D39" s="35">
        <v>137.7</v>
      </c>
      <c r="E39" s="35">
        <v>0</v>
      </c>
      <c r="F39" s="10">
        <f t="shared" si="25"/>
        <v>0</v>
      </c>
      <c r="G39" s="35">
        <v>133.2</v>
      </c>
      <c r="H39" s="35">
        <v>97.7</v>
      </c>
      <c r="I39" s="10">
        <f t="shared" si="6"/>
        <v>73.34834834834835</v>
      </c>
      <c r="J39" s="35">
        <v>136.6</v>
      </c>
      <c r="K39" s="35">
        <v>65.3</v>
      </c>
      <c r="L39" s="10">
        <f t="shared" si="27"/>
        <v>47.803806734992676</v>
      </c>
      <c r="M39" s="71">
        <f t="shared" si="16"/>
        <v>407.5</v>
      </c>
      <c r="N39" s="71">
        <f t="shared" si="17"/>
        <v>163</v>
      </c>
      <c r="O39" s="10">
        <f t="shared" si="1"/>
        <v>40</v>
      </c>
      <c r="P39" s="35">
        <v>141.7</v>
      </c>
      <c r="Q39" s="35">
        <v>205.4</v>
      </c>
      <c r="R39" s="10">
        <f t="shared" si="8"/>
        <v>144.954128440367</v>
      </c>
      <c r="S39" s="35">
        <v>137.8</v>
      </c>
      <c r="T39" s="35">
        <v>278.3</v>
      </c>
      <c r="U39" s="10">
        <f t="shared" si="9"/>
        <v>201.95936139332366</v>
      </c>
      <c r="V39" s="35">
        <v>173</v>
      </c>
      <c r="W39" s="35">
        <v>137.8</v>
      </c>
      <c r="X39" s="10">
        <f t="shared" si="28"/>
        <v>79.65317919075146</v>
      </c>
      <c r="Y39" s="71">
        <f t="shared" si="29"/>
        <v>452.5</v>
      </c>
      <c r="Z39" s="71">
        <f t="shared" si="30"/>
        <v>621.5</v>
      </c>
      <c r="AA39" s="10">
        <f t="shared" si="31"/>
        <v>137.34806629834253</v>
      </c>
      <c r="AB39" s="35">
        <v>154.4</v>
      </c>
      <c r="AC39" s="35">
        <v>173</v>
      </c>
      <c r="AD39" s="10">
        <f t="shared" si="3"/>
        <v>112.04663212435233</v>
      </c>
      <c r="AE39" s="35">
        <v>161</v>
      </c>
      <c r="AF39" s="35">
        <v>0</v>
      </c>
      <c r="AG39" s="10">
        <f t="shared" si="4"/>
        <v>0</v>
      </c>
      <c r="AH39" s="35">
        <v>153.7</v>
      </c>
      <c r="AI39" s="35">
        <v>315.3</v>
      </c>
      <c r="AJ39" s="71">
        <f t="shared" si="20"/>
        <v>469.09999999999997</v>
      </c>
      <c r="AK39" s="71">
        <f t="shared" si="21"/>
        <v>488.3</v>
      </c>
      <c r="AL39" s="10">
        <f t="shared" si="32"/>
        <v>104.09294393519505</v>
      </c>
      <c r="AM39" s="35"/>
      <c r="AN39" s="35"/>
      <c r="AO39" s="35"/>
      <c r="AP39" s="35"/>
      <c r="AQ39" s="35"/>
      <c r="AR39" s="35"/>
      <c r="AS39" s="58">
        <f t="shared" si="22"/>
        <v>1329.1</v>
      </c>
      <c r="AT39" s="58">
        <f t="shared" si="23"/>
        <v>1272.8</v>
      </c>
      <c r="AU39" s="10">
        <f t="shared" si="5"/>
        <v>95.76405086148522</v>
      </c>
      <c r="AV39" s="58">
        <f t="shared" si="24"/>
        <v>56.299999999999955</v>
      </c>
      <c r="AW39" s="16">
        <f t="shared" si="33"/>
        <v>152.70000000000005</v>
      </c>
      <c r="AX39" s="20">
        <f t="shared" si="13"/>
        <v>1329.1000000000001</v>
      </c>
      <c r="AY39" s="20">
        <f t="shared" si="14"/>
        <v>1272.8</v>
      </c>
      <c r="AZ39" s="39">
        <f t="shared" si="15"/>
        <v>152.70000000000027</v>
      </c>
    </row>
    <row r="40" spans="1:52" ht="34.5" customHeight="1">
      <c r="A40" s="56">
        <v>31</v>
      </c>
      <c r="B40" s="115" t="s">
        <v>63</v>
      </c>
      <c r="C40" s="84">
        <v>45.8</v>
      </c>
      <c r="D40" s="35">
        <v>18.9</v>
      </c>
      <c r="E40" s="35">
        <v>22.6</v>
      </c>
      <c r="F40" s="10">
        <f t="shared" si="25"/>
        <v>119.5767195767196</v>
      </c>
      <c r="G40" s="35">
        <v>19.9</v>
      </c>
      <c r="H40" s="35">
        <v>21.2</v>
      </c>
      <c r="I40" s="10">
        <f t="shared" si="6"/>
        <v>106.53266331658291</v>
      </c>
      <c r="J40" s="35">
        <v>18.8</v>
      </c>
      <c r="K40" s="35">
        <v>4.9</v>
      </c>
      <c r="L40" s="10">
        <f t="shared" si="27"/>
        <v>26.063829787234045</v>
      </c>
      <c r="M40" s="71">
        <f t="shared" si="16"/>
        <v>57.599999999999994</v>
      </c>
      <c r="N40" s="71">
        <f t="shared" si="17"/>
        <v>48.699999999999996</v>
      </c>
      <c r="O40" s="10">
        <f t="shared" si="1"/>
        <v>84.54861111111111</v>
      </c>
      <c r="P40" s="35">
        <v>19.7</v>
      </c>
      <c r="Q40" s="35">
        <v>36</v>
      </c>
      <c r="R40" s="10">
        <f t="shared" si="8"/>
        <v>182.74111675126906</v>
      </c>
      <c r="S40" s="35">
        <v>18.3</v>
      </c>
      <c r="T40" s="35">
        <v>18.7</v>
      </c>
      <c r="U40" s="10">
        <f t="shared" si="9"/>
        <v>102.18579234972678</v>
      </c>
      <c r="V40" s="35">
        <v>24.8</v>
      </c>
      <c r="W40" s="35">
        <v>19.7</v>
      </c>
      <c r="X40" s="10">
        <f t="shared" si="28"/>
        <v>79.43548387096774</v>
      </c>
      <c r="Y40" s="71">
        <f t="shared" si="29"/>
        <v>62.8</v>
      </c>
      <c r="Z40" s="71">
        <f t="shared" si="30"/>
        <v>74.4</v>
      </c>
      <c r="AA40" s="10">
        <f t="shared" si="31"/>
        <v>118.47133757961785</v>
      </c>
      <c r="AB40" s="35">
        <v>22.3</v>
      </c>
      <c r="AC40" s="35">
        <v>18.3</v>
      </c>
      <c r="AD40" s="10">
        <f t="shared" si="3"/>
        <v>82.0627802690583</v>
      </c>
      <c r="AE40" s="35">
        <v>21.6</v>
      </c>
      <c r="AF40" s="35">
        <v>0</v>
      </c>
      <c r="AG40" s="10">
        <f t="shared" si="4"/>
        <v>0</v>
      </c>
      <c r="AH40" s="35">
        <v>21.5</v>
      </c>
      <c r="AI40" s="35">
        <v>0</v>
      </c>
      <c r="AJ40" s="71">
        <f t="shared" si="20"/>
        <v>65.4</v>
      </c>
      <c r="AK40" s="71">
        <f t="shared" si="21"/>
        <v>18.3</v>
      </c>
      <c r="AL40" s="10">
        <f t="shared" si="32"/>
        <v>27.981651376146786</v>
      </c>
      <c r="AM40" s="35"/>
      <c r="AN40" s="35"/>
      <c r="AO40" s="35"/>
      <c r="AP40" s="35"/>
      <c r="AQ40" s="35"/>
      <c r="AR40" s="35"/>
      <c r="AS40" s="58">
        <f t="shared" si="22"/>
        <v>185.8</v>
      </c>
      <c r="AT40" s="58">
        <f t="shared" si="23"/>
        <v>141.4</v>
      </c>
      <c r="AU40" s="10">
        <f t="shared" si="5"/>
        <v>76.10333692142089</v>
      </c>
      <c r="AV40" s="58">
        <f t="shared" si="24"/>
        <v>44.400000000000006</v>
      </c>
      <c r="AW40" s="16">
        <f t="shared" si="33"/>
        <v>90.20000000000002</v>
      </c>
      <c r="AX40" s="20">
        <f t="shared" si="13"/>
        <v>185.79999999999998</v>
      </c>
      <c r="AY40" s="20">
        <f t="shared" si="14"/>
        <v>141.4</v>
      </c>
      <c r="AZ40" s="39">
        <f t="shared" si="15"/>
        <v>90.19999999999996</v>
      </c>
    </row>
    <row r="41" spans="1:52" ht="34.5" customHeight="1">
      <c r="A41" s="56">
        <v>32</v>
      </c>
      <c r="B41" s="59" t="s">
        <v>64</v>
      </c>
      <c r="C41" s="84">
        <v>57.1</v>
      </c>
      <c r="D41" s="35">
        <v>61.6</v>
      </c>
      <c r="E41" s="35">
        <v>57.1</v>
      </c>
      <c r="F41" s="10">
        <f t="shared" si="25"/>
        <v>92.6948051948052</v>
      </c>
      <c r="G41" s="35">
        <v>66.2</v>
      </c>
      <c r="H41" s="35">
        <v>61.6</v>
      </c>
      <c r="I41" s="10">
        <f t="shared" si="6"/>
        <v>93.05135951661632</v>
      </c>
      <c r="J41" s="35">
        <v>67.6</v>
      </c>
      <c r="K41" s="35">
        <v>113.1</v>
      </c>
      <c r="L41" s="101">
        <f t="shared" si="27"/>
        <v>167.30769230769232</v>
      </c>
      <c r="M41" s="71">
        <f t="shared" si="16"/>
        <v>195.4</v>
      </c>
      <c r="N41" s="71">
        <f t="shared" si="17"/>
        <v>231.8</v>
      </c>
      <c r="O41" s="10">
        <f t="shared" si="1"/>
        <v>118.62845445240534</v>
      </c>
      <c r="P41" s="35">
        <v>62.8</v>
      </c>
      <c r="Q41" s="35">
        <v>20.7</v>
      </c>
      <c r="R41" s="10">
        <f t="shared" si="8"/>
        <v>32.961783439490446</v>
      </c>
      <c r="S41" s="35">
        <v>70.2</v>
      </c>
      <c r="T41" s="35">
        <v>62.8</v>
      </c>
      <c r="U41" s="10">
        <f t="shared" si="9"/>
        <v>89.45868945868945</v>
      </c>
      <c r="V41" s="35">
        <v>64.8</v>
      </c>
      <c r="W41" s="35">
        <v>70.2</v>
      </c>
      <c r="X41" s="103">
        <f t="shared" si="28"/>
        <v>108.33333333333334</v>
      </c>
      <c r="Y41" s="71">
        <f t="shared" si="29"/>
        <v>197.8</v>
      </c>
      <c r="Z41" s="71">
        <f t="shared" si="30"/>
        <v>153.7</v>
      </c>
      <c r="AA41" s="10">
        <f t="shared" si="31"/>
        <v>77.70475227502527</v>
      </c>
      <c r="AB41" s="35">
        <v>74.3</v>
      </c>
      <c r="AC41" s="35">
        <v>64.8</v>
      </c>
      <c r="AD41" s="10">
        <f t="shared" si="3"/>
        <v>87.21399730820995</v>
      </c>
      <c r="AE41" s="35">
        <v>83.5</v>
      </c>
      <c r="AF41" s="35">
        <v>0</v>
      </c>
      <c r="AG41" s="10">
        <f t="shared" si="4"/>
        <v>0</v>
      </c>
      <c r="AH41" s="35">
        <v>64.39</v>
      </c>
      <c r="AI41" s="35">
        <v>157.7</v>
      </c>
      <c r="AJ41" s="71">
        <f t="shared" si="20"/>
        <v>222.19</v>
      </c>
      <c r="AK41" s="71">
        <f t="shared" si="21"/>
        <v>222.5</v>
      </c>
      <c r="AL41" s="10">
        <f t="shared" si="32"/>
        <v>100.13952023043342</v>
      </c>
      <c r="AM41" s="35"/>
      <c r="AN41" s="35"/>
      <c r="AO41" s="35"/>
      <c r="AP41" s="35"/>
      <c r="AQ41" s="35"/>
      <c r="AR41" s="35"/>
      <c r="AS41" s="58">
        <f t="shared" si="22"/>
        <v>615.3900000000001</v>
      </c>
      <c r="AT41" s="58">
        <f t="shared" si="23"/>
        <v>608</v>
      </c>
      <c r="AU41" s="10">
        <f t="shared" si="5"/>
        <v>98.7991355075643</v>
      </c>
      <c r="AV41" s="58">
        <f t="shared" si="24"/>
        <v>7.3900000000001</v>
      </c>
      <c r="AW41" s="16">
        <f t="shared" si="33"/>
        <v>64.49000000000012</v>
      </c>
      <c r="AX41" s="20">
        <f t="shared" si="13"/>
        <v>615.39</v>
      </c>
      <c r="AY41" s="20">
        <f t="shared" si="14"/>
        <v>608</v>
      </c>
      <c r="AZ41" s="39">
        <f t="shared" si="15"/>
        <v>64.49000000000001</v>
      </c>
    </row>
    <row r="42" spans="1:52" ht="34.5" customHeight="1">
      <c r="A42" s="56">
        <v>33</v>
      </c>
      <c r="B42" s="115" t="s">
        <v>48</v>
      </c>
      <c r="C42" s="84">
        <v>256.1</v>
      </c>
      <c r="D42" s="35">
        <v>130.1</v>
      </c>
      <c r="E42" s="35">
        <v>132.8</v>
      </c>
      <c r="F42" s="10">
        <f>E42/D42*100</f>
        <v>102.07532667179093</v>
      </c>
      <c r="G42" s="35">
        <v>129.4</v>
      </c>
      <c r="H42" s="35">
        <v>123.5</v>
      </c>
      <c r="I42" s="10">
        <f t="shared" si="6"/>
        <v>95.4404945904173</v>
      </c>
      <c r="J42" s="35">
        <v>127</v>
      </c>
      <c r="K42" s="35">
        <v>54.4</v>
      </c>
      <c r="L42" s="101">
        <f t="shared" si="27"/>
        <v>42.83464566929134</v>
      </c>
      <c r="M42" s="71">
        <f t="shared" si="16"/>
        <v>386.5</v>
      </c>
      <c r="N42" s="71">
        <f t="shared" si="17"/>
        <v>310.7</v>
      </c>
      <c r="O42" s="10">
        <f t="shared" si="1"/>
        <v>80.38809831824062</v>
      </c>
      <c r="P42" s="35">
        <v>134</v>
      </c>
      <c r="Q42" s="35">
        <v>205.1</v>
      </c>
      <c r="R42" s="10">
        <f t="shared" si="8"/>
        <v>153.05970149253733</v>
      </c>
      <c r="S42" s="35">
        <v>142.6</v>
      </c>
      <c r="T42" s="35">
        <v>127</v>
      </c>
      <c r="U42" s="10">
        <f t="shared" si="9"/>
        <v>89.06030855539973</v>
      </c>
      <c r="V42" s="35">
        <v>141.7</v>
      </c>
      <c r="W42" s="35">
        <v>134</v>
      </c>
      <c r="X42" s="103">
        <f t="shared" si="28"/>
        <v>94.56598447424136</v>
      </c>
      <c r="Y42" s="71">
        <f t="shared" si="29"/>
        <v>418.3</v>
      </c>
      <c r="Z42" s="71">
        <f t="shared" si="30"/>
        <v>466.1</v>
      </c>
      <c r="AA42" s="10">
        <f t="shared" si="31"/>
        <v>111.42720535500837</v>
      </c>
      <c r="AB42" s="35">
        <v>196</v>
      </c>
      <c r="AC42" s="35">
        <v>142.6</v>
      </c>
      <c r="AD42" s="10">
        <f t="shared" si="3"/>
        <v>72.75510204081633</v>
      </c>
      <c r="AE42" s="35">
        <v>203.3</v>
      </c>
      <c r="AF42" s="35">
        <v>0</v>
      </c>
      <c r="AG42" s="10">
        <f t="shared" si="4"/>
        <v>0</v>
      </c>
      <c r="AH42" s="35">
        <v>203.6</v>
      </c>
      <c r="AI42" s="35">
        <v>337.8</v>
      </c>
      <c r="AJ42" s="71">
        <f t="shared" si="20"/>
        <v>602.9</v>
      </c>
      <c r="AK42" s="71">
        <f t="shared" si="21"/>
        <v>480.4</v>
      </c>
      <c r="AL42" s="10">
        <f t="shared" si="32"/>
        <v>79.68153922706917</v>
      </c>
      <c r="AM42" s="35"/>
      <c r="AN42" s="35"/>
      <c r="AO42" s="35"/>
      <c r="AP42" s="35"/>
      <c r="AQ42" s="35"/>
      <c r="AR42" s="35"/>
      <c r="AS42" s="58">
        <f>M42+Y42+AJ42+AM42+AO42+AQ42</f>
        <v>1407.6999999999998</v>
      </c>
      <c r="AT42" s="58">
        <f t="shared" si="23"/>
        <v>1257.1999999999998</v>
      </c>
      <c r="AU42" s="10">
        <f t="shared" si="5"/>
        <v>89.30880159124813</v>
      </c>
      <c r="AV42" s="58">
        <f t="shared" si="24"/>
        <v>150.5</v>
      </c>
      <c r="AW42" s="16">
        <f>C42+AS42-AT42</f>
        <v>406.5999999999999</v>
      </c>
      <c r="AX42" s="20">
        <f t="shared" si="13"/>
        <v>1407.6999999999998</v>
      </c>
      <c r="AY42" s="20">
        <f t="shared" si="14"/>
        <v>1257.2</v>
      </c>
      <c r="AZ42" s="39">
        <f t="shared" si="15"/>
        <v>406.5999999999997</v>
      </c>
    </row>
    <row r="43" spans="1:52" s="11" customFormat="1" ht="34.5" customHeight="1">
      <c r="A43" s="56">
        <v>34</v>
      </c>
      <c r="B43" s="14" t="s">
        <v>66</v>
      </c>
      <c r="C43" s="67">
        <f>SUM(C44:C44)</f>
        <v>4591.8</v>
      </c>
      <c r="D43" s="16">
        <f>SUM(D44:D44)</f>
        <v>1566.8</v>
      </c>
      <c r="E43" s="16">
        <f>SUM(E44:E44)</f>
        <v>3419.1</v>
      </c>
      <c r="F43" s="10">
        <f t="shared" si="25"/>
        <v>218.22185345928006</v>
      </c>
      <c r="G43" s="16">
        <f>SUM(G44:G44)</f>
        <v>1652.1</v>
      </c>
      <c r="H43" s="16">
        <f>SUM(H44:H44)</f>
        <v>501</v>
      </c>
      <c r="I43" s="10">
        <f t="shared" si="6"/>
        <v>30.32504085709098</v>
      </c>
      <c r="J43" s="16">
        <f>SUM(J44:J44)</f>
        <v>1605.3</v>
      </c>
      <c r="K43" s="16">
        <f>SUM(K44:K44)</f>
        <v>409.7</v>
      </c>
      <c r="L43" s="101">
        <f t="shared" si="27"/>
        <v>25.52170933781848</v>
      </c>
      <c r="M43" s="16">
        <f>SUM(M44:M44)</f>
        <v>4824.2</v>
      </c>
      <c r="N43" s="16">
        <f>SUM(N44:N44)</f>
        <v>4329.8</v>
      </c>
      <c r="O43" s="10">
        <f t="shared" si="1"/>
        <v>89.75166867045314</v>
      </c>
      <c r="P43" s="16">
        <f>SUM(P44:P44)</f>
        <v>1689.6</v>
      </c>
      <c r="Q43" s="16">
        <f>SUM(Q44:Q44)</f>
        <v>3138</v>
      </c>
      <c r="R43" s="10">
        <f t="shared" si="8"/>
        <v>185.72443181818184</v>
      </c>
      <c r="S43" s="16">
        <f>SUM(S44:S44)</f>
        <v>1851</v>
      </c>
      <c r="T43" s="16">
        <f>SUM(T44:T44)</f>
        <v>1257.3</v>
      </c>
      <c r="U43" s="10">
        <f t="shared" si="9"/>
        <v>67.92544570502432</v>
      </c>
      <c r="V43" s="16">
        <f>SUM(V44:V44)</f>
        <v>2032.9</v>
      </c>
      <c r="W43" s="16">
        <f>SUM(W44:W44)</f>
        <v>1677.4</v>
      </c>
      <c r="X43" s="10">
        <f t="shared" si="28"/>
        <v>82.51266663387278</v>
      </c>
      <c r="Y43" s="16">
        <f>SUM(Y44:Y44)</f>
        <v>5573.5</v>
      </c>
      <c r="Z43" s="16">
        <f>SUM(Z44:Z44)</f>
        <v>6072.700000000001</v>
      </c>
      <c r="AA43" s="10">
        <f t="shared" si="31"/>
        <v>108.956669956042</v>
      </c>
      <c r="AB43" s="16">
        <f>SUM(AB44:AB44)</f>
        <v>1911.8</v>
      </c>
      <c r="AC43" s="16">
        <f>SUM(AC44:AC44)</f>
        <v>1829</v>
      </c>
      <c r="AD43" s="10">
        <f t="shared" si="3"/>
        <v>95.66900303379015</v>
      </c>
      <c r="AE43" s="16">
        <f>SUM(AE44:AE44)</f>
        <v>1896.6</v>
      </c>
      <c r="AF43" s="16">
        <f>SUM(AF44:AF44)</f>
        <v>0.1</v>
      </c>
      <c r="AG43" s="10">
        <f t="shared" si="4"/>
        <v>0.005272593061267532</v>
      </c>
      <c r="AH43" s="16">
        <f>SUM(AH44:AH44)</f>
        <v>1933</v>
      </c>
      <c r="AI43" s="16">
        <f>SUM(AI44:AI44)</f>
        <v>3899.4</v>
      </c>
      <c r="AJ43" s="16">
        <f>SUM(AJ44:AJ44)</f>
        <v>5741.4</v>
      </c>
      <c r="AK43" s="16">
        <f>SUM(AK44:AK44)</f>
        <v>5728.5</v>
      </c>
      <c r="AL43" s="10">
        <f t="shared" si="32"/>
        <v>99.77531612498694</v>
      </c>
      <c r="AM43" s="16">
        <f aca="true" t="shared" si="36" ref="AM43:AT43">SUM(AM44:AM44)</f>
        <v>0</v>
      </c>
      <c r="AN43" s="16">
        <f t="shared" si="36"/>
        <v>0</v>
      </c>
      <c r="AO43" s="16">
        <f t="shared" si="36"/>
        <v>0</v>
      </c>
      <c r="AP43" s="16">
        <f t="shared" si="36"/>
        <v>0</v>
      </c>
      <c r="AQ43" s="16">
        <f t="shared" si="36"/>
        <v>0</v>
      </c>
      <c r="AR43" s="16">
        <f t="shared" si="36"/>
        <v>0</v>
      </c>
      <c r="AS43" s="16">
        <f t="shared" si="36"/>
        <v>16139.1</v>
      </c>
      <c r="AT43" s="16">
        <f t="shared" si="36"/>
        <v>16131</v>
      </c>
      <c r="AU43" s="10">
        <f t="shared" si="5"/>
        <v>99.9498113277692</v>
      </c>
      <c r="AV43" s="16">
        <f>SUM(AV44:AV44)</f>
        <v>8.100000000000364</v>
      </c>
      <c r="AW43" s="16">
        <f>SUM(AW44:AW44)</f>
        <v>4599.9000000000015</v>
      </c>
      <c r="AX43" s="20">
        <f t="shared" si="13"/>
        <v>16139.1</v>
      </c>
      <c r="AY43" s="20">
        <f t="shared" si="14"/>
        <v>16131</v>
      </c>
      <c r="AZ43" s="39">
        <f t="shared" si="15"/>
        <v>4599.9000000000015</v>
      </c>
    </row>
    <row r="44" spans="1:52" s="11" customFormat="1" ht="34.5" customHeight="1">
      <c r="A44" s="65"/>
      <c r="B44" s="38" t="s">
        <v>67</v>
      </c>
      <c r="C44" s="84">
        <v>4591.8</v>
      </c>
      <c r="D44" s="66">
        <v>1566.8</v>
      </c>
      <c r="E44" s="66">
        <v>3419.1</v>
      </c>
      <c r="F44" s="10">
        <f t="shared" si="25"/>
        <v>218.22185345928006</v>
      </c>
      <c r="G44" s="35">
        <v>1652.1</v>
      </c>
      <c r="H44" s="35">
        <v>501</v>
      </c>
      <c r="I44" s="10">
        <f t="shared" si="6"/>
        <v>30.32504085709098</v>
      </c>
      <c r="J44" s="35">
        <v>1605.3</v>
      </c>
      <c r="K44" s="35">
        <v>409.7</v>
      </c>
      <c r="L44" s="101">
        <f t="shared" si="27"/>
        <v>25.52170933781848</v>
      </c>
      <c r="M44" s="71">
        <f t="shared" si="16"/>
        <v>4824.2</v>
      </c>
      <c r="N44" s="71">
        <f t="shared" si="17"/>
        <v>4329.8</v>
      </c>
      <c r="O44" s="10">
        <f t="shared" si="1"/>
        <v>89.75166867045314</v>
      </c>
      <c r="P44" s="35">
        <v>1689.6</v>
      </c>
      <c r="Q44" s="35">
        <v>3138</v>
      </c>
      <c r="R44" s="10">
        <f t="shared" si="8"/>
        <v>185.72443181818184</v>
      </c>
      <c r="S44" s="35">
        <v>1851</v>
      </c>
      <c r="T44" s="35">
        <v>1257.3</v>
      </c>
      <c r="U44" s="10">
        <f t="shared" si="9"/>
        <v>67.92544570502432</v>
      </c>
      <c r="V44" s="35">
        <v>2032.9</v>
      </c>
      <c r="W44" s="35">
        <v>1677.4</v>
      </c>
      <c r="X44" s="10">
        <f t="shared" si="28"/>
        <v>82.51266663387278</v>
      </c>
      <c r="Y44" s="71">
        <f>P44+S44+V44</f>
        <v>5573.5</v>
      </c>
      <c r="Z44" s="71">
        <f>Q44+T44+W44</f>
        <v>6072.700000000001</v>
      </c>
      <c r="AA44" s="10">
        <f t="shared" si="31"/>
        <v>108.956669956042</v>
      </c>
      <c r="AB44" s="35">
        <v>1911.8</v>
      </c>
      <c r="AC44" s="35">
        <v>1829</v>
      </c>
      <c r="AD44" s="10">
        <f t="shared" si="3"/>
        <v>95.66900303379015</v>
      </c>
      <c r="AE44" s="35">
        <v>1896.6</v>
      </c>
      <c r="AF44" s="35">
        <v>0.1</v>
      </c>
      <c r="AG44" s="10">
        <f t="shared" si="4"/>
        <v>0.005272593061267532</v>
      </c>
      <c r="AH44" s="35">
        <v>1933</v>
      </c>
      <c r="AI44" s="35">
        <v>3899.4</v>
      </c>
      <c r="AJ44" s="71">
        <f>AB44+AE44+AH44</f>
        <v>5741.4</v>
      </c>
      <c r="AK44" s="71">
        <f>AC44+AF44+AI44</f>
        <v>5728.5</v>
      </c>
      <c r="AL44" s="10">
        <f t="shared" si="32"/>
        <v>99.77531612498694</v>
      </c>
      <c r="AM44" s="35"/>
      <c r="AN44" s="35"/>
      <c r="AO44" s="35"/>
      <c r="AP44" s="35"/>
      <c r="AQ44" s="35"/>
      <c r="AR44" s="35"/>
      <c r="AS44" s="58">
        <f>M44+Y44+AJ44+AM44+AO44+AQ44</f>
        <v>16139.1</v>
      </c>
      <c r="AT44" s="58">
        <f>N44+Z44+AK44+AN44+AP44+AR44</f>
        <v>16131</v>
      </c>
      <c r="AU44" s="10">
        <f t="shared" si="5"/>
        <v>99.9498113277692</v>
      </c>
      <c r="AV44" s="58">
        <f t="shared" si="24"/>
        <v>8.100000000000364</v>
      </c>
      <c r="AW44" s="16">
        <f>C44+AS44-AT44</f>
        <v>4599.9000000000015</v>
      </c>
      <c r="AX44" s="20">
        <f t="shared" si="13"/>
        <v>16139.1</v>
      </c>
      <c r="AY44" s="20">
        <f t="shared" si="14"/>
        <v>16131</v>
      </c>
      <c r="AZ44" s="39">
        <f>C44+AX44-AY44</f>
        <v>4599.9000000000015</v>
      </c>
    </row>
    <row r="45" spans="1:52" s="11" customFormat="1" ht="34.5" customHeight="1">
      <c r="A45" s="65"/>
      <c r="B45" s="14" t="s">
        <v>96</v>
      </c>
      <c r="C45" s="67">
        <f>C7+C43</f>
        <v>6333.700000000001</v>
      </c>
      <c r="D45" s="16">
        <f>D7+D43</f>
        <v>2603.8</v>
      </c>
      <c r="E45" s="16">
        <f>E7+E43</f>
        <v>4376.7</v>
      </c>
      <c r="F45" s="10">
        <f t="shared" si="25"/>
        <v>168.08894692372684</v>
      </c>
      <c r="G45" s="16">
        <f>G7+G43</f>
        <v>2693.5</v>
      </c>
      <c r="H45" s="16">
        <f>H7+H43</f>
        <v>1518.7000000000003</v>
      </c>
      <c r="I45" s="10">
        <f t="shared" si="6"/>
        <v>56.383887135697066</v>
      </c>
      <c r="J45" s="16">
        <f>J7+J43</f>
        <v>2670.4</v>
      </c>
      <c r="K45" s="16">
        <f>K7+K43</f>
        <v>1143.6</v>
      </c>
      <c r="L45" s="101">
        <f t="shared" si="27"/>
        <v>42.825044937088066</v>
      </c>
      <c r="M45" s="16">
        <f>M7+M43</f>
        <v>7967.7</v>
      </c>
      <c r="N45" s="16">
        <f>N7+N43</f>
        <v>7039</v>
      </c>
      <c r="O45" s="10">
        <f t="shared" si="1"/>
        <v>88.34418966577557</v>
      </c>
      <c r="P45" s="16">
        <f>P7+P43</f>
        <v>2760.1</v>
      </c>
      <c r="Q45" s="16">
        <f>Q7+Q43</f>
        <v>4616.5</v>
      </c>
      <c r="R45" s="10">
        <f t="shared" si="8"/>
        <v>167.25843266548316</v>
      </c>
      <c r="S45" s="16">
        <f>S7+S43</f>
        <v>3045.7999999999997</v>
      </c>
      <c r="T45" s="16">
        <f>T7+T43</f>
        <v>2413</v>
      </c>
      <c r="U45" s="10">
        <f t="shared" si="9"/>
        <v>79.22384923501215</v>
      </c>
      <c r="V45" s="16">
        <f>V7+V43</f>
        <v>3341</v>
      </c>
      <c r="W45" s="16">
        <f>W7+W43</f>
        <v>2614.2000000000003</v>
      </c>
      <c r="X45" s="10">
        <f t="shared" si="28"/>
        <v>78.24603412152051</v>
      </c>
      <c r="Y45" s="16">
        <f>Y7+Y43</f>
        <v>9146.900000000001</v>
      </c>
      <c r="Z45" s="16">
        <f>Z7+Z43</f>
        <v>9643.7</v>
      </c>
      <c r="AA45" s="10">
        <f t="shared" si="31"/>
        <v>105.43134832566223</v>
      </c>
      <c r="AB45" s="16">
        <f>AB7+AB43</f>
        <v>3275.7</v>
      </c>
      <c r="AC45" s="16">
        <f>AC7+AC43</f>
        <v>2967.0999999999995</v>
      </c>
      <c r="AD45" s="10">
        <f t="shared" si="3"/>
        <v>90.57911286137313</v>
      </c>
      <c r="AE45" s="16">
        <f>AE43+AE7</f>
        <v>3305.7999999999997</v>
      </c>
      <c r="AF45" s="16">
        <f>AF43+AF7</f>
        <v>152.99999999999997</v>
      </c>
      <c r="AG45" s="10">
        <f t="shared" si="4"/>
        <v>4.628229172968721</v>
      </c>
      <c r="AH45" s="16">
        <f>AH43+AH7</f>
        <v>3321.89</v>
      </c>
      <c r="AI45" s="16">
        <f>AI43+AI7</f>
        <v>6184</v>
      </c>
      <c r="AJ45" s="16">
        <f>AJ7+AJ43</f>
        <v>9903.39</v>
      </c>
      <c r="AK45" s="16">
        <f>AK7+AK43</f>
        <v>9304.1</v>
      </c>
      <c r="AL45" s="10">
        <f t="shared" si="32"/>
        <v>93.94863778968616</v>
      </c>
      <c r="AM45" s="16">
        <f aca="true" t="shared" si="37" ref="AM45:AR45">AM43+AM7</f>
        <v>0</v>
      </c>
      <c r="AN45" s="16">
        <f t="shared" si="37"/>
        <v>0</v>
      </c>
      <c r="AO45" s="16">
        <f t="shared" si="37"/>
        <v>0</v>
      </c>
      <c r="AP45" s="16">
        <f t="shared" si="37"/>
        <v>0</v>
      </c>
      <c r="AQ45" s="16">
        <f t="shared" si="37"/>
        <v>0</v>
      </c>
      <c r="AR45" s="16">
        <f t="shared" si="37"/>
        <v>0</v>
      </c>
      <c r="AS45" s="67">
        <f>AS7+AS43</f>
        <v>27017.989999999998</v>
      </c>
      <c r="AT45" s="67">
        <f>AT7+AT43</f>
        <v>25986.800000000003</v>
      </c>
      <c r="AU45" s="10">
        <f>AT45/AS45*100</f>
        <v>96.18332081698159</v>
      </c>
      <c r="AV45" s="16">
        <f>AV7+AV43</f>
        <v>1031.1900000000005</v>
      </c>
      <c r="AW45" s="16">
        <f>AW7+AW43</f>
        <v>7364.890000000001</v>
      </c>
      <c r="AX45" s="20">
        <f t="shared" si="13"/>
        <v>27017.99</v>
      </c>
      <c r="AY45" s="20">
        <f t="shared" si="14"/>
        <v>25986.8</v>
      </c>
      <c r="AZ45" s="39">
        <f>C45+AX45-AY45</f>
        <v>7364.890000000003</v>
      </c>
    </row>
    <row r="46" spans="1:52" s="132" customFormat="1" ht="54.75" customHeight="1">
      <c r="A46" s="160" t="s">
        <v>101</v>
      </c>
      <c r="B46" s="160"/>
      <c r="C46" s="160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6"/>
      <c r="AT46" s="126"/>
      <c r="AU46" s="127"/>
      <c r="AV46" s="127"/>
      <c r="AW46" s="128" t="s">
        <v>100</v>
      </c>
      <c r="AX46" s="130"/>
      <c r="AY46" s="131"/>
      <c r="AZ46" s="131">
        <f>AZ45-AW45</f>
        <v>0</v>
      </c>
    </row>
    <row r="47" spans="1:50" s="29" customFormat="1" ht="96.75" customHeight="1">
      <c r="A47" s="26"/>
      <c r="B47" s="173" t="s">
        <v>74</v>
      </c>
      <c r="C47" s="173"/>
      <c r="D47" s="173"/>
      <c r="E47" s="173"/>
      <c r="F47" s="173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80" t="s">
        <v>75</v>
      </c>
      <c r="AW47" s="181"/>
      <c r="AX47" s="89"/>
    </row>
    <row r="48" spans="1:49" ht="73.5" customHeight="1" hidden="1">
      <c r="A48" s="172" t="s">
        <v>72</v>
      </c>
      <c r="B48" s="172"/>
      <c r="C48" s="30"/>
      <c r="D48" s="30"/>
      <c r="E48" s="30"/>
      <c r="F48" s="30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</row>
    <row r="49" spans="2:48" ht="32.25" customHeight="1" hidden="1">
      <c r="B49" s="179" t="s">
        <v>44</v>
      </c>
      <c r="C49" s="179"/>
      <c r="D49" s="179"/>
      <c r="E49" s="179"/>
      <c r="F49" s="179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</row>
    <row r="50" spans="31:44" ht="18.75"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24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24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24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3:49" ht="18.75">
      <c r="C55" s="24"/>
      <c r="D55" s="17"/>
      <c r="E55" s="17"/>
      <c r="F55" s="48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24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24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24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24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24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24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24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24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24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24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24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24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24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24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24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24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24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24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24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24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24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24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24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24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24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24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24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24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24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24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24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24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24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24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24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24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24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24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24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24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24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24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6">
    <mergeCell ref="I1:AW1"/>
    <mergeCell ref="B4:F4"/>
    <mergeCell ref="G5:I5"/>
    <mergeCell ref="AS5:AU5"/>
    <mergeCell ref="AM5:AN5"/>
    <mergeCell ref="AJ5:AL5"/>
    <mergeCell ref="AO5:AP5"/>
    <mergeCell ref="AQ5:AR5"/>
    <mergeCell ref="B2:AW3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B47:F47"/>
    <mergeCell ref="D5:F5"/>
    <mergeCell ref="AE5:AG5"/>
    <mergeCell ref="S5:U5"/>
    <mergeCell ref="Y5:AA5"/>
    <mergeCell ref="AH5:AI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8"/>
  <sheetViews>
    <sheetView view="pageBreakPreview" zoomScale="80" zoomScaleNormal="50" zoomScaleSheetLayoutView="80" zoomScalePageLayoutView="0" workbookViewId="0" topLeftCell="A3">
      <pane xSplit="5" ySplit="4" topLeftCell="AI43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Z50" sqref="AZ50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6" customWidth="1"/>
    <col min="4" max="4" width="17.00390625" style="2" hidden="1" customWidth="1"/>
    <col min="5" max="5" width="15.75390625" style="2" hidden="1" customWidth="1"/>
    <col min="6" max="6" width="11.875" style="11" hidden="1" customWidth="1"/>
    <col min="7" max="7" width="14.75390625" style="2" hidden="1" customWidth="1"/>
    <col min="8" max="8" width="16.00390625" style="2" hidden="1" customWidth="1"/>
    <col min="9" max="9" width="12.875" style="11" hidden="1" customWidth="1"/>
    <col min="10" max="10" width="14.75390625" style="2" hidden="1" customWidth="1"/>
    <col min="11" max="11" width="16.00390625" style="2" hidden="1" customWidth="1"/>
    <col min="12" max="12" width="11.875" style="11" hidden="1" customWidth="1"/>
    <col min="13" max="13" width="13.87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3.375" style="11" hidden="1" customWidth="1"/>
    <col min="22" max="22" width="15.75390625" style="11" hidden="1" customWidth="1"/>
    <col min="23" max="23" width="13.875" style="11" hidden="1" customWidth="1"/>
    <col min="24" max="24" width="11.125" style="11" hidden="1" customWidth="1"/>
    <col min="25" max="25" width="13.875" style="11" customWidth="1"/>
    <col min="26" max="26" width="12.375" style="11" customWidth="1"/>
    <col min="27" max="27" width="11.125" style="11" customWidth="1"/>
    <col min="28" max="28" width="15.75390625" style="11" customWidth="1"/>
    <col min="29" max="29" width="13.25390625" style="11" customWidth="1"/>
    <col min="30" max="30" width="11.125" style="11" customWidth="1"/>
    <col min="31" max="31" width="14.75390625" style="11" customWidth="1"/>
    <col min="32" max="32" width="12.125" style="11" customWidth="1"/>
    <col min="33" max="33" width="11.00390625" style="11" hidden="1" customWidth="1"/>
    <col min="34" max="34" width="12.875" style="11" customWidth="1"/>
    <col min="35" max="35" width="11.875" style="11" customWidth="1"/>
    <col min="36" max="36" width="11.875" style="11" hidden="1" customWidth="1"/>
    <col min="37" max="37" width="13.875" style="11" hidden="1" customWidth="1"/>
    <col min="38" max="38" width="12.375" style="11" hidden="1" customWidth="1"/>
    <col min="39" max="39" width="11.125" style="11" hidden="1" customWidth="1"/>
    <col min="40" max="40" width="12.875" style="11" hidden="1" customWidth="1"/>
    <col min="41" max="41" width="11.875" style="11" hidden="1" customWidth="1"/>
    <col min="42" max="42" width="12.875" style="11" hidden="1" customWidth="1"/>
    <col min="43" max="43" width="12.375" style="11" hidden="1" customWidth="1"/>
    <col min="44" max="44" width="12.875" style="11" hidden="1" customWidth="1"/>
    <col min="45" max="45" width="11.875" style="11" hidden="1" customWidth="1"/>
    <col min="46" max="47" width="14.75390625" style="2" customWidth="1"/>
    <col min="48" max="48" width="11.125" style="11" customWidth="1"/>
    <col min="49" max="49" width="20.625" style="2" customWidth="1"/>
    <col min="50" max="50" width="28.125" style="2" customWidth="1"/>
    <col min="51" max="52" width="11.875" style="2" customWidth="1"/>
    <col min="53" max="53" width="12.125" style="2" customWidth="1"/>
    <col min="54" max="16384" width="7.875" style="2" customWidth="1"/>
  </cols>
  <sheetData>
    <row r="1" spans="9:50" ht="22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1" customFormat="1" ht="60" customHeight="1">
      <c r="A2" s="159" t="s">
        <v>118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</row>
    <row r="3" spans="1:50" s="51" customFormat="1" ht="60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</row>
    <row r="4" spans="2:50" ht="49.5" customHeight="1">
      <c r="B4" s="182"/>
      <c r="C4" s="182"/>
      <c r="D4" s="182"/>
      <c r="E4" s="182"/>
      <c r="F4" s="182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86</v>
      </c>
    </row>
    <row r="5" spans="1:50" ht="58.5" customHeight="1">
      <c r="A5" s="41" t="s">
        <v>46</v>
      </c>
      <c r="B5" s="42"/>
      <c r="C5" s="43" t="s">
        <v>1</v>
      </c>
      <c r="D5" s="169" t="s">
        <v>102</v>
      </c>
      <c r="E5" s="170"/>
      <c r="F5" s="171"/>
      <c r="G5" s="164" t="s">
        <v>105</v>
      </c>
      <c r="H5" s="165"/>
      <c r="I5" s="166"/>
      <c r="J5" s="164" t="s">
        <v>106</v>
      </c>
      <c r="K5" s="165"/>
      <c r="L5" s="166"/>
      <c r="M5" s="164" t="s">
        <v>107</v>
      </c>
      <c r="N5" s="165"/>
      <c r="O5" s="166"/>
      <c r="P5" s="164" t="s">
        <v>108</v>
      </c>
      <c r="Q5" s="165"/>
      <c r="R5" s="166"/>
      <c r="S5" s="176" t="s">
        <v>110</v>
      </c>
      <c r="T5" s="177"/>
      <c r="U5" s="178"/>
      <c r="V5" s="176" t="s">
        <v>111</v>
      </c>
      <c r="W5" s="177"/>
      <c r="X5" s="178"/>
      <c r="Y5" s="164" t="s">
        <v>112</v>
      </c>
      <c r="Z5" s="165"/>
      <c r="AA5" s="166"/>
      <c r="AB5" s="164" t="s">
        <v>113</v>
      </c>
      <c r="AC5" s="165"/>
      <c r="AD5" s="166"/>
      <c r="AE5" s="164" t="s">
        <v>114</v>
      </c>
      <c r="AF5" s="165"/>
      <c r="AG5" s="166"/>
      <c r="AH5" s="164" t="s">
        <v>123</v>
      </c>
      <c r="AI5" s="165"/>
      <c r="AJ5" s="166"/>
      <c r="AK5" s="164" t="s">
        <v>84</v>
      </c>
      <c r="AL5" s="165"/>
      <c r="AM5" s="166"/>
      <c r="AN5" s="164" t="s">
        <v>79</v>
      </c>
      <c r="AO5" s="166"/>
      <c r="AP5" s="164" t="s">
        <v>80</v>
      </c>
      <c r="AQ5" s="166"/>
      <c r="AR5" s="164" t="s">
        <v>81</v>
      </c>
      <c r="AS5" s="166"/>
      <c r="AT5" s="169" t="s">
        <v>103</v>
      </c>
      <c r="AU5" s="170"/>
      <c r="AV5" s="171"/>
      <c r="AW5" s="167" t="s">
        <v>124</v>
      </c>
      <c r="AX5" s="167" t="s">
        <v>125</v>
      </c>
    </row>
    <row r="6" spans="1:50" ht="49.5" customHeight="1">
      <c r="A6" s="44" t="s">
        <v>47</v>
      </c>
      <c r="B6" s="45" t="s">
        <v>97</v>
      </c>
      <c r="C6" s="40" t="s">
        <v>104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85</v>
      </c>
      <c r="AU6" s="45" t="s">
        <v>69</v>
      </c>
      <c r="AV6" s="47" t="s">
        <v>0</v>
      </c>
      <c r="AW6" s="168"/>
      <c r="AX6" s="168"/>
    </row>
    <row r="7" spans="1:53" s="11" customFormat="1" ht="34.5" customHeight="1">
      <c r="A7" s="47"/>
      <c r="B7" s="112" t="s">
        <v>98</v>
      </c>
      <c r="C7" s="10">
        <f>SUM(C8:C42)-C33-C34</f>
        <v>8376.6</v>
      </c>
      <c r="D7" s="10">
        <f aca="true" t="shared" si="0" ref="D7:AU7">SUM(D8:D42)-D33-D34</f>
        <v>12104.899999999998</v>
      </c>
      <c r="E7" s="10">
        <f t="shared" si="0"/>
        <v>6128.600000000001</v>
      </c>
      <c r="F7" s="10">
        <f t="shared" si="0"/>
        <v>2468.37766354515</v>
      </c>
      <c r="G7" s="10">
        <f t="shared" si="0"/>
        <v>-2151.5</v>
      </c>
      <c r="H7" s="10">
        <f t="shared" si="0"/>
        <v>8966.6</v>
      </c>
      <c r="I7" s="10" t="e">
        <f t="shared" si="0"/>
        <v>#DIV/0!</v>
      </c>
      <c r="J7" s="10">
        <f t="shared" si="0"/>
        <v>-1317.2000000000003</v>
      </c>
      <c r="K7" s="10">
        <f t="shared" si="0"/>
        <v>1071.8999999999999</v>
      </c>
      <c r="L7" s="10" t="e">
        <f t="shared" si="0"/>
        <v>#DIV/0!</v>
      </c>
      <c r="M7" s="10">
        <f t="shared" si="0"/>
        <v>8636.199999999999</v>
      </c>
      <c r="N7" s="10">
        <f t="shared" si="0"/>
        <v>16167.100000000002</v>
      </c>
      <c r="O7" s="10">
        <f aca="true" t="shared" si="1" ref="O7:O45">N7/M7*100</f>
        <v>187.20154697667962</v>
      </c>
      <c r="P7" s="10">
        <f t="shared" si="0"/>
        <v>92.49999999999999</v>
      </c>
      <c r="Q7" s="10">
        <f t="shared" si="0"/>
        <v>296.4</v>
      </c>
      <c r="R7" s="10" t="e">
        <f t="shared" si="0"/>
        <v>#DIV/0!</v>
      </c>
      <c r="S7" s="10">
        <f t="shared" si="0"/>
        <v>-3141.4</v>
      </c>
      <c r="T7" s="10">
        <f t="shared" si="0"/>
        <v>156.29999999999998</v>
      </c>
      <c r="U7" s="10">
        <f t="shared" si="0"/>
        <v>0</v>
      </c>
      <c r="V7" s="10">
        <f t="shared" si="0"/>
        <v>-460.4</v>
      </c>
      <c r="W7" s="10">
        <f t="shared" si="0"/>
        <v>-574.9000000000001</v>
      </c>
      <c r="X7" s="10" t="e">
        <f t="shared" si="0"/>
        <v>#DIV/0!</v>
      </c>
      <c r="Y7" s="10">
        <f t="shared" si="0"/>
        <v>-3509.3000000000006</v>
      </c>
      <c r="Z7" s="10">
        <f t="shared" si="0"/>
        <v>-122.20000000000009</v>
      </c>
      <c r="AA7" s="10">
        <f aca="true" t="shared" si="2" ref="AA7:AA28">Z7/Y7*100</f>
        <v>3.482175932522157</v>
      </c>
      <c r="AB7" s="10">
        <f t="shared" si="0"/>
        <v>717.7</v>
      </c>
      <c r="AC7" s="10">
        <f t="shared" si="0"/>
        <v>-56.8</v>
      </c>
      <c r="AD7" s="10">
        <f aca="true" t="shared" si="3" ref="AD7:AD45">AC7/AB7*100</f>
        <v>-7.9141702661279085</v>
      </c>
      <c r="AE7" s="10">
        <f t="shared" si="0"/>
        <v>2007.7</v>
      </c>
      <c r="AF7" s="10">
        <f t="shared" si="0"/>
        <v>131.1</v>
      </c>
      <c r="AG7" s="10">
        <f aca="true" t="shared" si="4" ref="AG7:AG45">AF7/AE7*100</f>
        <v>6.529860038850425</v>
      </c>
      <c r="AH7" s="10">
        <f t="shared" si="0"/>
        <v>402.2</v>
      </c>
      <c r="AI7" s="10">
        <f t="shared" si="0"/>
        <v>2113.9</v>
      </c>
      <c r="AJ7" s="10">
        <f aca="true" t="shared" si="5" ref="AJ7:AJ45">AI7/AH7*100</f>
        <v>525.5842864246644</v>
      </c>
      <c r="AK7" s="10">
        <f t="shared" si="0"/>
        <v>3127.6</v>
      </c>
      <c r="AL7" s="10">
        <f t="shared" si="0"/>
        <v>2188.2000000000003</v>
      </c>
      <c r="AM7" s="10" t="e">
        <f t="shared" si="0"/>
        <v>#DIV/0!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0</v>
      </c>
      <c r="AT7" s="10">
        <f t="shared" si="0"/>
        <v>8254.500000000002</v>
      </c>
      <c r="AU7" s="10">
        <f t="shared" si="0"/>
        <v>18233.1</v>
      </c>
      <c r="AV7" s="10">
        <f aca="true" t="shared" si="6" ref="AV7:AV44">AU7/AT7*100</f>
        <v>220.8867890241686</v>
      </c>
      <c r="AW7" s="10">
        <f>SUM(AW8:AW42)-AW33-AW34</f>
        <v>-9978.599999999999</v>
      </c>
      <c r="AX7" s="10">
        <f>SUM(AX8:AX42)-AX33-AX34</f>
        <v>-1602.0000000000007</v>
      </c>
      <c r="AY7" s="20">
        <f>M7+P7+S7+V7+AB7+AE7+AH7</f>
        <v>8254.5</v>
      </c>
      <c r="AZ7" s="20">
        <f>N7+Q7+T7+W7+AC7+AF7+AI7</f>
        <v>18233.100000000006</v>
      </c>
      <c r="BA7" s="39">
        <f>C7+AY7-AZ7</f>
        <v>-1602.0000000000073</v>
      </c>
    </row>
    <row r="8" spans="1:53" ht="34.5" customHeight="1">
      <c r="A8" s="56">
        <v>1</v>
      </c>
      <c r="B8" s="57" t="s">
        <v>49</v>
      </c>
      <c r="C8" s="13">
        <v>712.5</v>
      </c>
      <c r="D8" s="35">
        <v>936.7</v>
      </c>
      <c r="E8" s="35">
        <v>613.2</v>
      </c>
      <c r="F8" s="10">
        <f aca="true" t="shared" si="7" ref="F8:F45">E8/D8*100</f>
        <v>65.46386249599658</v>
      </c>
      <c r="G8" s="35">
        <v>76.9</v>
      </c>
      <c r="H8" s="35">
        <v>938.4</v>
      </c>
      <c r="I8" s="10">
        <f aca="true" t="shared" si="8" ref="I8:I45">H8/G8*100</f>
        <v>1220.2860858257477</v>
      </c>
      <c r="J8" s="35">
        <v>3.6</v>
      </c>
      <c r="K8" s="35">
        <v>22.3</v>
      </c>
      <c r="L8" s="10">
        <f aca="true" t="shared" si="9" ref="L8:L28">K8/J8*100</f>
        <v>619.4444444444445</v>
      </c>
      <c r="M8" s="71">
        <f>D8+G8+J8</f>
        <v>1017.2</v>
      </c>
      <c r="N8" s="71">
        <f>E8+H8+K8</f>
        <v>1573.8999999999999</v>
      </c>
      <c r="O8" s="10">
        <f t="shared" si="1"/>
        <v>154.7286669288242</v>
      </c>
      <c r="P8" s="35">
        <v>0.5</v>
      </c>
      <c r="Q8" s="35">
        <v>0</v>
      </c>
      <c r="R8" s="10">
        <f aca="true" t="shared" si="10" ref="R8:R45">Q8/P8*100</f>
        <v>0</v>
      </c>
      <c r="S8" s="35">
        <v>-667.1</v>
      </c>
      <c r="T8" s="35">
        <v>0</v>
      </c>
      <c r="U8" s="10"/>
      <c r="V8" s="35">
        <v>21</v>
      </c>
      <c r="W8" s="35">
        <v>0</v>
      </c>
      <c r="X8" s="10">
        <f aca="true" t="shared" si="11" ref="X8:X28">W8/V8*100</f>
        <v>0</v>
      </c>
      <c r="Y8" s="71">
        <f>P8+S8+V8</f>
        <v>-645.6</v>
      </c>
      <c r="Z8" s="71">
        <f>Q8+T8+W8</f>
        <v>0</v>
      </c>
      <c r="AA8" s="10">
        <f t="shared" si="2"/>
        <v>0</v>
      </c>
      <c r="AB8" s="35">
        <v>0.3</v>
      </c>
      <c r="AC8" s="35">
        <v>0</v>
      </c>
      <c r="AD8" s="10">
        <f t="shared" si="3"/>
        <v>0</v>
      </c>
      <c r="AE8" s="35">
        <v>0.3</v>
      </c>
      <c r="AF8" s="35">
        <v>0</v>
      </c>
      <c r="AG8" s="10">
        <f t="shared" si="4"/>
        <v>0</v>
      </c>
      <c r="AH8" s="35">
        <v>274.4</v>
      </c>
      <c r="AI8" s="35">
        <v>0</v>
      </c>
      <c r="AJ8" s="10">
        <f t="shared" si="5"/>
        <v>0</v>
      </c>
      <c r="AK8" s="71">
        <f aca="true" t="shared" si="12" ref="AK8:AK31">AB8+AE8+AH8</f>
        <v>275</v>
      </c>
      <c r="AL8" s="71">
        <f aca="true" t="shared" si="13" ref="AL8:AL31">AC8+AF8+AI8</f>
        <v>0</v>
      </c>
      <c r="AM8" s="10">
        <f aca="true" t="shared" si="14" ref="AM8:AM28">AL8/AK8*100</f>
        <v>0</v>
      </c>
      <c r="AN8" s="35"/>
      <c r="AO8" s="35"/>
      <c r="AP8" s="35"/>
      <c r="AQ8" s="35"/>
      <c r="AR8" s="35"/>
      <c r="AS8" s="35"/>
      <c r="AT8" s="58">
        <f>M8+Y8+AK8+AN8+AP8+AR8</f>
        <v>646.6</v>
      </c>
      <c r="AU8" s="58">
        <f>N8+Z8+AL8+AO8+AQ8+AS8</f>
        <v>1573.8999999999999</v>
      </c>
      <c r="AV8" s="10">
        <f t="shared" si="6"/>
        <v>243.41169192700275</v>
      </c>
      <c r="AW8" s="58">
        <f>AT8-AU8</f>
        <v>-927.2999999999998</v>
      </c>
      <c r="AX8" s="16">
        <f>C8+AT8-AU8</f>
        <v>-214.79999999999995</v>
      </c>
      <c r="AY8" s="20">
        <f aca="true" t="shared" si="15" ref="AY8:AY45">M8+P8+S8+V8+AB8+AE8+AH8</f>
        <v>646.6</v>
      </c>
      <c r="AZ8" s="20">
        <f aca="true" t="shared" si="16" ref="AZ8:AZ45">N8+Q8+T8+W8+AC8+AF8+AI8</f>
        <v>1573.8999999999999</v>
      </c>
      <c r="BA8" s="39">
        <f aca="true" t="shared" si="17" ref="BA8:BA45">C8+AY8-AZ8</f>
        <v>-214.79999999999995</v>
      </c>
    </row>
    <row r="9" spans="1:53" ht="34.5" customHeight="1">
      <c r="A9" s="56">
        <v>2</v>
      </c>
      <c r="B9" s="59" t="s">
        <v>65</v>
      </c>
      <c r="C9" s="13">
        <v>395.6</v>
      </c>
      <c r="D9" s="35">
        <v>260.3</v>
      </c>
      <c r="E9" s="35">
        <v>337.7</v>
      </c>
      <c r="F9" s="10">
        <f>E9/D9*100</f>
        <v>129.7349212447176</v>
      </c>
      <c r="G9" s="35">
        <v>-0.1</v>
      </c>
      <c r="H9" s="35">
        <v>292.1</v>
      </c>
      <c r="I9" s="85">
        <f t="shared" si="8"/>
        <v>-292100</v>
      </c>
      <c r="J9" s="35">
        <v>2.1</v>
      </c>
      <c r="K9" s="35">
        <v>16</v>
      </c>
      <c r="L9" s="10">
        <f t="shared" si="9"/>
        <v>761.9047619047618</v>
      </c>
      <c r="M9" s="71">
        <f aca="true" t="shared" si="18" ref="M9:M44">D9+G9+J9</f>
        <v>262.3</v>
      </c>
      <c r="N9" s="71">
        <f aca="true" t="shared" si="19" ref="N9:N44">E9+H9+K9</f>
        <v>645.8</v>
      </c>
      <c r="O9" s="10">
        <f t="shared" si="1"/>
        <v>246.2066336256195</v>
      </c>
      <c r="P9" s="35">
        <v>-0.8</v>
      </c>
      <c r="Q9" s="35">
        <v>0</v>
      </c>
      <c r="R9" s="10">
        <f t="shared" si="10"/>
        <v>0</v>
      </c>
      <c r="S9" s="35">
        <v>-277.5</v>
      </c>
      <c r="T9" s="35">
        <v>0</v>
      </c>
      <c r="U9" s="10"/>
      <c r="V9" s="35">
        <v>0</v>
      </c>
      <c r="W9" s="35">
        <v>0</v>
      </c>
      <c r="X9" s="85" t="e">
        <f t="shared" si="11"/>
        <v>#DIV/0!</v>
      </c>
      <c r="Y9" s="71">
        <f aca="true" t="shared" si="20" ref="Y9:Y28">P9+S9+V9</f>
        <v>-278.3</v>
      </c>
      <c r="Z9" s="71">
        <f aca="true" t="shared" si="21" ref="Z9:Z28">Q9+T9+W9</f>
        <v>0</v>
      </c>
      <c r="AA9" s="10">
        <f t="shared" si="2"/>
        <v>0</v>
      </c>
      <c r="AB9" s="35">
        <v>0</v>
      </c>
      <c r="AC9" s="35">
        <v>0</v>
      </c>
      <c r="AD9" s="85" t="e">
        <f t="shared" si="3"/>
        <v>#DIV/0!</v>
      </c>
      <c r="AE9" s="35">
        <v>31.6</v>
      </c>
      <c r="AF9" s="35">
        <v>0</v>
      </c>
      <c r="AG9" s="10">
        <f t="shared" si="4"/>
        <v>0</v>
      </c>
      <c r="AH9" s="35">
        <v>0</v>
      </c>
      <c r="AI9" s="35">
        <v>0</v>
      </c>
      <c r="AJ9" s="10" t="e">
        <f t="shared" si="5"/>
        <v>#DIV/0!</v>
      </c>
      <c r="AK9" s="71">
        <f t="shared" si="12"/>
        <v>31.6</v>
      </c>
      <c r="AL9" s="71">
        <f t="shared" si="13"/>
        <v>0</v>
      </c>
      <c r="AM9" s="10">
        <f t="shared" si="14"/>
        <v>0</v>
      </c>
      <c r="AN9" s="35"/>
      <c r="AO9" s="35"/>
      <c r="AP9" s="35"/>
      <c r="AQ9" s="35"/>
      <c r="AR9" s="35"/>
      <c r="AS9" s="35"/>
      <c r="AT9" s="58">
        <f aca="true" t="shared" si="22" ref="AT9:AT42">M9+Y9+AK9+AN9+AP9+AR9</f>
        <v>15.600000000000001</v>
      </c>
      <c r="AU9" s="58">
        <f aca="true" t="shared" si="23" ref="AU9:AU42">N9+Z9+AL9+AO9+AQ9+AS9</f>
        <v>645.8</v>
      </c>
      <c r="AV9" s="10">
        <f t="shared" si="6"/>
        <v>4139.743589743589</v>
      </c>
      <c r="AW9" s="58">
        <f aca="true" t="shared" si="24" ref="AW9:AW44">AT9-AU9</f>
        <v>-630.1999999999999</v>
      </c>
      <c r="AX9" s="16">
        <f aca="true" t="shared" si="25" ref="AX9:AX44">C9+AT9-AU9</f>
        <v>-234.5999999999999</v>
      </c>
      <c r="AY9" s="20">
        <f t="shared" si="15"/>
        <v>15.600000000000001</v>
      </c>
      <c r="AZ9" s="20">
        <f t="shared" si="16"/>
        <v>645.8</v>
      </c>
      <c r="BA9" s="39">
        <f t="shared" si="17"/>
        <v>-234.5999999999999</v>
      </c>
    </row>
    <row r="10" spans="1:53" ht="34.5" customHeight="1">
      <c r="A10" s="56">
        <v>3</v>
      </c>
      <c r="B10" s="61" t="s">
        <v>87</v>
      </c>
      <c r="C10" s="13">
        <v>15.8</v>
      </c>
      <c r="D10" s="35">
        <v>101.2</v>
      </c>
      <c r="E10" s="35">
        <v>0</v>
      </c>
      <c r="F10" s="10">
        <f>E10/D10*100</f>
        <v>0</v>
      </c>
      <c r="G10" s="35">
        <v>99.7</v>
      </c>
      <c r="H10" s="35">
        <v>311.9</v>
      </c>
      <c r="I10" s="10">
        <f t="shared" si="8"/>
        <v>312.8385155466399</v>
      </c>
      <c r="J10" s="35">
        <v>101.5</v>
      </c>
      <c r="K10" s="35">
        <v>0</v>
      </c>
      <c r="L10" s="10">
        <f t="shared" si="9"/>
        <v>0</v>
      </c>
      <c r="M10" s="71">
        <f t="shared" si="18"/>
        <v>302.4</v>
      </c>
      <c r="N10" s="71">
        <f t="shared" si="19"/>
        <v>311.9</v>
      </c>
      <c r="O10" s="10">
        <f t="shared" si="1"/>
        <v>103.14153439153439</v>
      </c>
      <c r="P10" s="35">
        <v>82.1</v>
      </c>
      <c r="Q10" s="35">
        <v>83.1</v>
      </c>
      <c r="R10" s="10">
        <f t="shared" si="10"/>
        <v>101.21802679658953</v>
      </c>
      <c r="S10" s="35">
        <v>82.1</v>
      </c>
      <c r="T10" s="35">
        <v>83.1</v>
      </c>
      <c r="U10" s="102"/>
      <c r="V10" s="35">
        <v>82.1</v>
      </c>
      <c r="W10" s="35">
        <v>83.1</v>
      </c>
      <c r="X10" s="102">
        <f t="shared" si="11"/>
        <v>101.21802679658953</v>
      </c>
      <c r="Y10" s="71">
        <f t="shared" si="20"/>
        <v>246.29999999999998</v>
      </c>
      <c r="Z10" s="71">
        <f t="shared" si="21"/>
        <v>249.29999999999998</v>
      </c>
      <c r="AA10" s="10">
        <f t="shared" si="2"/>
        <v>101.21802679658953</v>
      </c>
      <c r="AB10" s="35">
        <v>82.1</v>
      </c>
      <c r="AC10" s="35">
        <v>83.1</v>
      </c>
      <c r="AD10" s="10">
        <f t="shared" si="3"/>
        <v>101.21802679658953</v>
      </c>
      <c r="AE10" s="35">
        <v>82.1</v>
      </c>
      <c r="AF10" s="35">
        <v>83.1</v>
      </c>
      <c r="AG10" s="10">
        <f t="shared" si="4"/>
        <v>101.21802679658953</v>
      </c>
      <c r="AH10" s="35">
        <v>82.1</v>
      </c>
      <c r="AI10" s="35">
        <v>83.1</v>
      </c>
      <c r="AJ10" s="10">
        <f t="shared" si="5"/>
        <v>101.21802679658953</v>
      </c>
      <c r="AK10" s="71">
        <f t="shared" si="12"/>
        <v>246.29999999999998</v>
      </c>
      <c r="AL10" s="71">
        <f t="shared" si="13"/>
        <v>249.29999999999998</v>
      </c>
      <c r="AM10" s="10">
        <f t="shared" si="14"/>
        <v>101.21802679658953</v>
      </c>
      <c r="AN10" s="35"/>
      <c r="AO10" s="35"/>
      <c r="AP10" s="35"/>
      <c r="AQ10" s="35"/>
      <c r="AR10" s="35"/>
      <c r="AS10" s="35"/>
      <c r="AT10" s="58">
        <f t="shared" si="22"/>
        <v>794.9999999999999</v>
      </c>
      <c r="AU10" s="58">
        <f t="shared" si="23"/>
        <v>810.4999999999999</v>
      </c>
      <c r="AV10" s="10">
        <f t="shared" si="6"/>
        <v>101.94968553459121</v>
      </c>
      <c r="AW10" s="58">
        <f t="shared" si="24"/>
        <v>-15.5</v>
      </c>
      <c r="AX10" s="16">
        <f t="shared" si="25"/>
        <v>0.2999999999999545</v>
      </c>
      <c r="AY10" s="20">
        <f t="shared" si="15"/>
        <v>795.0000000000001</v>
      </c>
      <c r="AZ10" s="20">
        <f t="shared" si="16"/>
        <v>810.5000000000001</v>
      </c>
      <c r="BA10" s="39">
        <f t="shared" si="17"/>
        <v>0.2999999999999545</v>
      </c>
    </row>
    <row r="11" spans="1:53" ht="34.5" customHeight="1">
      <c r="A11" s="56">
        <v>4</v>
      </c>
      <c r="B11" s="57" t="s">
        <v>50</v>
      </c>
      <c r="C11" s="13">
        <v>175.8</v>
      </c>
      <c r="D11" s="35">
        <v>246.3</v>
      </c>
      <c r="E11" s="35">
        <v>160.5</v>
      </c>
      <c r="F11" s="10">
        <f>E11/D11*100</f>
        <v>65.16443361753959</v>
      </c>
      <c r="G11" s="35">
        <v>11.4</v>
      </c>
      <c r="H11" s="35">
        <v>212.3</v>
      </c>
      <c r="I11" s="10">
        <f t="shared" si="8"/>
        <v>1862.280701754386</v>
      </c>
      <c r="J11" s="35">
        <v>0.7</v>
      </c>
      <c r="K11" s="35">
        <v>0.4</v>
      </c>
      <c r="L11" s="10">
        <f t="shared" si="9"/>
        <v>57.14285714285715</v>
      </c>
      <c r="M11" s="71">
        <f t="shared" si="18"/>
        <v>258.4</v>
      </c>
      <c r="N11" s="71">
        <f t="shared" si="19"/>
        <v>373.2</v>
      </c>
      <c r="O11" s="10">
        <f t="shared" si="1"/>
        <v>144.42724458204336</v>
      </c>
      <c r="P11" s="35">
        <v>1.1</v>
      </c>
      <c r="Q11" s="35">
        <v>2.5</v>
      </c>
      <c r="R11" s="10">
        <f t="shared" si="10"/>
        <v>227.27272727272725</v>
      </c>
      <c r="S11" s="35">
        <v>-86.3</v>
      </c>
      <c r="T11" s="35">
        <v>4.1</v>
      </c>
      <c r="U11" s="10"/>
      <c r="V11" s="35">
        <v>0</v>
      </c>
      <c r="W11" s="35">
        <v>0</v>
      </c>
      <c r="X11" s="85" t="e">
        <f t="shared" si="11"/>
        <v>#DIV/0!</v>
      </c>
      <c r="Y11" s="71">
        <f t="shared" si="20"/>
        <v>-85.2</v>
      </c>
      <c r="Z11" s="71">
        <f t="shared" si="21"/>
        <v>6.6</v>
      </c>
      <c r="AA11" s="10">
        <f t="shared" si="2"/>
        <v>-7.746478873239436</v>
      </c>
      <c r="AB11" s="35">
        <v>0</v>
      </c>
      <c r="AC11" s="35">
        <v>0</v>
      </c>
      <c r="AD11" s="85" t="e">
        <f t="shared" si="3"/>
        <v>#DIV/0!</v>
      </c>
      <c r="AE11" s="35">
        <v>0</v>
      </c>
      <c r="AF11" s="35">
        <v>0</v>
      </c>
      <c r="AG11" s="85" t="e">
        <f t="shared" si="4"/>
        <v>#DIV/0!</v>
      </c>
      <c r="AH11" s="35">
        <v>0</v>
      </c>
      <c r="AI11" s="35">
        <v>-30.8</v>
      </c>
      <c r="AJ11" s="10" t="e">
        <f t="shared" si="5"/>
        <v>#DIV/0!</v>
      </c>
      <c r="AK11" s="71">
        <f t="shared" si="12"/>
        <v>0</v>
      </c>
      <c r="AL11" s="71">
        <f t="shared" si="13"/>
        <v>-30.8</v>
      </c>
      <c r="AM11" s="10" t="e">
        <f t="shared" si="14"/>
        <v>#DIV/0!</v>
      </c>
      <c r="AN11" s="35"/>
      <c r="AO11" s="35"/>
      <c r="AP11" s="35"/>
      <c r="AQ11" s="35"/>
      <c r="AR11" s="35"/>
      <c r="AS11" s="35"/>
      <c r="AT11" s="58">
        <f t="shared" si="22"/>
        <v>173.2</v>
      </c>
      <c r="AU11" s="58">
        <f t="shared" si="23"/>
        <v>349</v>
      </c>
      <c r="AV11" s="10">
        <f t="shared" si="6"/>
        <v>201.50115473441107</v>
      </c>
      <c r="AW11" s="58">
        <f t="shared" si="24"/>
        <v>-175.8</v>
      </c>
      <c r="AX11" s="16">
        <f t="shared" si="25"/>
        <v>0</v>
      </c>
      <c r="AY11" s="20">
        <f t="shared" si="15"/>
        <v>173.2</v>
      </c>
      <c r="AZ11" s="20">
        <f t="shared" si="16"/>
        <v>349</v>
      </c>
      <c r="BA11" s="39">
        <f t="shared" si="17"/>
        <v>0</v>
      </c>
    </row>
    <row r="12" spans="1:53" ht="34.5" customHeight="1">
      <c r="A12" s="56">
        <v>5</v>
      </c>
      <c r="B12" s="57" t="s">
        <v>51</v>
      </c>
      <c r="C12" s="13">
        <v>39.6</v>
      </c>
      <c r="D12" s="35">
        <v>195.6</v>
      </c>
      <c r="E12" s="35">
        <v>33.4</v>
      </c>
      <c r="F12" s="10">
        <f>E12/D12*100</f>
        <v>17.075664621676893</v>
      </c>
      <c r="G12" s="35">
        <v>0.7</v>
      </c>
      <c r="H12" s="35">
        <v>190.3</v>
      </c>
      <c r="I12" s="10">
        <f t="shared" si="8"/>
        <v>27185.71428571429</v>
      </c>
      <c r="J12" s="35">
        <v>0.4</v>
      </c>
      <c r="K12" s="35">
        <v>11.5</v>
      </c>
      <c r="L12" s="10">
        <f t="shared" si="9"/>
        <v>2875</v>
      </c>
      <c r="M12" s="71">
        <f t="shared" si="18"/>
        <v>196.7</v>
      </c>
      <c r="N12" s="71">
        <f t="shared" si="19"/>
        <v>235.20000000000002</v>
      </c>
      <c r="O12" s="10">
        <f t="shared" si="1"/>
        <v>119.57295373665482</v>
      </c>
      <c r="P12" s="35">
        <v>0</v>
      </c>
      <c r="Q12" s="35">
        <v>0.5</v>
      </c>
      <c r="R12" s="85" t="e">
        <f t="shared" si="10"/>
        <v>#DIV/0!</v>
      </c>
      <c r="S12" s="35">
        <v>-87.8</v>
      </c>
      <c r="T12" s="35">
        <v>0</v>
      </c>
      <c r="U12" s="10"/>
      <c r="V12" s="35">
        <v>0</v>
      </c>
      <c r="W12" s="35">
        <v>0</v>
      </c>
      <c r="X12" s="85" t="e">
        <f t="shared" si="11"/>
        <v>#DIV/0!</v>
      </c>
      <c r="Y12" s="71">
        <f t="shared" si="20"/>
        <v>-87.8</v>
      </c>
      <c r="Z12" s="71">
        <f t="shared" si="21"/>
        <v>0.5</v>
      </c>
      <c r="AA12" s="10">
        <f t="shared" si="2"/>
        <v>-0.5694760820045558</v>
      </c>
      <c r="AB12" s="35">
        <v>0</v>
      </c>
      <c r="AC12" s="35">
        <v>0</v>
      </c>
      <c r="AD12" s="85" t="e">
        <f t="shared" si="3"/>
        <v>#DIV/0!</v>
      </c>
      <c r="AE12" s="35">
        <v>0</v>
      </c>
      <c r="AF12" s="35">
        <v>0</v>
      </c>
      <c r="AG12" s="85" t="e">
        <f t="shared" si="4"/>
        <v>#DIV/0!</v>
      </c>
      <c r="AH12" s="35">
        <v>0</v>
      </c>
      <c r="AI12" s="35">
        <v>0</v>
      </c>
      <c r="AJ12" s="10" t="e">
        <f t="shared" si="5"/>
        <v>#DIV/0!</v>
      </c>
      <c r="AK12" s="71">
        <f t="shared" si="12"/>
        <v>0</v>
      </c>
      <c r="AL12" s="71">
        <f t="shared" si="13"/>
        <v>0</v>
      </c>
      <c r="AM12" s="10" t="e">
        <f t="shared" si="14"/>
        <v>#DIV/0!</v>
      </c>
      <c r="AN12" s="35"/>
      <c r="AO12" s="35"/>
      <c r="AP12" s="35"/>
      <c r="AQ12" s="35"/>
      <c r="AR12" s="35"/>
      <c r="AS12" s="35"/>
      <c r="AT12" s="58">
        <f t="shared" si="22"/>
        <v>108.89999999999999</v>
      </c>
      <c r="AU12" s="58">
        <f t="shared" si="23"/>
        <v>235.70000000000002</v>
      </c>
      <c r="AV12" s="10">
        <f t="shared" si="6"/>
        <v>216.43709825528012</v>
      </c>
      <c r="AW12" s="58">
        <f t="shared" si="24"/>
        <v>-126.80000000000003</v>
      </c>
      <c r="AX12" s="16">
        <f t="shared" si="25"/>
        <v>-87.20000000000002</v>
      </c>
      <c r="AY12" s="20">
        <f t="shared" si="15"/>
        <v>108.89999999999999</v>
      </c>
      <c r="AZ12" s="20">
        <f t="shared" si="16"/>
        <v>235.70000000000002</v>
      </c>
      <c r="BA12" s="39">
        <f t="shared" si="17"/>
        <v>-87.20000000000002</v>
      </c>
    </row>
    <row r="13" spans="1:53" ht="34.5" customHeight="1">
      <c r="A13" s="56">
        <v>6</v>
      </c>
      <c r="B13" s="57" t="s">
        <v>52</v>
      </c>
      <c r="C13" s="13">
        <v>263.7</v>
      </c>
      <c r="D13" s="35">
        <v>253.6</v>
      </c>
      <c r="E13" s="35">
        <v>227.4</v>
      </c>
      <c r="F13" s="10">
        <f t="shared" si="7"/>
        <v>89.66876971608833</v>
      </c>
      <c r="G13" s="35">
        <v>1.1</v>
      </c>
      <c r="H13" s="35">
        <v>130.6</v>
      </c>
      <c r="I13" s="10">
        <f t="shared" si="8"/>
        <v>11872.727272727272</v>
      </c>
      <c r="J13" s="35">
        <v>-0.2</v>
      </c>
      <c r="K13" s="35">
        <v>97.5</v>
      </c>
      <c r="L13" s="85">
        <f t="shared" si="9"/>
        <v>-48750</v>
      </c>
      <c r="M13" s="71">
        <f t="shared" si="18"/>
        <v>254.5</v>
      </c>
      <c r="N13" s="71">
        <f t="shared" si="19"/>
        <v>455.5</v>
      </c>
      <c r="O13" s="10">
        <f t="shared" si="1"/>
        <v>178.97838899803534</v>
      </c>
      <c r="P13" s="35">
        <v>-1</v>
      </c>
      <c r="Q13" s="35">
        <v>27</v>
      </c>
      <c r="R13" s="10">
        <f t="shared" si="10"/>
        <v>-2700</v>
      </c>
      <c r="S13" s="35">
        <v>-168.2</v>
      </c>
      <c r="T13" s="35">
        <v>3.7</v>
      </c>
      <c r="U13" s="102"/>
      <c r="V13" s="35">
        <v>0</v>
      </c>
      <c r="W13" s="35">
        <v>0</v>
      </c>
      <c r="X13" s="102" t="e">
        <f t="shared" si="11"/>
        <v>#DIV/0!</v>
      </c>
      <c r="Y13" s="71">
        <f t="shared" si="20"/>
        <v>-169.2</v>
      </c>
      <c r="Z13" s="71">
        <f t="shared" si="21"/>
        <v>30.7</v>
      </c>
      <c r="AA13" s="10">
        <f t="shared" si="2"/>
        <v>-18.14420803782506</v>
      </c>
      <c r="AB13" s="35">
        <v>0</v>
      </c>
      <c r="AC13" s="35">
        <v>0</v>
      </c>
      <c r="AD13" s="85" t="e">
        <f t="shared" si="3"/>
        <v>#DIV/0!</v>
      </c>
      <c r="AE13" s="35">
        <v>0</v>
      </c>
      <c r="AF13" s="35">
        <v>0</v>
      </c>
      <c r="AG13" s="85" t="e">
        <f t="shared" si="4"/>
        <v>#DIV/0!</v>
      </c>
      <c r="AH13" s="35">
        <v>0</v>
      </c>
      <c r="AI13" s="35">
        <v>-37.2</v>
      </c>
      <c r="AJ13" s="10" t="e">
        <f t="shared" si="5"/>
        <v>#DIV/0!</v>
      </c>
      <c r="AK13" s="71">
        <f t="shared" si="12"/>
        <v>0</v>
      </c>
      <c r="AL13" s="71">
        <f t="shared" si="13"/>
        <v>-37.2</v>
      </c>
      <c r="AM13" s="10" t="e">
        <f t="shared" si="14"/>
        <v>#DIV/0!</v>
      </c>
      <c r="AN13" s="35"/>
      <c r="AO13" s="35"/>
      <c r="AP13" s="35"/>
      <c r="AQ13" s="35"/>
      <c r="AR13" s="35"/>
      <c r="AS13" s="35"/>
      <c r="AT13" s="58">
        <f t="shared" si="22"/>
        <v>85.30000000000001</v>
      </c>
      <c r="AU13" s="58">
        <f t="shared" si="23"/>
        <v>449</v>
      </c>
      <c r="AV13" s="10">
        <f t="shared" si="6"/>
        <v>526.3774912075029</v>
      </c>
      <c r="AW13" s="58">
        <f t="shared" si="24"/>
        <v>-363.7</v>
      </c>
      <c r="AX13" s="16">
        <f t="shared" si="25"/>
        <v>-100</v>
      </c>
      <c r="AY13" s="20">
        <f t="shared" si="15"/>
        <v>85.30000000000001</v>
      </c>
      <c r="AZ13" s="20">
        <f t="shared" si="16"/>
        <v>449</v>
      </c>
      <c r="BA13" s="39">
        <f t="shared" si="17"/>
        <v>-100</v>
      </c>
    </row>
    <row r="14" spans="1:53" ht="34.5" customHeight="1">
      <c r="A14" s="56">
        <v>7</v>
      </c>
      <c r="B14" s="57" t="s">
        <v>88</v>
      </c>
      <c r="C14" s="13">
        <v>87.4</v>
      </c>
      <c r="D14" s="35">
        <v>74.1</v>
      </c>
      <c r="E14" s="35">
        <v>75.1</v>
      </c>
      <c r="F14" s="10">
        <f t="shared" si="7"/>
        <v>101.34952766531713</v>
      </c>
      <c r="G14" s="35">
        <v>0</v>
      </c>
      <c r="H14" s="35">
        <v>78.8</v>
      </c>
      <c r="I14" s="85" t="e">
        <f t="shared" si="8"/>
        <v>#DIV/0!</v>
      </c>
      <c r="J14" s="35">
        <v>0</v>
      </c>
      <c r="K14" s="35">
        <v>0</v>
      </c>
      <c r="L14" s="85" t="e">
        <f t="shared" si="9"/>
        <v>#DIV/0!</v>
      </c>
      <c r="M14" s="71">
        <f t="shared" si="18"/>
        <v>74.1</v>
      </c>
      <c r="N14" s="71">
        <f t="shared" si="19"/>
        <v>153.89999999999998</v>
      </c>
      <c r="O14" s="10">
        <f t="shared" si="1"/>
        <v>207.69230769230768</v>
      </c>
      <c r="P14" s="35">
        <v>0</v>
      </c>
      <c r="Q14" s="35">
        <v>0</v>
      </c>
      <c r="R14" s="85" t="e">
        <f t="shared" si="10"/>
        <v>#DIV/0!</v>
      </c>
      <c r="S14" s="35">
        <v>0</v>
      </c>
      <c r="T14" s="35">
        <v>0</v>
      </c>
      <c r="U14" s="10"/>
      <c r="V14" s="35">
        <v>0</v>
      </c>
      <c r="W14" s="35">
        <v>7.6</v>
      </c>
      <c r="X14" s="10" t="e">
        <f t="shared" si="11"/>
        <v>#DIV/0!</v>
      </c>
      <c r="Y14" s="71">
        <f t="shared" si="20"/>
        <v>0</v>
      </c>
      <c r="Z14" s="71">
        <f t="shared" si="21"/>
        <v>7.6</v>
      </c>
      <c r="AA14" s="85" t="e">
        <f t="shared" si="2"/>
        <v>#DIV/0!</v>
      </c>
      <c r="AB14" s="35">
        <v>0</v>
      </c>
      <c r="AC14" s="35">
        <v>0</v>
      </c>
      <c r="AD14" s="85" t="e">
        <f t="shared" si="3"/>
        <v>#DIV/0!</v>
      </c>
      <c r="AE14" s="35">
        <v>0</v>
      </c>
      <c r="AF14" s="35">
        <v>0</v>
      </c>
      <c r="AG14" s="85" t="e">
        <f t="shared" si="4"/>
        <v>#DIV/0!</v>
      </c>
      <c r="AH14" s="35">
        <v>0</v>
      </c>
      <c r="AI14" s="35">
        <v>0</v>
      </c>
      <c r="AJ14" s="10" t="e">
        <f t="shared" si="5"/>
        <v>#DIV/0!</v>
      </c>
      <c r="AK14" s="71">
        <f t="shared" si="12"/>
        <v>0</v>
      </c>
      <c r="AL14" s="71">
        <f t="shared" si="13"/>
        <v>0</v>
      </c>
      <c r="AM14" s="10" t="e">
        <f t="shared" si="14"/>
        <v>#DIV/0!</v>
      </c>
      <c r="AN14" s="35"/>
      <c r="AO14" s="35"/>
      <c r="AP14" s="35"/>
      <c r="AQ14" s="35"/>
      <c r="AR14" s="35"/>
      <c r="AS14" s="35"/>
      <c r="AT14" s="58">
        <f t="shared" si="22"/>
        <v>74.1</v>
      </c>
      <c r="AU14" s="58">
        <f t="shared" si="23"/>
        <v>161.49999999999997</v>
      </c>
      <c r="AV14" s="10">
        <f t="shared" si="6"/>
        <v>217.94871794871793</v>
      </c>
      <c r="AW14" s="58">
        <f t="shared" si="24"/>
        <v>-87.39999999999998</v>
      </c>
      <c r="AX14" s="16">
        <f t="shared" si="25"/>
        <v>0</v>
      </c>
      <c r="AY14" s="20">
        <f t="shared" si="15"/>
        <v>74.1</v>
      </c>
      <c r="AZ14" s="20">
        <f t="shared" si="16"/>
        <v>161.49999999999997</v>
      </c>
      <c r="BA14" s="39">
        <f t="shared" si="17"/>
        <v>0</v>
      </c>
    </row>
    <row r="15" spans="1:53" ht="34.5" customHeight="1">
      <c r="A15" s="56">
        <v>8</v>
      </c>
      <c r="B15" s="57" t="s">
        <v>53</v>
      </c>
      <c r="C15" s="13">
        <v>349.7</v>
      </c>
      <c r="D15" s="35">
        <v>377</v>
      </c>
      <c r="E15" s="35">
        <v>296.4</v>
      </c>
      <c r="F15" s="10">
        <f t="shared" si="7"/>
        <v>78.6206896551724</v>
      </c>
      <c r="G15" s="35">
        <v>54.1</v>
      </c>
      <c r="H15" s="35">
        <v>281.5</v>
      </c>
      <c r="I15" s="10">
        <f t="shared" si="8"/>
        <v>520.3327171903882</v>
      </c>
      <c r="J15" s="35">
        <v>61.6</v>
      </c>
      <c r="K15" s="35">
        <v>91</v>
      </c>
      <c r="L15" s="10">
        <f t="shared" si="9"/>
        <v>147.72727272727272</v>
      </c>
      <c r="M15" s="71">
        <f t="shared" si="18"/>
        <v>492.70000000000005</v>
      </c>
      <c r="N15" s="71">
        <f t="shared" si="19"/>
        <v>668.9</v>
      </c>
      <c r="O15" s="10">
        <f t="shared" si="1"/>
        <v>135.76212705500302</v>
      </c>
      <c r="P15" s="35">
        <v>2.1</v>
      </c>
      <c r="Q15" s="35">
        <v>29.4</v>
      </c>
      <c r="R15" s="10">
        <f t="shared" si="10"/>
        <v>1399.9999999999998</v>
      </c>
      <c r="S15" s="35">
        <v>-291.4</v>
      </c>
      <c r="T15" s="35">
        <v>5.1</v>
      </c>
      <c r="U15" s="102"/>
      <c r="V15" s="35">
        <v>20</v>
      </c>
      <c r="W15" s="35">
        <v>3.7</v>
      </c>
      <c r="X15" s="102">
        <f t="shared" si="11"/>
        <v>18.5</v>
      </c>
      <c r="Y15" s="71">
        <f t="shared" si="20"/>
        <v>-269.29999999999995</v>
      </c>
      <c r="Z15" s="71">
        <f t="shared" si="21"/>
        <v>38.2</v>
      </c>
      <c r="AA15" s="10">
        <f t="shared" si="2"/>
        <v>-14.18492387671742</v>
      </c>
      <c r="AB15" s="35">
        <v>128.2</v>
      </c>
      <c r="AC15" s="35">
        <v>3.2</v>
      </c>
      <c r="AD15" s="10">
        <f t="shared" si="3"/>
        <v>2.4960998439937603</v>
      </c>
      <c r="AE15" s="35">
        <v>25.2</v>
      </c>
      <c r="AF15" s="35">
        <v>32.1</v>
      </c>
      <c r="AG15" s="10">
        <f t="shared" si="4"/>
        <v>127.3809523809524</v>
      </c>
      <c r="AH15" s="35">
        <v>0</v>
      </c>
      <c r="AI15" s="35">
        <v>23</v>
      </c>
      <c r="AJ15" s="10" t="e">
        <f t="shared" si="5"/>
        <v>#DIV/0!</v>
      </c>
      <c r="AK15" s="71">
        <f t="shared" si="12"/>
        <v>153.39999999999998</v>
      </c>
      <c r="AL15" s="71">
        <f t="shared" si="13"/>
        <v>58.300000000000004</v>
      </c>
      <c r="AM15" s="10">
        <f t="shared" si="14"/>
        <v>38.0052151238592</v>
      </c>
      <c r="AN15" s="35"/>
      <c r="AO15" s="35"/>
      <c r="AP15" s="35"/>
      <c r="AQ15" s="35"/>
      <c r="AR15" s="35"/>
      <c r="AS15" s="35"/>
      <c r="AT15" s="58">
        <f t="shared" si="22"/>
        <v>376.80000000000007</v>
      </c>
      <c r="AU15" s="58">
        <f t="shared" si="23"/>
        <v>765.4</v>
      </c>
      <c r="AV15" s="10">
        <f t="shared" si="6"/>
        <v>203.13163481953285</v>
      </c>
      <c r="AW15" s="58">
        <f t="shared" si="24"/>
        <v>-388.5999999999999</v>
      </c>
      <c r="AX15" s="16">
        <f t="shared" si="25"/>
        <v>-38.89999999999998</v>
      </c>
      <c r="AY15" s="20">
        <f t="shared" si="15"/>
        <v>376.80000000000007</v>
      </c>
      <c r="AZ15" s="20">
        <f t="shared" si="16"/>
        <v>765.4000000000001</v>
      </c>
      <c r="BA15" s="39">
        <f t="shared" si="17"/>
        <v>-38.90000000000009</v>
      </c>
    </row>
    <row r="16" spans="1:53" ht="34.5" customHeight="1">
      <c r="A16" s="56">
        <v>9</v>
      </c>
      <c r="B16" s="57" t="s">
        <v>54</v>
      </c>
      <c r="C16" s="13">
        <v>-48</v>
      </c>
      <c r="D16" s="35">
        <v>17.3</v>
      </c>
      <c r="E16" s="35">
        <v>0</v>
      </c>
      <c r="F16" s="10">
        <f t="shared" si="7"/>
        <v>0</v>
      </c>
      <c r="G16" s="35">
        <v>2.4</v>
      </c>
      <c r="H16" s="35">
        <v>0</v>
      </c>
      <c r="I16" s="10">
        <f t="shared" si="8"/>
        <v>0</v>
      </c>
      <c r="J16" s="35">
        <v>0.4</v>
      </c>
      <c r="K16" s="35">
        <v>0</v>
      </c>
      <c r="L16" s="10">
        <f t="shared" si="9"/>
        <v>0</v>
      </c>
      <c r="M16" s="71">
        <f t="shared" si="18"/>
        <v>20.099999999999998</v>
      </c>
      <c r="N16" s="71">
        <f t="shared" si="19"/>
        <v>0</v>
      </c>
      <c r="O16" s="10">
        <f t="shared" si="1"/>
        <v>0</v>
      </c>
      <c r="P16" s="35">
        <v>-0.3</v>
      </c>
      <c r="Q16" s="35">
        <v>0</v>
      </c>
      <c r="R16" s="10">
        <f t="shared" si="10"/>
        <v>0</v>
      </c>
      <c r="S16" s="35">
        <v>0</v>
      </c>
      <c r="T16" s="35">
        <v>0</v>
      </c>
      <c r="U16" s="10"/>
      <c r="V16" s="35">
        <v>0</v>
      </c>
      <c r="W16" s="35">
        <v>0</v>
      </c>
      <c r="X16" s="10" t="e">
        <f t="shared" si="11"/>
        <v>#DIV/0!</v>
      </c>
      <c r="Y16" s="71">
        <f t="shared" si="20"/>
        <v>-0.3</v>
      </c>
      <c r="Z16" s="71">
        <f t="shared" si="21"/>
        <v>0</v>
      </c>
      <c r="AA16" s="10">
        <f t="shared" si="2"/>
        <v>0</v>
      </c>
      <c r="AB16" s="35">
        <v>0</v>
      </c>
      <c r="AC16" s="35">
        <v>0</v>
      </c>
      <c r="AD16" s="85" t="e">
        <f t="shared" si="3"/>
        <v>#DIV/0!</v>
      </c>
      <c r="AE16" s="35">
        <v>0</v>
      </c>
      <c r="AF16" s="35">
        <v>0</v>
      </c>
      <c r="AG16" s="85" t="e">
        <f t="shared" si="4"/>
        <v>#DIV/0!</v>
      </c>
      <c r="AH16" s="35">
        <v>0</v>
      </c>
      <c r="AI16" s="35">
        <v>0</v>
      </c>
      <c r="AJ16" s="10" t="e">
        <f t="shared" si="5"/>
        <v>#DIV/0!</v>
      </c>
      <c r="AK16" s="71">
        <f t="shared" si="12"/>
        <v>0</v>
      </c>
      <c r="AL16" s="71">
        <f t="shared" si="13"/>
        <v>0</v>
      </c>
      <c r="AM16" s="10" t="e">
        <f t="shared" si="14"/>
        <v>#DIV/0!</v>
      </c>
      <c r="AN16" s="35"/>
      <c r="AO16" s="35"/>
      <c r="AP16" s="35"/>
      <c r="AQ16" s="35"/>
      <c r="AR16" s="35"/>
      <c r="AS16" s="35"/>
      <c r="AT16" s="58">
        <f t="shared" si="22"/>
        <v>19.799999999999997</v>
      </c>
      <c r="AU16" s="58">
        <f t="shared" si="23"/>
        <v>0</v>
      </c>
      <c r="AV16" s="10">
        <f t="shared" si="6"/>
        <v>0</v>
      </c>
      <c r="AW16" s="58">
        <f t="shared" si="24"/>
        <v>19.799999999999997</v>
      </c>
      <c r="AX16" s="16">
        <f t="shared" si="25"/>
        <v>-28.200000000000003</v>
      </c>
      <c r="AY16" s="20">
        <f t="shared" si="15"/>
        <v>19.799999999999997</v>
      </c>
      <c r="AZ16" s="20">
        <f t="shared" si="16"/>
        <v>0</v>
      </c>
      <c r="BA16" s="39">
        <f t="shared" si="17"/>
        <v>-28.200000000000003</v>
      </c>
    </row>
    <row r="17" spans="1:53" ht="34.5" customHeight="1">
      <c r="A17" s="56">
        <v>10</v>
      </c>
      <c r="B17" s="61" t="s">
        <v>89</v>
      </c>
      <c r="C17" s="13">
        <f>36.8+80.1</f>
        <v>116.89999999999999</v>
      </c>
      <c r="D17" s="35">
        <f>18+71.1</f>
        <v>89.1</v>
      </c>
      <c r="E17" s="35">
        <f>44.5+94.8</f>
        <v>139.3</v>
      </c>
      <c r="F17" s="10">
        <f t="shared" si="7"/>
        <v>156.34118967452304</v>
      </c>
      <c r="G17" s="35">
        <f>0.2+0.5</f>
        <v>0.7</v>
      </c>
      <c r="H17" s="35">
        <f>6.9+63.1</f>
        <v>70</v>
      </c>
      <c r="I17" s="10">
        <f t="shared" si="8"/>
        <v>10000</v>
      </c>
      <c r="J17" s="35">
        <f>-0.3+1.1</f>
        <v>0.8</v>
      </c>
      <c r="K17" s="35">
        <f>3.6+6.7</f>
        <v>10.3</v>
      </c>
      <c r="L17" s="10">
        <f t="shared" si="9"/>
        <v>1287.5</v>
      </c>
      <c r="M17" s="71">
        <f t="shared" si="18"/>
        <v>90.6</v>
      </c>
      <c r="N17" s="71">
        <f t="shared" si="19"/>
        <v>219.60000000000002</v>
      </c>
      <c r="O17" s="10">
        <f t="shared" si="1"/>
        <v>242.38410596026495</v>
      </c>
      <c r="P17" s="35">
        <f>-0.1+0.1</f>
        <v>0</v>
      </c>
      <c r="Q17" s="35">
        <f>1.3</f>
        <v>1.3</v>
      </c>
      <c r="R17" s="85" t="e">
        <f t="shared" si="10"/>
        <v>#DIV/0!</v>
      </c>
      <c r="S17" s="35">
        <f>-16-5.8</f>
        <v>-21.8</v>
      </c>
      <c r="T17" s="35">
        <f>-0.3+0</f>
        <v>-0.3</v>
      </c>
      <c r="U17" s="10"/>
      <c r="V17" s="35">
        <v>0</v>
      </c>
      <c r="W17" s="35">
        <v>0.6</v>
      </c>
      <c r="X17" s="10" t="e">
        <f t="shared" si="11"/>
        <v>#DIV/0!</v>
      </c>
      <c r="Y17" s="71">
        <f t="shared" si="20"/>
        <v>-21.8</v>
      </c>
      <c r="Z17" s="71">
        <f t="shared" si="21"/>
        <v>1.6</v>
      </c>
      <c r="AA17" s="10">
        <f t="shared" si="2"/>
        <v>-7.339449541284404</v>
      </c>
      <c r="AB17" s="35">
        <f>0</f>
        <v>0</v>
      </c>
      <c r="AC17" s="35">
        <f>0</f>
        <v>0</v>
      </c>
      <c r="AD17" s="85" t="e">
        <f t="shared" si="3"/>
        <v>#DIV/0!</v>
      </c>
      <c r="AE17" s="35">
        <f>0+6</f>
        <v>6</v>
      </c>
      <c r="AF17" s="35">
        <f>0</f>
        <v>0</v>
      </c>
      <c r="AG17" s="10">
        <f t="shared" si="4"/>
        <v>0</v>
      </c>
      <c r="AH17" s="35">
        <f>3.6+3.6</f>
        <v>7.2</v>
      </c>
      <c r="AI17" s="35">
        <f>0</f>
        <v>0</v>
      </c>
      <c r="AJ17" s="10">
        <f t="shared" si="5"/>
        <v>0</v>
      </c>
      <c r="AK17" s="71">
        <f t="shared" si="12"/>
        <v>13.2</v>
      </c>
      <c r="AL17" s="71">
        <f t="shared" si="13"/>
        <v>0</v>
      </c>
      <c r="AM17" s="10">
        <f t="shared" si="14"/>
        <v>0</v>
      </c>
      <c r="AN17" s="35"/>
      <c r="AO17" s="35"/>
      <c r="AP17" s="35"/>
      <c r="AQ17" s="35"/>
      <c r="AR17" s="35"/>
      <c r="AS17" s="35"/>
      <c r="AT17" s="58">
        <f t="shared" si="22"/>
        <v>82</v>
      </c>
      <c r="AU17" s="58">
        <f t="shared" si="23"/>
        <v>221.20000000000002</v>
      </c>
      <c r="AV17" s="10">
        <f t="shared" si="6"/>
        <v>269.7560975609756</v>
      </c>
      <c r="AW17" s="58">
        <f t="shared" si="24"/>
        <v>-139.20000000000002</v>
      </c>
      <c r="AX17" s="16">
        <f t="shared" si="25"/>
        <v>-22.30000000000004</v>
      </c>
      <c r="AY17" s="20">
        <f t="shared" si="15"/>
        <v>82</v>
      </c>
      <c r="AZ17" s="20">
        <f t="shared" si="16"/>
        <v>221.20000000000002</v>
      </c>
      <c r="BA17" s="39">
        <f t="shared" si="17"/>
        <v>-22.30000000000004</v>
      </c>
    </row>
    <row r="18" spans="1:53" ht="34.5" customHeight="1">
      <c r="A18" s="56">
        <v>11</v>
      </c>
      <c r="B18" s="61" t="s">
        <v>55</v>
      </c>
      <c r="C18" s="13">
        <v>164.5</v>
      </c>
      <c r="D18" s="35">
        <v>144.1</v>
      </c>
      <c r="E18" s="35">
        <v>141</v>
      </c>
      <c r="F18" s="10">
        <f t="shared" si="7"/>
        <v>97.84871616932685</v>
      </c>
      <c r="G18" s="35">
        <v>0.6</v>
      </c>
      <c r="H18" s="35">
        <v>152.4</v>
      </c>
      <c r="I18" s="10">
        <f t="shared" si="8"/>
        <v>25400.000000000004</v>
      </c>
      <c r="J18" s="35">
        <v>0</v>
      </c>
      <c r="K18" s="35">
        <v>15.3</v>
      </c>
      <c r="L18" s="85" t="e">
        <f t="shared" si="9"/>
        <v>#DIV/0!</v>
      </c>
      <c r="M18" s="71">
        <f t="shared" si="18"/>
        <v>144.7</v>
      </c>
      <c r="N18" s="71">
        <f t="shared" si="19"/>
        <v>308.7</v>
      </c>
      <c r="O18" s="10">
        <f t="shared" si="1"/>
        <v>213.33794056668972</v>
      </c>
      <c r="P18" s="35">
        <v>-0.1</v>
      </c>
      <c r="Q18" s="35">
        <v>0.4</v>
      </c>
      <c r="R18" s="10">
        <f t="shared" si="10"/>
        <v>-400</v>
      </c>
      <c r="S18" s="35">
        <v>-31.9</v>
      </c>
      <c r="T18" s="35">
        <v>0</v>
      </c>
      <c r="U18" s="10"/>
      <c r="V18" s="35">
        <v>-1.1</v>
      </c>
      <c r="W18" s="35">
        <v>-31.9</v>
      </c>
      <c r="X18" s="10">
        <f t="shared" si="11"/>
        <v>2899.9999999999995</v>
      </c>
      <c r="Y18" s="71">
        <f t="shared" si="20"/>
        <v>-33.1</v>
      </c>
      <c r="Z18" s="71">
        <f t="shared" si="21"/>
        <v>-31.5</v>
      </c>
      <c r="AA18" s="10">
        <f t="shared" si="2"/>
        <v>95.16616314199395</v>
      </c>
      <c r="AB18" s="35">
        <v>0</v>
      </c>
      <c r="AC18" s="35">
        <v>-1.1</v>
      </c>
      <c r="AD18" s="85" t="e">
        <f t="shared" si="3"/>
        <v>#DIV/0!</v>
      </c>
      <c r="AE18" s="35">
        <v>0</v>
      </c>
      <c r="AF18" s="35">
        <v>0</v>
      </c>
      <c r="AG18" s="85" t="e">
        <f t="shared" si="4"/>
        <v>#DIV/0!</v>
      </c>
      <c r="AH18" s="35">
        <v>-20.3</v>
      </c>
      <c r="AI18" s="35">
        <v>-20.3</v>
      </c>
      <c r="AJ18" s="10">
        <f t="shared" si="5"/>
        <v>100</v>
      </c>
      <c r="AK18" s="71">
        <f t="shared" si="12"/>
        <v>-20.3</v>
      </c>
      <c r="AL18" s="71">
        <f t="shared" si="13"/>
        <v>-21.400000000000002</v>
      </c>
      <c r="AM18" s="10">
        <f t="shared" si="14"/>
        <v>105.41871921182266</v>
      </c>
      <c r="AN18" s="35"/>
      <c r="AO18" s="35"/>
      <c r="AP18" s="35"/>
      <c r="AQ18" s="35"/>
      <c r="AR18" s="35"/>
      <c r="AS18" s="35"/>
      <c r="AT18" s="58">
        <f t="shared" si="22"/>
        <v>91.3</v>
      </c>
      <c r="AU18" s="58">
        <f t="shared" si="23"/>
        <v>255.79999999999998</v>
      </c>
      <c r="AV18" s="10">
        <f t="shared" si="6"/>
        <v>280.1752464403067</v>
      </c>
      <c r="AW18" s="58">
        <f t="shared" si="24"/>
        <v>-164.5</v>
      </c>
      <c r="AX18" s="16">
        <f t="shared" si="25"/>
        <v>0</v>
      </c>
      <c r="AY18" s="20">
        <f t="shared" si="15"/>
        <v>91.3</v>
      </c>
      <c r="AZ18" s="20">
        <f t="shared" si="16"/>
        <v>255.79999999999995</v>
      </c>
      <c r="BA18" s="39">
        <f t="shared" si="17"/>
        <v>0</v>
      </c>
    </row>
    <row r="19" spans="1:53" ht="34.5" customHeight="1">
      <c r="A19" s="56">
        <v>12</v>
      </c>
      <c r="B19" s="57" t="s">
        <v>56</v>
      </c>
      <c r="C19" s="13">
        <v>-427.1</v>
      </c>
      <c r="D19" s="35">
        <v>427.2</v>
      </c>
      <c r="E19" s="35">
        <v>0</v>
      </c>
      <c r="F19" s="10">
        <f t="shared" si="7"/>
        <v>0</v>
      </c>
      <c r="G19" s="35">
        <v>59</v>
      </c>
      <c r="H19" s="35">
        <v>231.4</v>
      </c>
      <c r="I19" s="10">
        <f t="shared" si="8"/>
        <v>392.2033898305085</v>
      </c>
      <c r="J19" s="35">
        <v>13.1</v>
      </c>
      <c r="K19" s="35">
        <v>14.8</v>
      </c>
      <c r="L19" s="10">
        <f t="shared" si="9"/>
        <v>112.97709923664124</v>
      </c>
      <c r="M19" s="71">
        <f t="shared" si="18"/>
        <v>499.3</v>
      </c>
      <c r="N19" s="71">
        <f t="shared" si="19"/>
        <v>246.20000000000002</v>
      </c>
      <c r="O19" s="10">
        <f t="shared" si="1"/>
        <v>49.30903264570399</v>
      </c>
      <c r="P19" s="35">
        <v>-0.9</v>
      </c>
      <c r="Q19" s="35">
        <v>5.1</v>
      </c>
      <c r="R19" s="10">
        <f t="shared" si="10"/>
        <v>-566.6666666666666</v>
      </c>
      <c r="S19" s="35">
        <v>-208.5</v>
      </c>
      <c r="T19" s="35">
        <v>0</v>
      </c>
      <c r="U19" s="102"/>
      <c r="V19" s="35">
        <v>-1</v>
      </c>
      <c r="W19" s="35">
        <v>0</v>
      </c>
      <c r="X19" s="102">
        <f t="shared" si="11"/>
        <v>0</v>
      </c>
      <c r="Y19" s="71">
        <f t="shared" si="20"/>
        <v>-210.4</v>
      </c>
      <c r="Z19" s="71">
        <f t="shared" si="21"/>
        <v>5.1</v>
      </c>
      <c r="AA19" s="10">
        <f t="shared" si="2"/>
        <v>-2.423954372623574</v>
      </c>
      <c r="AB19" s="35">
        <v>-0.4</v>
      </c>
      <c r="AC19" s="35">
        <v>0</v>
      </c>
      <c r="AD19" s="10">
        <f t="shared" si="3"/>
        <v>0</v>
      </c>
      <c r="AE19" s="35">
        <v>0</v>
      </c>
      <c r="AF19" s="35">
        <v>0</v>
      </c>
      <c r="AG19" s="85" t="e">
        <f t="shared" si="4"/>
        <v>#DIV/0!</v>
      </c>
      <c r="AH19" s="35">
        <v>54.4</v>
      </c>
      <c r="AI19" s="35">
        <v>0</v>
      </c>
      <c r="AJ19" s="10">
        <f t="shared" si="5"/>
        <v>0</v>
      </c>
      <c r="AK19" s="71">
        <f t="shared" si="12"/>
        <v>54</v>
      </c>
      <c r="AL19" s="71">
        <f t="shared" si="13"/>
        <v>0</v>
      </c>
      <c r="AM19" s="10">
        <f t="shared" si="14"/>
        <v>0</v>
      </c>
      <c r="AN19" s="35"/>
      <c r="AO19" s="35"/>
      <c r="AP19" s="35"/>
      <c r="AQ19" s="35"/>
      <c r="AR19" s="35"/>
      <c r="AS19" s="35"/>
      <c r="AT19" s="58">
        <f t="shared" si="22"/>
        <v>342.9</v>
      </c>
      <c r="AU19" s="58">
        <f t="shared" si="23"/>
        <v>251.3</v>
      </c>
      <c r="AV19" s="10">
        <f t="shared" si="6"/>
        <v>73.28667249927094</v>
      </c>
      <c r="AW19" s="58">
        <f t="shared" si="24"/>
        <v>91.59999999999997</v>
      </c>
      <c r="AX19" s="16">
        <f t="shared" si="25"/>
        <v>-335.50000000000006</v>
      </c>
      <c r="AY19" s="20">
        <f t="shared" si="15"/>
        <v>342.90000000000003</v>
      </c>
      <c r="AZ19" s="20">
        <f t="shared" si="16"/>
        <v>251.3</v>
      </c>
      <c r="BA19" s="39">
        <f t="shared" si="17"/>
        <v>-335.5</v>
      </c>
    </row>
    <row r="20" spans="1:53" ht="34.5" customHeight="1">
      <c r="A20" s="56">
        <v>13</v>
      </c>
      <c r="B20" s="61" t="s">
        <v>57</v>
      </c>
      <c r="C20" s="13">
        <v>97.4</v>
      </c>
      <c r="D20" s="35">
        <v>95.8</v>
      </c>
      <c r="E20" s="35">
        <v>82.6</v>
      </c>
      <c r="F20" s="10">
        <f t="shared" si="7"/>
        <v>86.22129436325679</v>
      </c>
      <c r="G20" s="35">
        <v>-0.8</v>
      </c>
      <c r="H20" s="35">
        <v>100.7</v>
      </c>
      <c r="I20" s="10">
        <f t="shared" si="8"/>
        <v>-12587.5</v>
      </c>
      <c r="J20" s="35">
        <v>0</v>
      </c>
      <c r="K20" s="35">
        <v>9.1</v>
      </c>
      <c r="L20" s="85" t="e">
        <f t="shared" si="9"/>
        <v>#DIV/0!</v>
      </c>
      <c r="M20" s="71">
        <f t="shared" si="18"/>
        <v>95</v>
      </c>
      <c r="N20" s="71">
        <f t="shared" si="19"/>
        <v>192.4</v>
      </c>
      <c r="O20" s="10">
        <f t="shared" si="1"/>
        <v>202.5263157894737</v>
      </c>
      <c r="P20" s="35">
        <v>0</v>
      </c>
      <c r="Q20" s="35">
        <v>0</v>
      </c>
      <c r="R20" s="85" t="e">
        <f t="shared" si="10"/>
        <v>#DIV/0!</v>
      </c>
      <c r="S20" s="35">
        <v>-8.7</v>
      </c>
      <c r="T20" s="35">
        <v>0</v>
      </c>
      <c r="U20" s="102"/>
      <c r="V20" s="35">
        <v>0</v>
      </c>
      <c r="W20" s="35">
        <v>0</v>
      </c>
      <c r="X20" s="102" t="e">
        <f t="shared" si="11"/>
        <v>#DIV/0!</v>
      </c>
      <c r="Y20" s="71">
        <f t="shared" si="20"/>
        <v>-8.7</v>
      </c>
      <c r="Z20" s="71">
        <f t="shared" si="21"/>
        <v>0</v>
      </c>
      <c r="AA20" s="10">
        <f t="shared" si="2"/>
        <v>0</v>
      </c>
      <c r="AB20" s="35">
        <v>0</v>
      </c>
      <c r="AC20" s="35">
        <v>0</v>
      </c>
      <c r="AD20" s="85" t="e">
        <f t="shared" si="3"/>
        <v>#DIV/0!</v>
      </c>
      <c r="AE20" s="35">
        <v>0</v>
      </c>
      <c r="AF20" s="35">
        <v>0</v>
      </c>
      <c r="AG20" s="85" t="e">
        <f t="shared" si="4"/>
        <v>#DIV/0!</v>
      </c>
      <c r="AH20" s="35">
        <v>0</v>
      </c>
      <c r="AI20" s="35">
        <v>0</v>
      </c>
      <c r="AJ20" s="10" t="e">
        <f t="shared" si="5"/>
        <v>#DIV/0!</v>
      </c>
      <c r="AK20" s="71">
        <f t="shared" si="12"/>
        <v>0</v>
      </c>
      <c r="AL20" s="71">
        <f t="shared" si="13"/>
        <v>0</v>
      </c>
      <c r="AM20" s="10" t="e">
        <f t="shared" si="14"/>
        <v>#DIV/0!</v>
      </c>
      <c r="AN20" s="35"/>
      <c r="AO20" s="35"/>
      <c r="AP20" s="35"/>
      <c r="AQ20" s="35"/>
      <c r="AR20" s="35"/>
      <c r="AS20" s="35"/>
      <c r="AT20" s="58">
        <f t="shared" si="22"/>
        <v>86.3</v>
      </c>
      <c r="AU20" s="58">
        <f t="shared" si="23"/>
        <v>192.4</v>
      </c>
      <c r="AV20" s="10">
        <f t="shared" si="6"/>
        <v>222.94322132097335</v>
      </c>
      <c r="AW20" s="58">
        <f t="shared" si="24"/>
        <v>-106.10000000000001</v>
      </c>
      <c r="AX20" s="16">
        <f t="shared" si="25"/>
        <v>-8.700000000000017</v>
      </c>
      <c r="AY20" s="20">
        <f t="shared" si="15"/>
        <v>86.3</v>
      </c>
      <c r="AZ20" s="20">
        <f t="shared" si="16"/>
        <v>192.4</v>
      </c>
      <c r="BA20" s="39">
        <f t="shared" si="17"/>
        <v>-8.700000000000017</v>
      </c>
    </row>
    <row r="21" spans="1:53" ht="34.5" customHeight="1">
      <c r="A21" s="56">
        <v>14</v>
      </c>
      <c r="B21" s="61" t="s">
        <v>58</v>
      </c>
      <c r="C21" s="13">
        <v>70.7</v>
      </c>
      <c r="D21" s="35">
        <v>35.4</v>
      </c>
      <c r="E21" s="35">
        <v>22.3</v>
      </c>
      <c r="F21" s="54">
        <f t="shared" si="7"/>
        <v>62.994350282485875</v>
      </c>
      <c r="G21" s="35">
        <v>-33.9</v>
      </c>
      <c r="H21" s="35">
        <v>31.6</v>
      </c>
      <c r="I21" s="10">
        <f t="shared" si="8"/>
        <v>-93.21533923303835</v>
      </c>
      <c r="J21" s="35">
        <v>0</v>
      </c>
      <c r="K21" s="35">
        <v>3.3</v>
      </c>
      <c r="L21" s="85" t="e">
        <f t="shared" si="9"/>
        <v>#DIV/0!</v>
      </c>
      <c r="M21" s="71">
        <f t="shared" si="18"/>
        <v>1.5</v>
      </c>
      <c r="N21" s="71">
        <f t="shared" si="19"/>
        <v>57.2</v>
      </c>
      <c r="O21" s="10">
        <f t="shared" si="1"/>
        <v>3813.3333333333335</v>
      </c>
      <c r="P21" s="35">
        <v>0</v>
      </c>
      <c r="Q21" s="35">
        <v>1.5</v>
      </c>
      <c r="R21" s="85" t="e">
        <f t="shared" si="10"/>
        <v>#DIV/0!</v>
      </c>
      <c r="S21" s="35">
        <v>4.7</v>
      </c>
      <c r="T21" s="35">
        <v>0</v>
      </c>
      <c r="U21" s="102"/>
      <c r="V21" s="35">
        <v>0</v>
      </c>
      <c r="W21" s="35">
        <v>0</v>
      </c>
      <c r="X21" s="102" t="e">
        <f t="shared" si="11"/>
        <v>#DIV/0!</v>
      </c>
      <c r="Y21" s="71">
        <f t="shared" si="20"/>
        <v>4.7</v>
      </c>
      <c r="Z21" s="71">
        <f t="shared" si="21"/>
        <v>1.5</v>
      </c>
      <c r="AA21" s="10">
        <f t="shared" si="2"/>
        <v>31.914893617021274</v>
      </c>
      <c r="AB21" s="35">
        <v>3.9</v>
      </c>
      <c r="AC21" s="35">
        <v>3.3</v>
      </c>
      <c r="AD21" s="10">
        <f t="shared" si="3"/>
        <v>84.61538461538461</v>
      </c>
      <c r="AE21" s="35">
        <v>0</v>
      </c>
      <c r="AF21" s="35">
        <v>0</v>
      </c>
      <c r="AG21" s="85" t="e">
        <f t="shared" si="4"/>
        <v>#DIV/0!</v>
      </c>
      <c r="AH21" s="35">
        <v>0</v>
      </c>
      <c r="AI21" s="35">
        <v>13.2</v>
      </c>
      <c r="AJ21" s="10" t="e">
        <f t="shared" si="5"/>
        <v>#DIV/0!</v>
      </c>
      <c r="AK21" s="71">
        <f t="shared" si="12"/>
        <v>3.9</v>
      </c>
      <c r="AL21" s="71">
        <f t="shared" si="13"/>
        <v>16.5</v>
      </c>
      <c r="AM21" s="10">
        <f t="shared" si="14"/>
        <v>423.0769230769231</v>
      </c>
      <c r="AN21" s="35"/>
      <c r="AO21" s="35"/>
      <c r="AP21" s="35"/>
      <c r="AQ21" s="35"/>
      <c r="AR21" s="35"/>
      <c r="AS21" s="35"/>
      <c r="AT21" s="58">
        <f t="shared" si="22"/>
        <v>10.1</v>
      </c>
      <c r="AU21" s="58">
        <f t="shared" si="23"/>
        <v>75.2</v>
      </c>
      <c r="AV21" s="10">
        <f t="shared" si="6"/>
        <v>744.5544554455446</v>
      </c>
      <c r="AW21" s="58">
        <f t="shared" si="24"/>
        <v>-65.10000000000001</v>
      </c>
      <c r="AX21" s="16">
        <f t="shared" si="25"/>
        <v>5.599999999999994</v>
      </c>
      <c r="AY21" s="20">
        <f t="shared" si="15"/>
        <v>10.1</v>
      </c>
      <c r="AZ21" s="20">
        <f t="shared" si="16"/>
        <v>75.2</v>
      </c>
      <c r="BA21" s="39">
        <f t="shared" si="17"/>
        <v>5.599999999999994</v>
      </c>
    </row>
    <row r="22" spans="1:53" ht="34.5" customHeight="1">
      <c r="A22" s="56">
        <v>15</v>
      </c>
      <c r="B22" s="61" t="s">
        <v>41</v>
      </c>
      <c r="C22" s="13">
        <v>130.2</v>
      </c>
      <c r="D22" s="35">
        <v>107.6</v>
      </c>
      <c r="E22" s="35">
        <v>112</v>
      </c>
      <c r="F22" s="54">
        <f t="shared" si="7"/>
        <v>104.08921933085502</v>
      </c>
      <c r="G22" s="35">
        <v>6.3</v>
      </c>
      <c r="H22" s="35">
        <v>120.8</v>
      </c>
      <c r="I22" s="10">
        <f t="shared" si="8"/>
        <v>1917.4603174603174</v>
      </c>
      <c r="J22" s="35">
        <v>0</v>
      </c>
      <c r="K22" s="35">
        <v>-6.3</v>
      </c>
      <c r="L22" s="85" t="e">
        <f t="shared" si="9"/>
        <v>#DIV/0!</v>
      </c>
      <c r="M22" s="71">
        <f t="shared" si="18"/>
        <v>113.89999999999999</v>
      </c>
      <c r="N22" s="71">
        <f t="shared" si="19"/>
        <v>226.5</v>
      </c>
      <c r="O22" s="10">
        <f t="shared" si="1"/>
        <v>198.85864793678667</v>
      </c>
      <c r="P22" s="35">
        <v>-6.3</v>
      </c>
      <c r="Q22" s="35">
        <v>11.3</v>
      </c>
      <c r="R22" s="10">
        <f t="shared" si="10"/>
        <v>-179.36507936507937</v>
      </c>
      <c r="S22" s="35">
        <v>0</v>
      </c>
      <c r="T22" s="35">
        <v>0</v>
      </c>
      <c r="U22" s="102"/>
      <c r="V22" s="35">
        <v>-16.4</v>
      </c>
      <c r="W22" s="35">
        <v>0</v>
      </c>
      <c r="X22" s="102">
        <f t="shared" si="11"/>
        <v>0</v>
      </c>
      <c r="Y22" s="71">
        <f t="shared" si="20"/>
        <v>-22.7</v>
      </c>
      <c r="Z22" s="71">
        <f t="shared" si="21"/>
        <v>11.3</v>
      </c>
      <c r="AA22" s="10">
        <f t="shared" si="2"/>
        <v>-49.779735682819386</v>
      </c>
      <c r="AB22" s="35">
        <v>16.4</v>
      </c>
      <c r="AC22" s="35">
        <v>0</v>
      </c>
      <c r="AD22" s="10">
        <f t="shared" si="3"/>
        <v>0</v>
      </c>
      <c r="AE22" s="35">
        <v>2.8</v>
      </c>
      <c r="AF22" s="35">
        <v>0</v>
      </c>
      <c r="AG22" s="10">
        <f t="shared" si="4"/>
        <v>0</v>
      </c>
      <c r="AH22" s="35">
        <v>0</v>
      </c>
      <c r="AI22" s="35">
        <v>2.8</v>
      </c>
      <c r="AJ22" s="10" t="e">
        <f t="shared" si="5"/>
        <v>#DIV/0!</v>
      </c>
      <c r="AK22" s="71">
        <f t="shared" si="12"/>
        <v>19.2</v>
      </c>
      <c r="AL22" s="71">
        <f t="shared" si="13"/>
        <v>2.8</v>
      </c>
      <c r="AM22" s="10">
        <f t="shared" si="14"/>
        <v>14.583333333333334</v>
      </c>
      <c r="AN22" s="35"/>
      <c r="AO22" s="35"/>
      <c r="AP22" s="35"/>
      <c r="AQ22" s="35"/>
      <c r="AR22" s="35"/>
      <c r="AS22" s="35"/>
      <c r="AT22" s="58">
        <f t="shared" si="22"/>
        <v>110.39999999999999</v>
      </c>
      <c r="AU22" s="58">
        <f t="shared" si="23"/>
        <v>240.60000000000002</v>
      </c>
      <c r="AV22" s="10">
        <f t="shared" si="6"/>
        <v>217.93478260869568</v>
      </c>
      <c r="AW22" s="58">
        <f t="shared" si="24"/>
        <v>-130.20000000000005</v>
      </c>
      <c r="AX22" s="16">
        <f t="shared" si="25"/>
        <v>0</v>
      </c>
      <c r="AY22" s="20">
        <f t="shared" si="15"/>
        <v>110.39999999999999</v>
      </c>
      <c r="AZ22" s="20">
        <f t="shared" si="16"/>
        <v>240.60000000000002</v>
      </c>
      <c r="BA22" s="39">
        <f t="shared" si="17"/>
        <v>0</v>
      </c>
    </row>
    <row r="23" spans="1:53" ht="34.5" customHeight="1">
      <c r="A23" s="56">
        <v>16</v>
      </c>
      <c r="B23" s="61" t="s">
        <v>90</v>
      </c>
      <c r="C23" s="13">
        <v>-9.4</v>
      </c>
      <c r="D23" s="35">
        <v>15.6</v>
      </c>
      <c r="E23" s="35">
        <v>0</v>
      </c>
      <c r="F23" s="10">
        <f t="shared" si="7"/>
        <v>0</v>
      </c>
      <c r="G23" s="35">
        <v>0</v>
      </c>
      <c r="H23" s="35">
        <v>5.5</v>
      </c>
      <c r="I23" s="85" t="e">
        <f t="shared" si="8"/>
        <v>#DIV/0!</v>
      </c>
      <c r="J23" s="35">
        <v>0</v>
      </c>
      <c r="K23" s="35">
        <v>0.7</v>
      </c>
      <c r="L23" s="85" t="e">
        <f t="shared" si="9"/>
        <v>#DIV/0!</v>
      </c>
      <c r="M23" s="71">
        <f t="shared" si="18"/>
        <v>15.6</v>
      </c>
      <c r="N23" s="71">
        <f t="shared" si="19"/>
        <v>6.2</v>
      </c>
      <c r="O23" s="10">
        <f t="shared" si="1"/>
        <v>39.743589743589745</v>
      </c>
      <c r="P23" s="35">
        <v>0</v>
      </c>
      <c r="Q23" s="35">
        <v>0</v>
      </c>
      <c r="R23" s="85" t="e">
        <f t="shared" si="10"/>
        <v>#DIV/0!</v>
      </c>
      <c r="S23" s="35">
        <v>-8.2</v>
      </c>
      <c r="T23" s="35">
        <v>0</v>
      </c>
      <c r="U23" s="10"/>
      <c r="V23" s="35">
        <v>0</v>
      </c>
      <c r="W23" s="35">
        <v>0</v>
      </c>
      <c r="X23" s="85" t="e">
        <f t="shared" si="11"/>
        <v>#DIV/0!</v>
      </c>
      <c r="Y23" s="71">
        <f t="shared" si="20"/>
        <v>-8.2</v>
      </c>
      <c r="Z23" s="71">
        <f t="shared" si="21"/>
        <v>0</v>
      </c>
      <c r="AA23" s="10">
        <f t="shared" si="2"/>
        <v>0</v>
      </c>
      <c r="AB23" s="35">
        <v>0</v>
      </c>
      <c r="AC23" s="35">
        <v>0</v>
      </c>
      <c r="AD23" s="85" t="e">
        <f t="shared" si="3"/>
        <v>#DIV/0!</v>
      </c>
      <c r="AE23" s="35">
        <v>0</v>
      </c>
      <c r="AF23" s="35">
        <v>0</v>
      </c>
      <c r="AG23" s="85" t="e">
        <f t="shared" si="4"/>
        <v>#DIV/0!</v>
      </c>
      <c r="AH23" s="35">
        <v>2.8</v>
      </c>
      <c r="AI23" s="35">
        <v>2.8</v>
      </c>
      <c r="AJ23" s="10">
        <f t="shared" si="5"/>
        <v>100</v>
      </c>
      <c r="AK23" s="71">
        <f t="shared" si="12"/>
        <v>2.8</v>
      </c>
      <c r="AL23" s="71">
        <f t="shared" si="13"/>
        <v>2.8</v>
      </c>
      <c r="AM23" s="10">
        <f t="shared" si="14"/>
        <v>100</v>
      </c>
      <c r="AN23" s="35"/>
      <c r="AO23" s="35"/>
      <c r="AP23" s="35"/>
      <c r="AQ23" s="35"/>
      <c r="AR23" s="35"/>
      <c r="AS23" s="35"/>
      <c r="AT23" s="58">
        <f t="shared" si="22"/>
        <v>10.2</v>
      </c>
      <c r="AU23" s="58">
        <f t="shared" si="23"/>
        <v>9</v>
      </c>
      <c r="AV23" s="10">
        <f t="shared" si="6"/>
        <v>88.23529411764707</v>
      </c>
      <c r="AW23" s="58">
        <f t="shared" si="24"/>
        <v>1.1999999999999993</v>
      </c>
      <c r="AX23" s="16">
        <f t="shared" si="25"/>
        <v>-8.200000000000001</v>
      </c>
      <c r="AY23" s="20">
        <f t="shared" si="15"/>
        <v>10.2</v>
      </c>
      <c r="AZ23" s="20">
        <f t="shared" si="16"/>
        <v>9</v>
      </c>
      <c r="BA23" s="39">
        <f t="shared" si="17"/>
        <v>-8.200000000000001</v>
      </c>
    </row>
    <row r="24" spans="1:53" ht="34.5" customHeight="1">
      <c r="A24" s="56">
        <v>17</v>
      </c>
      <c r="B24" s="61" t="s">
        <v>40</v>
      </c>
      <c r="C24" s="13">
        <v>731.6</v>
      </c>
      <c r="D24" s="35">
        <v>582.2</v>
      </c>
      <c r="E24" s="35">
        <v>657</v>
      </c>
      <c r="F24" s="10">
        <f t="shared" si="7"/>
        <v>112.84781861903126</v>
      </c>
      <c r="G24" s="35">
        <v>27.4</v>
      </c>
      <c r="H24" s="35">
        <v>626.5</v>
      </c>
      <c r="I24" s="10">
        <f t="shared" si="8"/>
        <v>2286.4963503649637</v>
      </c>
      <c r="J24" s="35">
        <v>10.6</v>
      </c>
      <c r="K24" s="35">
        <v>52.7</v>
      </c>
      <c r="L24" s="10">
        <f t="shared" si="9"/>
        <v>497.1698113207547</v>
      </c>
      <c r="M24" s="71">
        <f t="shared" si="18"/>
        <v>620.2</v>
      </c>
      <c r="N24" s="71">
        <f t="shared" si="19"/>
        <v>1336.2</v>
      </c>
      <c r="O24" s="10">
        <f t="shared" si="1"/>
        <v>215.44663011931635</v>
      </c>
      <c r="P24" s="35">
        <v>1.6</v>
      </c>
      <c r="Q24" s="35">
        <v>2.4</v>
      </c>
      <c r="R24" s="10">
        <f t="shared" si="10"/>
        <v>149.99999999999997</v>
      </c>
      <c r="S24" s="35">
        <v>1</v>
      </c>
      <c r="T24" s="35">
        <v>14.8</v>
      </c>
      <c r="U24" s="10"/>
      <c r="V24" s="35">
        <v>-226</v>
      </c>
      <c r="W24" s="35">
        <v>1</v>
      </c>
      <c r="X24" s="10">
        <f t="shared" si="11"/>
        <v>-0.4424778761061947</v>
      </c>
      <c r="Y24" s="71">
        <f t="shared" si="20"/>
        <v>-223.4</v>
      </c>
      <c r="Z24" s="71">
        <f t="shared" si="21"/>
        <v>18.2</v>
      </c>
      <c r="AA24" s="10">
        <f t="shared" si="2"/>
        <v>-8.146821844225602</v>
      </c>
      <c r="AB24" s="35">
        <v>0</v>
      </c>
      <c r="AC24" s="35">
        <v>-40</v>
      </c>
      <c r="AD24" s="85" t="e">
        <f t="shared" si="3"/>
        <v>#DIV/0!</v>
      </c>
      <c r="AE24" s="35">
        <v>-0.1</v>
      </c>
      <c r="AF24" s="35">
        <v>0</v>
      </c>
      <c r="AG24" s="10">
        <f t="shared" si="4"/>
        <v>0</v>
      </c>
      <c r="AH24" s="35">
        <v>0</v>
      </c>
      <c r="AI24" s="35">
        <v>-186.1</v>
      </c>
      <c r="AJ24" s="10" t="e">
        <f t="shared" si="5"/>
        <v>#DIV/0!</v>
      </c>
      <c r="AK24" s="71">
        <f t="shared" si="12"/>
        <v>-0.1</v>
      </c>
      <c r="AL24" s="71">
        <f t="shared" si="13"/>
        <v>-226.1</v>
      </c>
      <c r="AM24" s="10">
        <f t="shared" si="14"/>
        <v>226100</v>
      </c>
      <c r="AN24" s="35"/>
      <c r="AO24" s="35"/>
      <c r="AP24" s="35"/>
      <c r="AQ24" s="35"/>
      <c r="AR24" s="35"/>
      <c r="AS24" s="35"/>
      <c r="AT24" s="58">
        <f t="shared" si="22"/>
        <v>396.70000000000005</v>
      </c>
      <c r="AU24" s="58">
        <f t="shared" si="23"/>
        <v>1128.3000000000002</v>
      </c>
      <c r="AV24" s="10">
        <f t="shared" si="6"/>
        <v>284.42147718679104</v>
      </c>
      <c r="AW24" s="58">
        <f t="shared" si="24"/>
        <v>-731.6000000000001</v>
      </c>
      <c r="AX24" s="16">
        <f t="shared" si="25"/>
        <v>0</v>
      </c>
      <c r="AY24" s="20">
        <f t="shared" si="15"/>
        <v>396.70000000000005</v>
      </c>
      <c r="AZ24" s="20">
        <f t="shared" si="16"/>
        <v>1128.3000000000002</v>
      </c>
      <c r="BA24" s="39">
        <f t="shared" si="17"/>
        <v>0</v>
      </c>
    </row>
    <row r="25" spans="1:53" ht="34.5" customHeight="1">
      <c r="A25" s="56">
        <v>18</v>
      </c>
      <c r="B25" s="57" t="s">
        <v>43</v>
      </c>
      <c r="C25" s="13">
        <v>164.1</v>
      </c>
      <c r="D25" s="35">
        <v>273.7</v>
      </c>
      <c r="E25" s="35">
        <v>149.1</v>
      </c>
      <c r="F25" s="10">
        <f t="shared" si="7"/>
        <v>54.47570332480819</v>
      </c>
      <c r="G25" s="35">
        <v>6.7</v>
      </c>
      <c r="H25" s="35">
        <v>270</v>
      </c>
      <c r="I25" s="10">
        <f t="shared" si="8"/>
        <v>4029.8507462686566</v>
      </c>
      <c r="J25" s="35">
        <v>1.3</v>
      </c>
      <c r="K25" s="35">
        <v>22.5</v>
      </c>
      <c r="L25" s="10">
        <f t="shared" si="9"/>
        <v>1730.7692307692307</v>
      </c>
      <c r="M25" s="71">
        <f t="shared" si="18"/>
        <v>281.7</v>
      </c>
      <c r="N25" s="71">
        <f t="shared" si="19"/>
        <v>441.6</v>
      </c>
      <c r="O25" s="10">
        <f t="shared" si="1"/>
        <v>156.76251331203412</v>
      </c>
      <c r="P25" s="35">
        <v>-0.7</v>
      </c>
      <c r="Q25" s="35">
        <v>4.2</v>
      </c>
      <c r="R25" s="10">
        <f t="shared" si="10"/>
        <v>-600.0000000000001</v>
      </c>
      <c r="S25" s="35">
        <v>0</v>
      </c>
      <c r="T25" s="35">
        <v>0</v>
      </c>
      <c r="U25" s="10"/>
      <c r="V25" s="35">
        <v>-70.5</v>
      </c>
      <c r="W25" s="35">
        <v>0</v>
      </c>
      <c r="X25" s="10">
        <f t="shared" si="11"/>
        <v>0</v>
      </c>
      <c r="Y25" s="71">
        <f t="shared" si="20"/>
        <v>-71.2</v>
      </c>
      <c r="Z25" s="71">
        <f t="shared" si="21"/>
        <v>4.2</v>
      </c>
      <c r="AA25" s="10">
        <f t="shared" si="2"/>
        <v>-5.8988764044943816</v>
      </c>
      <c r="AB25" s="35">
        <v>0</v>
      </c>
      <c r="AC25" s="35">
        <v>0</v>
      </c>
      <c r="AD25" s="85" t="e">
        <f t="shared" si="3"/>
        <v>#DIV/0!</v>
      </c>
      <c r="AE25" s="35">
        <v>0</v>
      </c>
      <c r="AF25" s="35">
        <v>0</v>
      </c>
      <c r="AG25" s="10" t="e">
        <f t="shared" si="4"/>
        <v>#DIV/0!</v>
      </c>
      <c r="AH25" s="35">
        <v>0</v>
      </c>
      <c r="AI25" s="35">
        <v>0</v>
      </c>
      <c r="AJ25" s="10" t="e">
        <f t="shared" si="5"/>
        <v>#DIV/0!</v>
      </c>
      <c r="AK25" s="71">
        <f t="shared" si="12"/>
        <v>0</v>
      </c>
      <c r="AL25" s="71">
        <f t="shared" si="13"/>
        <v>0</v>
      </c>
      <c r="AM25" s="10" t="e">
        <f t="shared" si="14"/>
        <v>#DIV/0!</v>
      </c>
      <c r="AN25" s="35"/>
      <c r="AO25" s="35"/>
      <c r="AP25" s="35"/>
      <c r="AQ25" s="35"/>
      <c r="AR25" s="35"/>
      <c r="AS25" s="35"/>
      <c r="AT25" s="58">
        <f t="shared" si="22"/>
        <v>210.5</v>
      </c>
      <c r="AU25" s="58">
        <f t="shared" si="23"/>
        <v>445.8</v>
      </c>
      <c r="AV25" s="10">
        <f t="shared" si="6"/>
        <v>211.78147268408551</v>
      </c>
      <c r="AW25" s="58">
        <f t="shared" si="24"/>
        <v>-235.3</v>
      </c>
      <c r="AX25" s="16">
        <f t="shared" si="25"/>
        <v>-71.19999999999999</v>
      </c>
      <c r="AY25" s="20">
        <f t="shared" si="15"/>
        <v>210.5</v>
      </c>
      <c r="AZ25" s="20">
        <f t="shared" si="16"/>
        <v>445.8</v>
      </c>
      <c r="BA25" s="39">
        <f t="shared" si="17"/>
        <v>-71.19999999999999</v>
      </c>
    </row>
    <row r="26" spans="1:53" ht="34.5" customHeight="1">
      <c r="A26" s="56">
        <v>19</v>
      </c>
      <c r="B26" s="61" t="s">
        <v>91</v>
      </c>
      <c r="C26" s="13">
        <v>21.3</v>
      </c>
      <c r="D26" s="35">
        <v>9.9</v>
      </c>
      <c r="E26" s="35">
        <v>8.1</v>
      </c>
      <c r="F26" s="10">
        <f t="shared" si="7"/>
        <v>81.81818181818181</v>
      </c>
      <c r="G26" s="35">
        <v>0</v>
      </c>
      <c r="H26" s="35">
        <v>7.4</v>
      </c>
      <c r="I26" s="85" t="e">
        <f t="shared" si="8"/>
        <v>#DIV/0!</v>
      </c>
      <c r="J26" s="35">
        <v>0</v>
      </c>
      <c r="K26" s="35">
        <v>0.4</v>
      </c>
      <c r="L26" s="85" t="e">
        <f t="shared" si="9"/>
        <v>#DIV/0!</v>
      </c>
      <c r="M26" s="71">
        <f t="shared" si="18"/>
        <v>9.9</v>
      </c>
      <c r="N26" s="71">
        <f t="shared" si="19"/>
        <v>15.9</v>
      </c>
      <c r="O26" s="10">
        <f t="shared" si="1"/>
        <v>160.6060606060606</v>
      </c>
      <c r="P26" s="35">
        <v>-10.4</v>
      </c>
      <c r="Q26" s="35">
        <v>0</v>
      </c>
      <c r="R26" s="10">
        <f t="shared" si="10"/>
        <v>0</v>
      </c>
      <c r="S26" s="35">
        <v>0</v>
      </c>
      <c r="T26" s="35">
        <v>4.9</v>
      </c>
      <c r="U26" s="10"/>
      <c r="V26" s="35">
        <v>0</v>
      </c>
      <c r="W26" s="35">
        <v>0</v>
      </c>
      <c r="X26" s="10" t="e">
        <f t="shared" si="11"/>
        <v>#DIV/0!</v>
      </c>
      <c r="Y26" s="71">
        <f t="shared" si="20"/>
        <v>-10.4</v>
      </c>
      <c r="Z26" s="71">
        <f t="shared" si="21"/>
        <v>4.9</v>
      </c>
      <c r="AA26" s="10">
        <f t="shared" si="2"/>
        <v>-47.11538461538461</v>
      </c>
      <c r="AB26" s="35">
        <v>0</v>
      </c>
      <c r="AC26" s="35">
        <v>0</v>
      </c>
      <c r="AD26" s="85" t="e">
        <f t="shared" si="3"/>
        <v>#DIV/0!</v>
      </c>
      <c r="AE26" s="35">
        <v>0</v>
      </c>
      <c r="AF26" s="35">
        <v>0</v>
      </c>
      <c r="AG26" s="85" t="e">
        <f t="shared" si="4"/>
        <v>#DIV/0!</v>
      </c>
      <c r="AH26" s="35">
        <v>0</v>
      </c>
      <c r="AI26" s="35">
        <v>0</v>
      </c>
      <c r="AJ26" s="10" t="e">
        <f t="shared" si="5"/>
        <v>#DIV/0!</v>
      </c>
      <c r="AK26" s="71">
        <f t="shared" si="12"/>
        <v>0</v>
      </c>
      <c r="AL26" s="71">
        <f t="shared" si="13"/>
        <v>0</v>
      </c>
      <c r="AM26" s="10" t="e">
        <f t="shared" si="14"/>
        <v>#DIV/0!</v>
      </c>
      <c r="AN26" s="35"/>
      <c r="AO26" s="35"/>
      <c r="AP26" s="35"/>
      <c r="AQ26" s="35"/>
      <c r="AR26" s="35"/>
      <c r="AS26" s="35"/>
      <c r="AT26" s="58">
        <f t="shared" si="22"/>
        <v>-0.5</v>
      </c>
      <c r="AU26" s="58">
        <f t="shared" si="23"/>
        <v>20.8</v>
      </c>
      <c r="AV26" s="10">
        <f t="shared" si="6"/>
        <v>-4160</v>
      </c>
      <c r="AW26" s="58">
        <f t="shared" si="24"/>
        <v>-21.3</v>
      </c>
      <c r="AX26" s="16">
        <f t="shared" si="25"/>
        <v>0</v>
      </c>
      <c r="AY26" s="20">
        <f t="shared" si="15"/>
        <v>-0.5</v>
      </c>
      <c r="AZ26" s="20">
        <f t="shared" si="16"/>
        <v>20.8</v>
      </c>
      <c r="BA26" s="39">
        <f t="shared" si="17"/>
        <v>0</v>
      </c>
    </row>
    <row r="27" spans="1:53" ht="34.5" customHeight="1">
      <c r="A27" s="56">
        <v>20</v>
      </c>
      <c r="B27" s="61" t="s">
        <v>59</v>
      </c>
      <c r="C27" s="13">
        <v>465.4</v>
      </c>
      <c r="D27" s="35">
        <v>676.1</v>
      </c>
      <c r="E27" s="35">
        <v>398.1</v>
      </c>
      <c r="F27" s="10">
        <f t="shared" si="7"/>
        <v>58.88182221564857</v>
      </c>
      <c r="G27" s="35">
        <v>54</v>
      </c>
      <c r="H27" s="35">
        <v>673.2</v>
      </c>
      <c r="I27" s="10">
        <f t="shared" si="8"/>
        <v>1246.6666666666667</v>
      </c>
      <c r="J27" s="35">
        <v>2.6</v>
      </c>
      <c r="K27" s="35">
        <v>89.7</v>
      </c>
      <c r="L27" s="10">
        <f t="shared" si="9"/>
        <v>3450</v>
      </c>
      <c r="M27" s="71">
        <f t="shared" si="18"/>
        <v>732.7</v>
      </c>
      <c r="N27" s="71">
        <f t="shared" si="19"/>
        <v>1161.0000000000002</v>
      </c>
      <c r="O27" s="10">
        <f t="shared" si="1"/>
        <v>158.455029343524</v>
      </c>
      <c r="P27" s="35">
        <v>0.9</v>
      </c>
      <c r="Q27" s="35">
        <v>37.1</v>
      </c>
      <c r="R27" s="10">
        <f t="shared" si="10"/>
        <v>4122.222222222222</v>
      </c>
      <c r="S27" s="35">
        <v>-135.6</v>
      </c>
      <c r="T27" s="35">
        <v>0.9</v>
      </c>
      <c r="U27" s="10"/>
      <c r="V27" s="35">
        <v>0</v>
      </c>
      <c r="W27" s="35">
        <v>0</v>
      </c>
      <c r="X27" s="10" t="e">
        <f t="shared" si="11"/>
        <v>#DIV/0!</v>
      </c>
      <c r="Y27" s="71">
        <f t="shared" si="20"/>
        <v>-134.7</v>
      </c>
      <c r="Z27" s="71">
        <f t="shared" si="21"/>
        <v>38</v>
      </c>
      <c r="AA27" s="10">
        <f t="shared" si="2"/>
        <v>-28.210838901262065</v>
      </c>
      <c r="AB27" s="35">
        <v>0</v>
      </c>
      <c r="AC27" s="35">
        <v>0</v>
      </c>
      <c r="AD27" s="85" t="e">
        <f t="shared" si="3"/>
        <v>#DIV/0!</v>
      </c>
      <c r="AE27" s="35">
        <v>0</v>
      </c>
      <c r="AF27" s="35">
        <v>0</v>
      </c>
      <c r="AG27" s="85" t="e">
        <f t="shared" si="4"/>
        <v>#DIV/0!</v>
      </c>
      <c r="AH27" s="35">
        <v>0</v>
      </c>
      <c r="AI27" s="35">
        <v>0</v>
      </c>
      <c r="AJ27" s="10" t="e">
        <f t="shared" si="5"/>
        <v>#DIV/0!</v>
      </c>
      <c r="AK27" s="71">
        <f t="shared" si="12"/>
        <v>0</v>
      </c>
      <c r="AL27" s="71">
        <f t="shared" si="13"/>
        <v>0</v>
      </c>
      <c r="AM27" s="10" t="e">
        <f t="shared" si="14"/>
        <v>#DIV/0!</v>
      </c>
      <c r="AN27" s="35"/>
      <c r="AO27" s="35"/>
      <c r="AP27" s="35"/>
      <c r="AQ27" s="35"/>
      <c r="AR27" s="35"/>
      <c r="AS27" s="35"/>
      <c r="AT27" s="58">
        <f t="shared" si="22"/>
        <v>598</v>
      </c>
      <c r="AU27" s="58">
        <f t="shared" si="23"/>
        <v>1199.0000000000002</v>
      </c>
      <c r="AV27" s="10">
        <f t="shared" si="6"/>
        <v>200.50167224080272</v>
      </c>
      <c r="AW27" s="58">
        <f t="shared" si="24"/>
        <v>-601.0000000000002</v>
      </c>
      <c r="AX27" s="16">
        <f t="shared" si="25"/>
        <v>-135.60000000000014</v>
      </c>
      <c r="AY27" s="20">
        <f t="shared" si="15"/>
        <v>598</v>
      </c>
      <c r="AZ27" s="20">
        <f t="shared" si="16"/>
        <v>1199.0000000000002</v>
      </c>
      <c r="BA27" s="39">
        <f t="shared" si="17"/>
        <v>-135.60000000000014</v>
      </c>
    </row>
    <row r="28" spans="1:53" ht="34.5" customHeight="1">
      <c r="A28" s="56">
        <v>21</v>
      </c>
      <c r="B28" s="113" t="s">
        <v>92</v>
      </c>
      <c r="C28" s="13">
        <v>-34</v>
      </c>
      <c r="D28" s="35">
        <v>78.4</v>
      </c>
      <c r="E28" s="35">
        <v>0</v>
      </c>
      <c r="F28" s="10">
        <f t="shared" si="7"/>
        <v>0</v>
      </c>
      <c r="G28" s="35">
        <v>13.8</v>
      </c>
      <c r="H28" s="35">
        <v>44.4</v>
      </c>
      <c r="I28" s="10">
        <f t="shared" si="8"/>
        <v>321.73913043478257</v>
      </c>
      <c r="J28" s="35">
        <v>3.7</v>
      </c>
      <c r="K28" s="35">
        <v>0</v>
      </c>
      <c r="L28" s="10">
        <f t="shared" si="9"/>
        <v>0</v>
      </c>
      <c r="M28" s="71">
        <f t="shared" si="18"/>
        <v>95.9</v>
      </c>
      <c r="N28" s="71">
        <f t="shared" si="19"/>
        <v>44.4</v>
      </c>
      <c r="O28" s="10">
        <f t="shared" si="1"/>
        <v>46.29822732012512</v>
      </c>
      <c r="P28" s="35">
        <v>0.6</v>
      </c>
      <c r="Q28" s="35">
        <v>7.7</v>
      </c>
      <c r="R28" s="10">
        <f t="shared" si="10"/>
        <v>1283.3333333333335</v>
      </c>
      <c r="S28" s="105">
        <v>-39.9</v>
      </c>
      <c r="T28" s="35">
        <v>11.7</v>
      </c>
      <c r="U28" s="10"/>
      <c r="V28" s="105">
        <v>2.3</v>
      </c>
      <c r="W28" s="35">
        <v>2.3</v>
      </c>
      <c r="X28" s="10">
        <f t="shared" si="11"/>
        <v>100</v>
      </c>
      <c r="Y28" s="71">
        <f t="shared" si="20"/>
        <v>-37</v>
      </c>
      <c r="Z28" s="71">
        <f t="shared" si="21"/>
        <v>21.7</v>
      </c>
      <c r="AA28" s="10">
        <f t="shared" si="2"/>
        <v>-58.648648648648646</v>
      </c>
      <c r="AB28" s="105">
        <v>27.6</v>
      </c>
      <c r="AC28" s="35">
        <v>0.1</v>
      </c>
      <c r="AD28" s="10">
        <f t="shared" si="3"/>
        <v>0.36231884057971014</v>
      </c>
      <c r="AE28" s="35">
        <v>0.2</v>
      </c>
      <c r="AF28" s="79">
        <v>0.2</v>
      </c>
      <c r="AG28" s="10">
        <f t="shared" si="4"/>
        <v>100</v>
      </c>
      <c r="AH28" s="35">
        <v>0</v>
      </c>
      <c r="AI28" s="79">
        <v>0</v>
      </c>
      <c r="AJ28" s="10" t="e">
        <f t="shared" si="5"/>
        <v>#DIV/0!</v>
      </c>
      <c r="AK28" s="71">
        <f t="shared" si="12"/>
        <v>27.8</v>
      </c>
      <c r="AL28" s="71">
        <f t="shared" si="13"/>
        <v>0.30000000000000004</v>
      </c>
      <c r="AM28" s="10">
        <f t="shared" si="14"/>
        <v>1.079136690647482</v>
      </c>
      <c r="AN28" s="35"/>
      <c r="AO28" s="79"/>
      <c r="AP28" s="35"/>
      <c r="AQ28" s="79"/>
      <c r="AR28" s="35"/>
      <c r="AS28" s="79"/>
      <c r="AT28" s="58">
        <f t="shared" si="22"/>
        <v>86.7</v>
      </c>
      <c r="AU28" s="58">
        <f t="shared" si="23"/>
        <v>66.39999999999999</v>
      </c>
      <c r="AV28" s="10">
        <f t="shared" si="6"/>
        <v>76.58592848904266</v>
      </c>
      <c r="AW28" s="58">
        <f t="shared" si="24"/>
        <v>20.30000000000001</v>
      </c>
      <c r="AX28" s="16">
        <f t="shared" si="25"/>
        <v>-13.699999999999989</v>
      </c>
      <c r="AY28" s="20">
        <f t="shared" si="15"/>
        <v>86.7</v>
      </c>
      <c r="AZ28" s="20">
        <f t="shared" si="16"/>
        <v>66.39999999999999</v>
      </c>
      <c r="BA28" s="39">
        <f t="shared" si="17"/>
        <v>-13.699999999999989</v>
      </c>
    </row>
    <row r="29" spans="1:53" ht="34.5" customHeight="1">
      <c r="A29" s="56">
        <v>22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8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10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85" t="e">
        <f t="shared" si="3"/>
        <v>#DIV/0!</v>
      </c>
      <c r="AE29" s="53"/>
      <c r="AF29" s="53"/>
      <c r="AG29" s="10" t="e">
        <f t="shared" si="4"/>
        <v>#DIV/0!</v>
      </c>
      <c r="AH29" s="53"/>
      <c r="AI29" s="53"/>
      <c r="AJ29" s="10" t="e">
        <f t="shared" si="5"/>
        <v>#DIV/0!</v>
      </c>
      <c r="AK29" s="71">
        <f t="shared" si="12"/>
        <v>0</v>
      </c>
      <c r="AL29" s="71">
        <f t="shared" si="13"/>
        <v>0</v>
      </c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5"/>
        <v>0</v>
      </c>
      <c r="AZ29" s="20">
        <f t="shared" si="16"/>
        <v>0</v>
      </c>
      <c r="BA29" s="39">
        <f t="shared" si="17"/>
        <v>0</v>
      </c>
    </row>
    <row r="30" spans="1:53" ht="34.5" customHeight="1">
      <c r="A30" s="56">
        <v>23</v>
      </c>
      <c r="B30" s="61" t="s">
        <v>39</v>
      </c>
      <c r="C30" s="13">
        <v>62.5</v>
      </c>
      <c r="D30" s="35">
        <v>46.2</v>
      </c>
      <c r="E30" s="35">
        <v>52.3</v>
      </c>
      <c r="F30" s="10">
        <f t="shared" si="7"/>
        <v>113.2034632034632</v>
      </c>
      <c r="G30" s="35">
        <v>0</v>
      </c>
      <c r="H30" s="35">
        <v>50.7</v>
      </c>
      <c r="I30" s="85" t="e">
        <f t="shared" si="8"/>
        <v>#DIV/0!</v>
      </c>
      <c r="J30" s="35">
        <v>-0.7</v>
      </c>
      <c r="K30" s="35">
        <v>5.7</v>
      </c>
      <c r="L30" s="10">
        <f aca="true" t="shared" si="26" ref="L30:L45">K30/J30*100</f>
        <v>-814.2857142857144</v>
      </c>
      <c r="M30" s="71">
        <f t="shared" si="18"/>
        <v>45.5</v>
      </c>
      <c r="N30" s="71">
        <f t="shared" si="19"/>
        <v>108.7</v>
      </c>
      <c r="O30" s="10">
        <f t="shared" si="1"/>
        <v>238.9010989010989</v>
      </c>
      <c r="P30" s="35">
        <v>-0.6</v>
      </c>
      <c r="Q30" s="35">
        <v>0</v>
      </c>
      <c r="R30" s="10">
        <f t="shared" si="10"/>
        <v>0</v>
      </c>
      <c r="S30" s="35">
        <v>-21.1</v>
      </c>
      <c r="T30" s="35">
        <v>1.4</v>
      </c>
      <c r="U30" s="102"/>
      <c r="V30" s="35">
        <v>0</v>
      </c>
      <c r="W30" s="35">
        <v>0</v>
      </c>
      <c r="X30" s="102" t="e">
        <f aca="true" t="shared" si="27" ref="X30:X45">W30/V30*100</f>
        <v>#DIV/0!</v>
      </c>
      <c r="Y30" s="71">
        <f aca="true" t="shared" si="28" ref="Y30:Y42">P30+S30+V30</f>
        <v>-21.700000000000003</v>
      </c>
      <c r="Z30" s="71">
        <f aca="true" t="shared" si="29" ref="Z30:Z42">Q30+T30+W30</f>
        <v>1.4</v>
      </c>
      <c r="AA30" s="10">
        <f aca="true" t="shared" si="30" ref="AA30:AA45">Z30/Y30*100</f>
        <v>-6.451612903225805</v>
      </c>
      <c r="AB30" s="35">
        <v>23.8</v>
      </c>
      <c r="AC30" s="35">
        <v>0</v>
      </c>
      <c r="AD30" s="10">
        <f t="shared" si="3"/>
        <v>0</v>
      </c>
      <c r="AE30" s="35">
        <v>2.7</v>
      </c>
      <c r="AF30" s="35">
        <v>2.7</v>
      </c>
      <c r="AG30" s="10">
        <f t="shared" si="4"/>
        <v>100</v>
      </c>
      <c r="AH30" s="35">
        <v>2.2</v>
      </c>
      <c r="AI30" s="35">
        <v>2.2</v>
      </c>
      <c r="AJ30" s="10">
        <f t="shared" si="5"/>
        <v>100</v>
      </c>
      <c r="AK30" s="71">
        <f t="shared" si="12"/>
        <v>28.7</v>
      </c>
      <c r="AL30" s="71">
        <f t="shared" si="13"/>
        <v>4.9</v>
      </c>
      <c r="AM30" s="10">
        <f aca="true" t="shared" si="31" ref="AM30:AM45">AL30/AK30*100</f>
        <v>17.073170731707318</v>
      </c>
      <c r="AN30" s="35"/>
      <c r="AO30" s="35"/>
      <c r="AP30" s="35"/>
      <c r="AQ30" s="35"/>
      <c r="AR30" s="35"/>
      <c r="AS30" s="35"/>
      <c r="AT30" s="58">
        <f t="shared" si="22"/>
        <v>52.5</v>
      </c>
      <c r="AU30" s="58">
        <f t="shared" si="23"/>
        <v>115.00000000000001</v>
      </c>
      <c r="AV30" s="10">
        <f t="shared" si="6"/>
        <v>219.04761904761907</v>
      </c>
      <c r="AW30" s="58">
        <f t="shared" si="24"/>
        <v>-62.500000000000014</v>
      </c>
      <c r="AX30" s="16">
        <f t="shared" si="25"/>
        <v>0</v>
      </c>
      <c r="AY30" s="20">
        <f t="shared" si="15"/>
        <v>52.5</v>
      </c>
      <c r="AZ30" s="20">
        <f t="shared" si="16"/>
        <v>115.00000000000001</v>
      </c>
      <c r="BA30" s="39">
        <f t="shared" si="17"/>
        <v>0</v>
      </c>
    </row>
    <row r="31" spans="1:53" ht="34.5" customHeight="1">
      <c r="A31" s="56">
        <v>24</v>
      </c>
      <c r="B31" s="61" t="s">
        <v>3</v>
      </c>
      <c r="C31" s="13">
        <v>277.5</v>
      </c>
      <c r="D31" s="35">
        <v>159.6</v>
      </c>
      <c r="E31" s="35">
        <v>240</v>
      </c>
      <c r="F31" s="10">
        <f t="shared" si="7"/>
        <v>150.37593984962407</v>
      </c>
      <c r="G31" s="35">
        <v>1.5</v>
      </c>
      <c r="H31" s="35">
        <v>37.5</v>
      </c>
      <c r="I31" s="10">
        <f t="shared" si="8"/>
        <v>2500</v>
      </c>
      <c r="J31" s="35">
        <v>-0.8</v>
      </c>
      <c r="K31" s="35">
        <v>78.6</v>
      </c>
      <c r="L31" s="10">
        <f t="shared" si="26"/>
        <v>-9824.999999999998</v>
      </c>
      <c r="M31" s="71">
        <f t="shared" si="18"/>
        <v>160.29999999999998</v>
      </c>
      <c r="N31" s="71">
        <f t="shared" si="19"/>
        <v>356.1</v>
      </c>
      <c r="O31" s="10">
        <f t="shared" si="1"/>
        <v>222.14597629444793</v>
      </c>
      <c r="P31" s="35">
        <v>0</v>
      </c>
      <c r="Q31" s="35">
        <v>0</v>
      </c>
      <c r="R31" s="85" t="e">
        <f t="shared" si="10"/>
        <v>#DIV/0!</v>
      </c>
      <c r="S31" s="35">
        <v>0</v>
      </c>
      <c r="T31" s="35">
        <v>0</v>
      </c>
      <c r="U31" s="10"/>
      <c r="V31" s="35">
        <v>0</v>
      </c>
      <c r="W31" s="35">
        <v>0</v>
      </c>
      <c r="X31" s="85" t="e">
        <f t="shared" si="27"/>
        <v>#DIV/0!</v>
      </c>
      <c r="Y31" s="71">
        <f t="shared" si="28"/>
        <v>0</v>
      </c>
      <c r="Z31" s="71">
        <f t="shared" si="29"/>
        <v>0</v>
      </c>
      <c r="AA31" s="85" t="e">
        <f t="shared" si="30"/>
        <v>#DIV/0!</v>
      </c>
      <c r="AB31" s="35">
        <v>0</v>
      </c>
      <c r="AC31" s="35">
        <v>0</v>
      </c>
      <c r="AD31" s="85" t="e">
        <f t="shared" si="3"/>
        <v>#DIV/0!</v>
      </c>
      <c r="AE31" s="35">
        <v>0</v>
      </c>
      <c r="AF31" s="35">
        <v>0</v>
      </c>
      <c r="AG31" s="154" t="e">
        <f t="shared" si="4"/>
        <v>#DIV/0!</v>
      </c>
      <c r="AH31" s="35">
        <v>0</v>
      </c>
      <c r="AI31" s="35">
        <v>0</v>
      </c>
      <c r="AJ31" s="10" t="e">
        <f t="shared" si="5"/>
        <v>#DIV/0!</v>
      </c>
      <c r="AK31" s="71">
        <f t="shared" si="12"/>
        <v>0</v>
      </c>
      <c r="AL31" s="71">
        <f t="shared" si="13"/>
        <v>0</v>
      </c>
      <c r="AM31" s="10" t="e">
        <f t="shared" si="31"/>
        <v>#DIV/0!</v>
      </c>
      <c r="AN31" s="35"/>
      <c r="AO31" s="35"/>
      <c r="AP31" s="35"/>
      <c r="AQ31" s="35"/>
      <c r="AR31" s="35"/>
      <c r="AS31" s="35"/>
      <c r="AT31" s="58">
        <f t="shared" si="22"/>
        <v>160.29999999999998</v>
      </c>
      <c r="AU31" s="58">
        <f t="shared" si="23"/>
        <v>356.1</v>
      </c>
      <c r="AV31" s="10">
        <f t="shared" si="6"/>
        <v>222.14597629444793</v>
      </c>
      <c r="AW31" s="58">
        <f t="shared" si="24"/>
        <v>-195.80000000000004</v>
      </c>
      <c r="AX31" s="16">
        <f t="shared" si="25"/>
        <v>81.69999999999993</v>
      </c>
      <c r="AY31" s="20">
        <f t="shared" si="15"/>
        <v>160.29999999999998</v>
      </c>
      <c r="AZ31" s="20">
        <f t="shared" si="16"/>
        <v>356.1</v>
      </c>
      <c r="BA31" s="39">
        <f t="shared" si="17"/>
        <v>81.69999999999993</v>
      </c>
    </row>
    <row r="32" spans="1:53" ht="34.5" customHeight="1">
      <c r="A32" s="56">
        <v>25</v>
      </c>
      <c r="B32" s="61" t="s">
        <v>93</v>
      </c>
      <c r="C32" s="16">
        <f>SUM(C33:C34)</f>
        <v>172.2</v>
      </c>
      <c r="D32" s="16">
        <f aca="true" t="shared" si="32" ref="D32:AS32">SUM(D33:D34)</f>
        <v>272.5</v>
      </c>
      <c r="E32" s="16">
        <f t="shared" si="32"/>
        <v>253.3</v>
      </c>
      <c r="F32" s="16">
        <f t="shared" si="32"/>
        <v>135.16542155816435</v>
      </c>
      <c r="G32" s="16">
        <f t="shared" si="32"/>
        <v>84.1</v>
      </c>
      <c r="H32" s="16">
        <f t="shared" si="32"/>
        <v>253.5</v>
      </c>
      <c r="I32" s="16">
        <f t="shared" si="32"/>
        <v>440.1041666666667</v>
      </c>
      <c r="J32" s="16">
        <f t="shared" si="32"/>
        <v>66.1</v>
      </c>
      <c r="K32" s="16">
        <f t="shared" si="32"/>
        <v>14.4</v>
      </c>
      <c r="L32" s="16">
        <f t="shared" si="32"/>
        <v>25</v>
      </c>
      <c r="M32" s="16">
        <f t="shared" si="32"/>
        <v>422.70000000000005</v>
      </c>
      <c r="N32" s="16">
        <f t="shared" si="32"/>
        <v>521.2</v>
      </c>
      <c r="O32" s="10">
        <f t="shared" si="1"/>
        <v>123.30257866098889</v>
      </c>
      <c r="P32" s="16">
        <f t="shared" si="32"/>
        <v>2.5999999999999996</v>
      </c>
      <c r="Q32" s="16">
        <f t="shared" si="32"/>
        <v>76.5</v>
      </c>
      <c r="R32" s="16">
        <f t="shared" si="32"/>
        <v>-5884.615384615385</v>
      </c>
      <c r="S32" s="16">
        <f t="shared" si="32"/>
        <v>-88.39999999999999</v>
      </c>
      <c r="T32" s="16">
        <f t="shared" si="32"/>
        <v>18</v>
      </c>
      <c r="U32" s="16">
        <f t="shared" si="32"/>
        <v>0</v>
      </c>
      <c r="V32" s="16">
        <f t="shared" si="32"/>
        <v>-256.5</v>
      </c>
      <c r="W32" s="16">
        <f t="shared" si="32"/>
        <v>-119.3</v>
      </c>
      <c r="X32" s="16">
        <f t="shared" si="32"/>
        <v>-1612.162162162162</v>
      </c>
      <c r="Y32" s="16">
        <f t="shared" si="32"/>
        <v>-342.29999999999995</v>
      </c>
      <c r="Z32" s="16">
        <f t="shared" si="32"/>
        <v>-24.799999999999997</v>
      </c>
      <c r="AA32" s="10">
        <f t="shared" si="30"/>
        <v>7.2451066316096995</v>
      </c>
      <c r="AB32" s="16">
        <f t="shared" si="32"/>
        <v>4.8</v>
      </c>
      <c r="AC32" s="16">
        <f t="shared" si="32"/>
        <v>4.9</v>
      </c>
      <c r="AD32" s="10">
        <f t="shared" si="3"/>
        <v>102.08333333333334</v>
      </c>
      <c r="AE32" s="16">
        <f t="shared" si="32"/>
        <v>89.69999999999999</v>
      </c>
      <c r="AF32" s="16">
        <f t="shared" si="32"/>
        <v>44.6</v>
      </c>
      <c r="AG32" s="16">
        <f t="shared" si="32"/>
        <v>99.55357142857144</v>
      </c>
      <c r="AH32" s="16">
        <f t="shared" si="32"/>
        <v>0</v>
      </c>
      <c r="AI32" s="16">
        <f t="shared" si="32"/>
        <v>160.2</v>
      </c>
      <c r="AJ32" s="10" t="e">
        <f t="shared" si="5"/>
        <v>#DIV/0!</v>
      </c>
      <c r="AK32" s="16">
        <f t="shared" si="32"/>
        <v>94.5</v>
      </c>
      <c r="AL32" s="16">
        <f t="shared" si="32"/>
        <v>209.7</v>
      </c>
      <c r="AM32" s="16">
        <f t="shared" si="32"/>
        <v>456.54905165600985</v>
      </c>
      <c r="AN32" s="16">
        <f t="shared" si="32"/>
        <v>0</v>
      </c>
      <c r="AO32" s="16">
        <f t="shared" si="32"/>
        <v>0</v>
      </c>
      <c r="AP32" s="16">
        <f t="shared" si="32"/>
        <v>0</v>
      </c>
      <c r="AQ32" s="16">
        <f t="shared" si="32"/>
        <v>0</v>
      </c>
      <c r="AR32" s="16">
        <f t="shared" si="32"/>
        <v>0</v>
      </c>
      <c r="AS32" s="16">
        <f t="shared" si="32"/>
        <v>0</v>
      </c>
      <c r="AT32" s="16">
        <f>SUM(AT33:AT34)</f>
        <v>174.90000000000003</v>
      </c>
      <c r="AU32" s="16">
        <f>SUM(AU33:AU34)</f>
        <v>706.1</v>
      </c>
      <c r="AV32" s="10">
        <f t="shared" si="6"/>
        <v>403.7164093767867</v>
      </c>
      <c r="AW32" s="16">
        <f>SUM(AW33:AW34)</f>
        <v>-531.2</v>
      </c>
      <c r="AX32" s="16">
        <f>SUM(AX33:AX34)</f>
        <v>-359</v>
      </c>
      <c r="AY32" s="20">
        <f t="shared" si="15"/>
        <v>174.9000000000001</v>
      </c>
      <c r="AZ32" s="20">
        <f t="shared" si="16"/>
        <v>706.0999999999999</v>
      </c>
      <c r="BA32" s="39">
        <f t="shared" si="17"/>
        <v>-358.99999999999983</v>
      </c>
    </row>
    <row r="33" spans="1:53" ht="34.5" customHeight="1">
      <c r="A33" s="56"/>
      <c r="B33" s="61" t="s">
        <v>109</v>
      </c>
      <c r="C33" s="13">
        <v>333.7</v>
      </c>
      <c r="D33" s="35">
        <v>187.4</v>
      </c>
      <c r="E33" s="35">
        <v>253.3</v>
      </c>
      <c r="F33" s="10">
        <f>E33/D33*100</f>
        <v>135.16542155816435</v>
      </c>
      <c r="G33" s="35">
        <v>57.6</v>
      </c>
      <c r="H33" s="35">
        <v>253.5</v>
      </c>
      <c r="I33" s="10">
        <f t="shared" si="8"/>
        <v>440.1041666666667</v>
      </c>
      <c r="J33" s="35">
        <v>57.6</v>
      </c>
      <c r="K33" s="35">
        <v>14.4</v>
      </c>
      <c r="L33" s="10">
        <f t="shared" si="26"/>
        <v>25</v>
      </c>
      <c r="M33" s="71">
        <f t="shared" si="18"/>
        <v>302.6</v>
      </c>
      <c r="N33" s="71">
        <f t="shared" si="19"/>
        <v>521.2</v>
      </c>
      <c r="O33" s="10">
        <f t="shared" si="1"/>
        <v>172.2405816259088</v>
      </c>
      <c r="P33" s="35">
        <v>-1.3</v>
      </c>
      <c r="Q33" s="35">
        <v>76.5</v>
      </c>
      <c r="R33" s="10">
        <f t="shared" si="10"/>
        <v>-5884.615384615385</v>
      </c>
      <c r="S33" s="35">
        <v>0.7</v>
      </c>
      <c r="T33" s="35">
        <v>18</v>
      </c>
      <c r="U33" s="10"/>
      <c r="V33" s="35">
        <v>-263.9</v>
      </c>
      <c r="W33" s="35">
        <v>0</v>
      </c>
      <c r="X33" s="10">
        <f t="shared" si="27"/>
        <v>0</v>
      </c>
      <c r="Y33" s="71">
        <f t="shared" si="28"/>
        <v>-264.5</v>
      </c>
      <c r="Z33" s="71">
        <f t="shared" si="29"/>
        <v>94.5</v>
      </c>
      <c r="AA33" s="10">
        <f t="shared" si="30"/>
        <v>-35.72778827977316</v>
      </c>
      <c r="AB33" s="35">
        <v>0</v>
      </c>
      <c r="AC33" s="35">
        <v>0</v>
      </c>
      <c r="AD33" s="85" t="e">
        <f t="shared" si="3"/>
        <v>#DIV/0!</v>
      </c>
      <c r="AE33" s="35">
        <v>44.9</v>
      </c>
      <c r="AF33" s="35">
        <v>0</v>
      </c>
      <c r="AG33" s="10">
        <f t="shared" si="4"/>
        <v>0</v>
      </c>
      <c r="AH33" s="35">
        <v>0</v>
      </c>
      <c r="AI33" s="35">
        <v>160</v>
      </c>
      <c r="AJ33" s="10" t="e">
        <f t="shared" si="5"/>
        <v>#DIV/0!</v>
      </c>
      <c r="AK33" s="71">
        <f aca="true" t="shared" si="33" ref="AK33:AK42">AB33+AE33+AH33</f>
        <v>44.9</v>
      </c>
      <c r="AL33" s="71">
        <f aca="true" t="shared" si="34" ref="AL33:AL42">AC33+AF33+AI33</f>
        <v>160</v>
      </c>
      <c r="AM33" s="10">
        <f t="shared" si="31"/>
        <v>356.347438752784</v>
      </c>
      <c r="AN33" s="35"/>
      <c r="AO33" s="35"/>
      <c r="AP33" s="35"/>
      <c r="AQ33" s="35"/>
      <c r="AR33" s="35"/>
      <c r="AS33" s="35"/>
      <c r="AT33" s="58">
        <f t="shared" si="22"/>
        <v>83.00000000000003</v>
      </c>
      <c r="AU33" s="58">
        <f t="shared" si="23"/>
        <v>775.7</v>
      </c>
      <c r="AV33" s="10">
        <f t="shared" si="6"/>
        <v>934.5783132530117</v>
      </c>
      <c r="AW33" s="58">
        <f t="shared" si="24"/>
        <v>-692.7</v>
      </c>
      <c r="AX33" s="16">
        <f t="shared" si="25"/>
        <v>-359</v>
      </c>
      <c r="AY33" s="20">
        <f t="shared" si="15"/>
        <v>83.00000000000003</v>
      </c>
      <c r="AZ33" s="20">
        <f t="shared" si="16"/>
        <v>775.7</v>
      </c>
      <c r="BA33" s="39">
        <f t="shared" si="17"/>
        <v>-359</v>
      </c>
    </row>
    <row r="34" spans="1:53" ht="34.5" customHeight="1">
      <c r="A34" s="56"/>
      <c r="B34" s="61" t="s">
        <v>94</v>
      </c>
      <c r="C34" s="63">
        <v>-161.5</v>
      </c>
      <c r="D34" s="35">
        <v>85.1</v>
      </c>
      <c r="E34" s="35">
        <v>0</v>
      </c>
      <c r="F34" s="10">
        <f>E34/D34*100</f>
        <v>0</v>
      </c>
      <c r="G34" s="35">
        <v>26.5</v>
      </c>
      <c r="H34" s="35">
        <v>0</v>
      </c>
      <c r="I34" s="10">
        <f t="shared" si="8"/>
        <v>0</v>
      </c>
      <c r="J34" s="35">
        <v>8.5</v>
      </c>
      <c r="K34" s="35">
        <v>0</v>
      </c>
      <c r="L34" s="10">
        <f t="shared" si="26"/>
        <v>0</v>
      </c>
      <c r="M34" s="71">
        <f t="shared" si="18"/>
        <v>120.1</v>
      </c>
      <c r="N34" s="71">
        <f t="shared" si="19"/>
        <v>0</v>
      </c>
      <c r="O34" s="10">
        <f t="shared" si="1"/>
        <v>0</v>
      </c>
      <c r="P34" s="35">
        <v>3.9</v>
      </c>
      <c r="Q34" s="35">
        <v>0</v>
      </c>
      <c r="R34" s="10">
        <f t="shared" si="10"/>
        <v>0</v>
      </c>
      <c r="S34" s="35">
        <v>-89.1</v>
      </c>
      <c r="T34" s="35">
        <v>0</v>
      </c>
      <c r="U34" s="10"/>
      <c r="V34" s="35">
        <v>7.4</v>
      </c>
      <c r="W34" s="35">
        <v>-119.3</v>
      </c>
      <c r="X34" s="10">
        <f t="shared" si="27"/>
        <v>-1612.162162162162</v>
      </c>
      <c r="Y34" s="71">
        <f>P34+S34+V34</f>
        <v>-77.79999999999998</v>
      </c>
      <c r="Z34" s="71">
        <f>Q34+T34+W34</f>
        <v>-119.3</v>
      </c>
      <c r="AA34" s="10">
        <f>Z34/Y34*100</f>
        <v>153.3419023136247</v>
      </c>
      <c r="AB34" s="35">
        <v>4.8</v>
      </c>
      <c r="AC34" s="35">
        <v>4.9</v>
      </c>
      <c r="AD34" s="10">
        <f t="shared" si="3"/>
        <v>102.08333333333334</v>
      </c>
      <c r="AE34" s="35">
        <v>44.8</v>
      </c>
      <c r="AF34" s="35">
        <v>44.6</v>
      </c>
      <c r="AG34" s="10">
        <f t="shared" si="4"/>
        <v>99.55357142857144</v>
      </c>
      <c r="AH34" s="35">
        <v>0</v>
      </c>
      <c r="AI34" s="35">
        <v>0.2</v>
      </c>
      <c r="AJ34" s="10" t="e">
        <f t="shared" si="5"/>
        <v>#DIV/0!</v>
      </c>
      <c r="AK34" s="71">
        <f t="shared" si="33"/>
        <v>49.599999999999994</v>
      </c>
      <c r="AL34" s="71">
        <f t="shared" si="34"/>
        <v>49.7</v>
      </c>
      <c r="AM34" s="10">
        <f t="shared" si="31"/>
        <v>100.20161290322582</v>
      </c>
      <c r="AN34" s="35"/>
      <c r="AO34" s="35"/>
      <c r="AP34" s="35"/>
      <c r="AQ34" s="35"/>
      <c r="AR34" s="35"/>
      <c r="AS34" s="35"/>
      <c r="AT34" s="58">
        <f t="shared" si="22"/>
        <v>91.9</v>
      </c>
      <c r="AU34" s="58">
        <f t="shared" si="23"/>
        <v>-69.6</v>
      </c>
      <c r="AV34" s="10">
        <f t="shared" si="6"/>
        <v>-75.73449401523395</v>
      </c>
      <c r="AW34" s="58">
        <f t="shared" si="24"/>
        <v>161.5</v>
      </c>
      <c r="AX34" s="16">
        <f t="shared" si="25"/>
        <v>0</v>
      </c>
      <c r="AY34" s="20">
        <f t="shared" si="15"/>
        <v>91.9</v>
      </c>
      <c r="AZ34" s="20">
        <f t="shared" si="16"/>
        <v>-69.59999999999998</v>
      </c>
      <c r="BA34" s="39">
        <f t="shared" si="17"/>
        <v>0</v>
      </c>
    </row>
    <row r="35" spans="1:53" ht="34.5" customHeight="1">
      <c r="A35" s="56">
        <v>26</v>
      </c>
      <c r="B35" s="61" t="s">
        <v>60</v>
      </c>
      <c r="C35" s="63">
        <v>-258</v>
      </c>
      <c r="D35" s="34">
        <v>228.5</v>
      </c>
      <c r="E35" s="34">
        <v>16.3</v>
      </c>
      <c r="F35" s="10">
        <f t="shared" si="7"/>
        <v>7.133479212253829</v>
      </c>
      <c r="G35" s="35">
        <v>24.4</v>
      </c>
      <c r="H35" s="35">
        <v>82.3</v>
      </c>
      <c r="I35" s="10">
        <f t="shared" si="8"/>
        <v>337.29508196721315</v>
      </c>
      <c r="J35" s="35">
        <v>-2</v>
      </c>
      <c r="K35" s="35">
        <v>9.9</v>
      </c>
      <c r="L35" s="10">
        <f t="shared" si="26"/>
        <v>-495</v>
      </c>
      <c r="M35" s="71">
        <f t="shared" si="18"/>
        <v>250.9</v>
      </c>
      <c r="N35" s="71">
        <f t="shared" si="19"/>
        <v>108.5</v>
      </c>
      <c r="O35" s="10">
        <f t="shared" si="1"/>
        <v>43.24432044639298</v>
      </c>
      <c r="P35" s="35">
        <v>4.8</v>
      </c>
      <c r="Q35" s="35">
        <v>-88.6</v>
      </c>
      <c r="R35" s="10"/>
      <c r="S35" s="35">
        <v>-77.6</v>
      </c>
      <c r="T35" s="35">
        <v>1.8</v>
      </c>
      <c r="U35" s="10"/>
      <c r="V35" s="35">
        <v>-15</v>
      </c>
      <c r="W35" s="35">
        <v>0</v>
      </c>
      <c r="X35" s="10">
        <f t="shared" si="27"/>
        <v>0</v>
      </c>
      <c r="Y35" s="71">
        <f t="shared" si="28"/>
        <v>-87.8</v>
      </c>
      <c r="Z35" s="71">
        <f t="shared" si="29"/>
        <v>-86.8</v>
      </c>
      <c r="AA35" s="10">
        <f t="shared" si="30"/>
        <v>98.86104783599089</v>
      </c>
      <c r="AB35" s="35">
        <v>-17</v>
      </c>
      <c r="AC35" s="35">
        <v>0</v>
      </c>
      <c r="AD35" s="10">
        <f t="shared" si="3"/>
        <v>0</v>
      </c>
      <c r="AE35" s="35">
        <v>10.5</v>
      </c>
      <c r="AF35" s="35">
        <v>-3</v>
      </c>
      <c r="AG35" s="10">
        <f t="shared" si="4"/>
        <v>-28.57142857142857</v>
      </c>
      <c r="AH35" s="35">
        <v>0</v>
      </c>
      <c r="AI35" s="35">
        <v>15.2</v>
      </c>
      <c r="AJ35" s="10" t="e">
        <f t="shared" si="5"/>
        <v>#DIV/0!</v>
      </c>
      <c r="AK35" s="71">
        <f t="shared" si="33"/>
        <v>-6.5</v>
      </c>
      <c r="AL35" s="71">
        <f t="shared" si="34"/>
        <v>12.2</v>
      </c>
      <c r="AM35" s="10">
        <f t="shared" si="31"/>
        <v>-187.69230769230768</v>
      </c>
      <c r="AN35" s="35"/>
      <c r="AO35" s="35"/>
      <c r="AP35" s="35"/>
      <c r="AQ35" s="35"/>
      <c r="AR35" s="35"/>
      <c r="AS35" s="35"/>
      <c r="AT35" s="58">
        <f t="shared" si="22"/>
        <v>156.60000000000002</v>
      </c>
      <c r="AU35" s="58">
        <f t="shared" si="23"/>
        <v>33.900000000000006</v>
      </c>
      <c r="AV35" s="10">
        <f t="shared" si="6"/>
        <v>21.64750957854406</v>
      </c>
      <c r="AW35" s="58">
        <f t="shared" si="24"/>
        <v>122.70000000000002</v>
      </c>
      <c r="AX35" s="16">
        <f t="shared" si="25"/>
        <v>-135.29999999999998</v>
      </c>
      <c r="AY35" s="20">
        <f t="shared" si="15"/>
        <v>156.60000000000002</v>
      </c>
      <c r="AZ35" s="20">
        <f t="shared" si="16"/>
        <v>33.900000000000006</v>
      </c>
      <c r="BA35" s="39">
        <f t="shared" si="17"/>
        <v>-135.29999999999998</v>
      </c>
    </row>
    <row r="36" spans="1:53" ht="34.5" customHeight="1">
      <c r="A36" s="56">
        <v>27</v>
      </c>
      <c r="B36" s="114" t="s">
        <v>61</v>
      </c>
      <c r="C36" s="13">
        <v>-107.6</v>
      </c>
      <c r="D36" s="64">
        <v>213.4</v>
      </c>
      <c r="E36" s="64">
        <v>0</v>
      </c>
      <c r="F36" s="10">
        <f t="shared" si="7"/>
        <v>0</v>
      </c>
      <c r="G36" s="35">
        <v>-1.1</v>
      </c>
      <c r="H36" s="35">
        <v>89.8</v>
      </c>
      <c r="I36" s="10">
        <f t="shared" si="8"/>
        <v>-8163.636363636362</v>
      </c>
      <c r="J36" s="35">
        <v>-2.1</v>
      </c>
      <c r="K36" s="35">
        <v>15</v>
      </c>
      <c r="L36" s="60">
        <f t="shared" si="26"/>
        <v>-714.2857142857142</v>
      </c>
      <c r="M36" s="71">
        <f t="shared" si="18"/>
        <v>210.20000000000002</v>
      </c>
      <c r="N36" s="71">
        <f t="shared" si="19"/>
        <v>104.8</v>
      </c>
      <c r="O36" s="10">
        <f t="shared" si="1"/>
        <v>49.85727878211227</v>
      </c>
      <c r="P36" s="35">
        <v>0</v>
      </c>
      <c r="Q36" s="35">
        <v>0</v>
      </c>
      <c r="R36" s="85" t="e">
        <f t="shared" si="10"/>
        <v>#DIV/0!</v>
      </c>
      <c r="S36" s="35">
        <v>0</v>
      </c>
      <c r="T36" s="35">
        <v>0</v>
      </c>
      <c r="U36" s="102"/>
      <c r="V36" s="35">
        <v>0</v>
      </c>
      <c r="W36" s="35">
        <v>0</v>
      </c>
      <c r="X36" s="102" t="e">
        <f t="shared" si="27"/>
        <v>#DIV/0!</v>
      </c>
      <c r="Y36" s="71">
        <f t="shared" si="28"/>
        <v>0</v>
      </c>
      <c r="Z36" s="71">
        <f t="shared" si="29"/>
        <v>0</v>
      </c>
      <c r="AA36" s="85" t="e">
        <f t="shared" si="30"/>
        <v>#DIV/0!</v>
      </c>
      <c r="AB36" s="35">
        <v>-134.3</v>
      </c>
      <c r="AC36" s="35">
        <v>0</v>
      </c>
      <c r="AD36" s="10">
        <f t="shared" si="3"/>
        <v>0</v>
      </c>
      <c r="AE36" s="35">
        <v>84</v>
      </c>
      <c r="AF36" s="35">
        <v>0</v>
      </c>
      <c r="AG36" s="10">
        <f t="shared" si="4"/>
        <v>0</v>
      </c>
      <c r="AH36" s="35">
        <v>0</v>
      </c>
      <c r="AI36" s="35">
        <v>0</v>
      </c>
      <c r="AJ36" s="10" t="e">
        <f t="shared" si="5"/>
        <v>#DIV/0!</v>
      </c>
      <c r="AK36" s="71">
        <f t="shared" si="33"/>
        <v>-50.30000000000001</v>
      </c>
      <c r="AL36" s="71">
        <f t="shared" si="34"/>
        <v>0</v>
      </c>
      <c r="AM36" s="10">
        <f t="shared" si="31"/>
        <v>0</v>
      </c>
      <c r="AN36" s="35"/>
      <c r="AO36" s="35"/>
      <c r="AP36" s="35"/>
      <c r="AQ36" s="35"/>
      <c r="AR36" s="35"/>
      <c r="AS36" s="35"/>
      <c r="AT36" s="58">
        <f t="shared" si="22"/>
        <v>159.9</v>
      </c>
      <c r="AU36" s="58">
        <f t="shared" si="23"/>
        <v>104.8</v>
      </c>
      <c r="AV36" s="10">
        <f t="shared" si="6"/>
        <v>65.54096310193871</v>
      </c>
      <c r="AW36" s="58">
        <f t="shared" si="24"/>
        <v>55.10000000000001</v>
      </c>
      <c r="AX36" s="16">
        <f t="shared" si="25"/>
        <v>-52.499999999999986</v>
      </c>
      <c r="AY36" s="20">
        <f t="shared" si="15"/>
        <v>159.9</v>
      </c>
      <c r="AZ36" s="20">
        <f t="shared" si="16"/>
        <v>104.8</v>
      </c>
      <c r="BA36" s="39">
        <f t="shared" si="17"/>
        <v>-52.499999999999986</v>
      </c>
    </row>
    <row r="37" spans="1:53" ht="34.5" customHeight="1">
      <c r="A37" s="56">
        <v>28</v>
      </c>
      <c r="B37" s="115" t="s">
        <v>62</v>
      </c>
      <c r="C37" s="13">
        <v>2542</v>
      </c>
      <c r="D37" s="35">
        <v>186.1</v>
      </c>
      <c r="E37" s="35">
        <v>998.6</v>
      </c>
      <c r="F37" s="10">
        <f t="shared" si="7"/>
        <v>536.5932294465342</v>
      </c>
      <c r="G37" s="35">
        <v>77.8</v>
      </c>
      <c r="H37" s="35">
        <v>1401.8</v>
      </c>
      <c r="I37" s="10">
        <f t="shared" si="8"/>
        <v>1801.7994858611826</v>
      </c>
      <c r="J37" s="35">
        <v>4.2</v>
      </c>
      <c r="K37" s="35">
        <v>404</v>
      </c>
      <c r="L37" s="10">
        <f t="shared" si="26"/>
        <v>9619.047619047618</v>
      </c>
      <c r="M37" s="71">
        <f t="shared" si="18"/>
        <v>268.09999999999997</v>
      </c>
      <c r="N37" s="71">
        <f t="shared" si="19"/>
        <v>2804.4</v>
      </c>
      <c r="O37" s="10">
        <f t="shared" si="1"/>
        <v>1046.0276016411788</v>
      </c>
      <c r="P37" s="35">
        <v>0</v>
      </c>
      <c r="Q37" s="35">
        <v>5.7</v>
      </c>
      <c r="R37" s="85" t="e">
        <f t="shared" si="10"/>
        <v>#DIV/0!</v>
      </c>
      <c r="S37" s="35">
        <v>89.4</v>
      </c>
      <c r="T37" s="35">
        <v>0</v>
      </c>
      <c r="U37" s="10"/>
      <c r="V37" s="35">
        <v>0.7</v>
      </c>
      <c r="W37" s="35">
        <v>84.6</v>
      </c>
      <c r="X37" s="10">
        <f t="shared" si="27"/>
        <v>12085.714285714286</v>
      </c>
      <c r="Y37" s="71">
        <f t="shared" si="28"/>
        <v>90.10000000000001</v>
      </c>
      <c r="Z37" s="71">
        <f t="shared" si="29"/>
        <v>90.3</v>
      </c>
      <c r="AA37" s="10">
        <f t="shared" si="30"/>
        <v>100.22197558268589</v>
      </c>
      <c r="AB37" s="35">
        <v>582.3</v>
      </c>
      <c r="AC37" s="35">
        <v>4.7</v>
      </c>
      <c r="AD37" s="10">
        <f t="shared" si="3"/>
        <v>0.8071440838055987</v>
      </c>
      <c r="AE37" s="35">
        <v>0</v>
      </c>
      <c r="AF37" s="35">
        <v>0.6</v>
      </c>
      <c r="AG37" s="85" t="e">
        <f t="shared" si="4"/>
        <v>#DIV/0!</v>
      </c>
      <c r="AH37" s="35">
        <v>-0.2</v>
      </c>
      <c r="AI37" s="35">
        <v>482</v>
      </c>
      <c r="AJ37" s="10">
        <f t="shared" si="5"/>
        <v>-241000</v>
      </c>
      <c r="AK37" s="71">
        <f t="shared" si="33"/>
        <v>582.0999999999999</v>
      </c>
      <c r="AL37" s="71">
        <f t="shared" si="34"/>
        <v>487.3</v>
      </c>
      <c r="AM37" s="10">
        <f t="shared" si="31"/>
        <v>83.71413846418143</v>
      </c>
      <c r="AN37" s="35"/>
      <c r="AO37" s="35"/>
      <c r="AP37" s="35"/>
      <c r="AQ37" s="35"/>
      <c r="AR37" s="35"/>
      <c r="AS37" s="35"/>
      <c r="AT37" s="58">
        <f t="shared" si="22"/>
        <v>940.3</v>
      </c>
      <c r="AU37" s="58">
        <f t="shared" si="23"/>
        <v>3382.0000000000005</v>
      </c>
      <c r="AV37" s="10">
        <f t="shared" si="6"/>
        <v>359.67244496437314</v>
      </c>
      <c r="AW37" s="58">
        <f t="shared" si="24"/>
        <v>-2441.7000000000007</v>
      </c>
      <c r="AX37" s="16">
        <f t="shared" si="25"/>
        <v>100.29999999999973</v>
      </c>
      <c r="AY37" s="20">
        <f t="shared" si="15"/>
        <v>940.3</v>
      </c>
      <c r="AZ37" s="20">
        <f t="shared" si="16"/>
        <v>3381.9999999999995</v>
      </c>
      <c r="BA37" s="39">
        <f t="shared" si="17"/>
        <v>100.30000000000064</v>
      </c>
    </row>
    <row r="38" spans="1:53" ht="34.5" customHeight="1">
      <c r="A38" s="56">
        <v>29</v>
      </c>
      <c r="B38" s="115" t="s">
        <v>95</v>
      </c>
      <c r="C38" s="13">
        <v>-1421.9</v>
      </c>
      <c r="D38" s="35">
        <v>1387.3</v>
      </c>
      <c r="E38" s="35">
        <v>9</v>
      </c>
      <c r="F38" s="10">
        <f t="shared" si="7"/>
        <v>0.6487421610322208</v>
      </c>
      <c r="G38" s="35">
        <v>24</v>
      </c>
      <c r="H38" s="35">
        <v>19.8</v>
      </c>
      <c r="I38" s="10">
        <f t="shared" si="8"/>
        <v>82.5</v>
      </c>
      <c r="J38" s="35">
        <v>-1612.4</v>
      </c>
      <c r="K38" s="35">
        <v>1.2</v>
      </c>
      <c r="L38" s="10">
        <f t="shared" si="26"/>
        <v>-0.07442322004465393</v>
      </c>
      <c r="M38" s="71">
        <f t="shared" si="18"/>
        <v>-201.10000000000014</v>
      </c>
      <c r="N38" s="71">
        <f t="shared" si="19"/>
        <v>30</v>
      </c>
      <c r="O38" s="10">
        <f t="shared" si="1"/>
        <v>-14.917951268025847</v>
      </c>
      <c r="P38" s="35">
        <v>1.9</v>
      </c>
      <c r="Q38" s="35">
        <v>1.7</v>
      </c>
      <c r="R38" s="10">
        <f t="shared" si="10"/>
        <v>89.47368421052632</v>
      </c>
      <c r="S38" s="35">
        <v>0</v>
      </c>
      <c r="T38" s="35">
        <v>5.7</v>
      </c>
      <c r="U38" s="10"/>
      <c r="V38" s="35">
        <v>0</v>
      </c>
      <c r="W38" s="35">
        <v>0</v>
      </c>
      <c r="X38" s="10" t="e">
        <f t="shared" si="27"/>
        <v>#DIV/0!</v>
      </c>
      <c r="Y38" s="71">
        <f t="shared" si="28"/>
        <v>1.9</v>
      </c>
      <c r="Z38" s="71">
        <f t="shared" si="29"/>
        <v>7.4</v>
      </c>
      <c r="AA38" s="10">
        <f t="shared" si="30"/>
        <v>389.47368421052636</v>
      </c>
      <c r="AB38" s="35">
        <v>0</v>
      </c>
      <c r="AC38" s="35">
        <v>0</v>
      </c>
      <c r="AD38" s="85" t="e">
        <f t="shared" si="3"/>
        <v>#DIV/0!</v>
      </c>
      <c r="AE38" s="35">
        <v>0</v>
      </c>
      <c r="AF38" s="35">
        <v>0</v>
      </c>
      <c r="AG38" s="10" t="e">
        <f t="shared" si="4"/>
        <v>#DIV/0!</v>
      </c>
      <c r="AH38" s="35">
        <v>0</v>
      </c>
      <c r="AI38" s="35">
        <v>0</v>
      </c>
      <c r="AJ38" s="10"/>
      <c r="AK38" s="71">
        <f t="shared" si="33"/>
        <v>0</v>
      </c>
      <c r="AL38" s="71">
        <f t="shared" si="34"/>
        <v>0</v>
      </c>
      <c r="AM38" s="10" t="e">
        <f t="shared" si="31"/>
        <v>#DIV/0!</v>
      </c>
      <c r="AN38" s="35"/>
      <c r="AO38" s="35"/>
      <c r="AP38" s="35"/>
      <c r="AQ38" s="35"/>
      <c r="AR38" s="35"/>
      <c r="AS38" s="35"/>
      <c r="AT38" s="58">
        <f t="shared" si="22"/>
        <v>-199.20000000000013</v>
      </c>
      <c r="AU38" s="58">
        <f t="shared" si="23"/>
        <v>37.4</v>
      </c>
      <c r="AV38" s="10">
        <f t="shared" si="6"/>
        <v>-18.775100401606412</v>
      </c>
      <c r="AW38" s="58">
        <f t="shared" si="24"/>
        <v>-236.60000000000014</v>
      </c>
      <c r="AX38" s="16">
        <f t="shared" si="25"/>
        <v>-1658.5000000000002</v>
      </c>
      <c r="AY38" s="20">
        <f t="shared" si="15"/>
        <v>-199.20000000000013</v>
      </c>
      <c r="AZ38" s="20">
        <f t="shared" si="16"/>
        <v>37.4</v>
      </c>
      <c r="BA38" s="39">
        <f t="shared" si="17"/>
        <v>-1658.5000000000002</v>
      </c>
    </row>
    <row r="39" spans="1:53" ht="34.5" customHeight="1">
      <c r="A39" s="56">
        <v>30</v>
      </c>
      <c r="B39" s="115" t="s">
        <v>4</v>
      </c>
      <c r="C39" s="13">
        <v>2340.1</v>
      </c>
      <c r="D39" s="35">
        <v>2966.3</v>
      </c>
      <c r="E39" s="35">
        <v>0</v>
      </c>
      <c r="F39" s="10">
        <f t="shared" si="7"/>
        <v>0</v>
      </c>
      <c r="G39" s="35">
        <v>-2608.7</v>
      </c>
      <c r="H39" s="35">
        <v>609.2</v>
      </c>
      <c r="I39" s="10">
        <f t="shared" si="8"/>
        <v>-23.352627745620428</v>
      </c>
      <c r="J39" s="35">
        <v>5.5</v>
      </c>
      <c r="K39" s="35">
        <v>0.3</v>
      </c>
      <c r="L39" s="10">
        <f t="shared" si="26"/>
        <v>5.454545454545454</v>
      </c>
      <c r="M39" s="71">
        <f t="shared" si="18"/>
        <v>363.10000000000036</v>
      </c>
      <c r="N39" s="71">
        <f t="shared" si="19"/>
        <v>609.5</v>
      </c>
      <c r="O39" s="10">
        <f t="shared" si="1"/>
        <v>167.86009363811604</v>
      </c>
      <c r="P39" s="35">
        <v>11.4</v>
      </c>
      <c r="Q39" s="35">
        <v>60.3</v>
      </c>
      <c r="R39" s="10">
        <f t="shared" si="10"/>
        <v>528.9473684210526</v>
      </c>
      <c r="S39" s="35">
        <v>-497.4</v>
      </c>
      <c r="T39" s="35">
        <v>0</v>
      </c>
      <c r="U39" s="10"/>
      <c r="V39" s="35">
        <v>0</v>
      </c>
      <c r="W39" s="35">
        <v>-486.1</v>
      </c>
      <c r="X39" s="10" t="e">
        <f t="shared" si="27"/>
        <v>#DIV/0!</v>
      </c>
      <c r="Y39" s="71">
        <f t="shared" si="28"/>
        <v>-486</v>
      </c>
      <c r="Z39" s="71">
        <f t="shared" si="29"/>
        <v>-425.8</v>
      </c>
      <c r="AA39" s="10">
        <f t="shared" si="30"/>
        <v>87.61316872427983</v>
      </c>
      <c r="AB39" s="35">
        <v>0</v>
      </c>
      <c r="AC39" s="35">
        <v>0</v>
      </c>
      <c r="AD39" s="85" t="e">
        <f t="shared" si="3"/>
        <v>#DIV/0!</v>
      </c>
      <c r="AE39" s="35">
        <v>1672.3</v>
      </c>
      <c r="AF39" s="35">
        <v>0</v>
      </c>
      <c r="AG39" s="10">
        <f t="shared" si="4"/>
        <v>0</v>
      </c>
      <c r="AH39" s="35">
        <v>0</v>
      </c>
      <c r="AI39" s="35">
        <v>1672.3</v>
      </c>
      <c r="AJ39" s="10" t="e">
        <f t="shared" si="5"/>
        <v>#DIV/0!</v>
      </c>
      <c r="AK39" s="71">
        <f t="shared" si="33"/>
        <v>1672.3</v>
      </c>
      <c r="AL39" s="71">
        <f t="shared" si="34"/>
        <v>1672.3</v>
      </c>
      <c r="AM39" s="10">
        <f t="shared" si="31"/>
        <v>100</v>
      </c>
      <c r="AN39" s="35"/>
      <c r="AO39" s="35"/>
      <c r="AP39" s="35"/>
      <c r="AQ39" s="35"/>
      <c r="AR39" s="35"/>
      <c r="AS39" s="35"/>
      <c r="AT39" s="58">
        <f t="shared" si="22"/>
        <v>1549.4000000000003</v>
      </c>
      <c r="AU39" s="58">
        <f t="shared" si="23"/>
        <v>1856</v>
      </c>
      <c r="AV39" s="10">
        <f t="shared" si="6"/>
        <v>119.78830515038076</v>
      </c>
      <c r="AW39" s="58">
        <f t="shared" si="24"/>
        <v>-306.5999999999997</v>
      </c>
      <c r="AX39" s="16">
        <f t="shared" si="25"/>
        <v>2033.5</v>
      </c>
      <c r="AY39" s="20">
        <f t="shared" si="15"/>
        <v>1549.4000000000003</v>
      </c>
      <c r="AZ39" s="20">
        <f t="shared" si="16"/>
        <v>1856</v>
      </c>
      <c r="BA39" s="39">
        <f t="shared" si="17"/>
        <v>2033.5</v>
      </c>
    </row>
    <row r="40" spans="1:53" ht="34.5" customHeight="1">
      <c r="A40" s="56">
        <v>31</v>
      </c>
      <c r="B40" s="115" t="s">
        <v>63</v>
      </c>
      <c r="C40" s="13">
        <v>1.5</v>
      </c>
      <c r="D40" s="35">
        <v>165.9</v>
      </c>
      <c r="E40" s="35">
        <v>14.5</v>
      </c>
      <c r="F40" s="10">
        <f t="shared" si="7"/>
        <v>8.740204942736588</v>
      </c>
      <c r="G40" s="35">
        <v>27.9</v>
      </c>
      <c r="H40" s="35">
        <v>138.2</v>
      </c>
      <c r="I40" s="10">
        <f t="shared" si="8"/>
        <v>495.34050179211465</v>
      </c>
      <c r="J40" s="35">
        <v>11.1</v>
      </c>
      <c r="K40" s="35">
        <v>26</v>
      </c>
      <c r="L40" s="10">
        <f t="shared" si="26"/>
        <v>234.23423423423424</v>
      </c>
      <c r="M40" s="71">
        <f t="shared" si="18"/>
        <v>204.9</v>
      </c>
      <c r="N40" s="71">
        <f t="shared" si="19"/>
        <v>178.7</v>
      </c>
      <c r="O40" s="10">
        <f t="shared" si="1"/>
        <v>87.21327476817959</v>
      </c>
      <c r="P40" s="35">
        <v>1.2</v>
      </c>
      <c r="Q40" s="35">
        <v>27.7</v>
      </c>
      <c r="R40" s="10">
        <f t="shared" si="10"/>
        <v>2308.333333333333</v>
      </c>
      <c r="S40" s="35">
        <v>-75.5</v>
      </c>
      <c r="T40" s="35">
        <v>1.2</v>
      </c>
      <c r="U40" s="10"/>
      <c r="V40" s="35">
        <v>0</v>
      </c>
      <c r="W40" s="35">
        <v>-75.5</v>
      </c>
      <c r="X40" s="10" t="e">
        <f t="shared" si="27"/>
        <v>#DIV/0!</v>
      </c>
      <c r="Y40" s="71">
        <f t="shared" si="28"/>
        <v>-74.3</v>
      </c>
      <c r="Z40" s="71">
        <f t="shared" si="29"/>
        <v>-46.6</v>
      </c>
      <c r="AA40" s="10">
        <f t="shared" si="30"/>
        <v>62.718707940780625</v>
      </c>
      <c r="AB40" s="35">
        <v>0</v>
      </c>
      <c r="AC40" s="35">
        <v>0</v>
      </c>
      <c r="AD40" s="85" t="e">
        <f t="shared" si="3"/>
        <v>#DIV/0!</v>
      </c>
      <c r="AE40" s="35">
        <v>0</v>
      </c>
      <c r="AF40" s="35">
        <v>0</v>
      </c>
      <c r="AG40" s="10"/>
      <c r="AH40" s="35">
        <v>0</v>
      </c>
      <c r="AI40" s="35">
        <v>0</v>
      </c>
      <c r="AJ40" s="10"/>
      <c r="AK40" s="71">
        <f t="shared" si="33"/>
        <v>0</v>
      </c>
      <c r="AL40" s="71">
        <f t="shared" si="34"/>
        <v>0</v>
      </c>
      <c r="AM40" s="10" t="e">
        <f t="shared" si="31"/>
        <v>#DIV/0!</v>
      </c>
      <c r="AN40" s="35"/>
      <c r="AO40" s="35"/>
      <c r="AP40" s="35"/>
      <c r="AQ40" s="35"/>
      <c r="AR40" s="35"/>
      <c r="AS40" s="35"/>
      <c r="AT40" s="58">
        <f t="shared" si="22"/>
        <v>130.60000000000002</v>
      </c>
      <c r="AU40" s="58">
        <f t="shared" si="23"/>
        <v>132.1</v>
      </c>
      <c r="AV40" s="10">
        <f t="shared" si="6"/>
        <v>101.14854517611025</v>
      </c>
      <c r="AW40" s="58">
        <f t="shared" si="24"/>
        <v>-1.4999999999999716</v>
      </c>
      <c r="AX40" s="16">
        <f t="shared" si="25"/>
        <v>0</v>
      </c>
      <c r="AY40" s="20">
        <f t="shared" si="15"/>
        <v>130.6</v>
      </c>
      <c r="AZ40" s="20">
        <f t="shared" si="16"/>
        <v>132.09999999999997</v>
      </c>
      <c r="BA40" s="39">
        <f t="shared" si="17"/>
        <v>0</v>
      </c>
    </row>
    <row r="41" spans="1:53" ht="34.5" customHeight="1">
      <c r="A41" s="56">
        <v>32</v>
      </c>
      <c r="B41" s="59" t="s">
        <v>64</v>
      </c>
      <c r="C41" s="13">
        <v>905.2</v>
      </c>
      <c r="D41" s="35">
        <v>1108.5</v>
      </c>
      <c r="E41" s="35">
        <v>779.1</v>
      </c>
      <c r="F41" s="10">
        <f t="shared" si="7"/>
        <v>70.28416779431664</v>
      </c>
      <c r="G41" s="35">
        <v>-179</v>
      </c>
      <c r="H41" s="35">
        <v>1121.5</v>
      </c>
      <c r="I41" s="10">
        <f t="shared" si="8"/>
        <v>-626.536312849162</v>
      </c>
      <c r="J41" s="35">
        <v>12.1</v>
      </c>
      <c r="K41" s="35">
        <v>0</v>
      </c>
      <c r="L41" s="10">
        <f t="shared" si="26"/>
        <v>0</v>
      </c>
      <c r="M41" s="71">
        <f t="shared" si="18"/>
        <v>941.6</v>
      </c>
      <c r="N41" s="71">
        <f t="shared" si="19"/>
        <v>1900.6</v>
      </c>
      <c r="O41" s="10">
        <f t="shared" si="1"/>
        <v>201.84791843670348</v>
      </c>
      <c r="P41" s="35">
        <v>2.7</v>
      </c>
      <c r="Q41" s="35">
        <v>0</v>
      </c>
      <c r="R41" s="10">
        <f t="shared" si="10"/>
        <v>0</v>
      </c>
      <c r="S41" s="35">
        <v>-525.7</v>
      </c>
      <c r="T41" s="35">
        <v>0</v>
      </c>
      <c r="U41" s="102"/>
      <c r="V41" s="35">
        <v>0</v>
      </c>
      <c r="W41" s="35">
        <v>-45</v>
      </c>
      <c r="X41" s="102" t="e">
        <f t="shared" si="27"/>
        <v>#DIV/0!</v>
      </c>
      <c r="Y41" s="71">
        <f t="shared" si="28"/>
        <v>-523</v>
      </c>
      <c r="Z41" s="71">
        <f t="shared" si="29"/>
        <v>-45</v>
      </c>
      <c r="AA41" s="10">
        <f t="shared" si="30"/>
        <v>8.604206500956023</v>
      </c>
      <c r="AB41" s="35">
        <v>0</v>
      </c>
      <c r="AC41" s="35">
        <v>-115</v>
      </c>
      <c r="AD41" s="85" t="e">
        <f t="shared" si="3"/>
        <v>#DIV/0!</v>
      </c>
      <c r="AE41" s="35">
        <v>0.4</v>
      </c>
      <c r="AF41" s="35">
        <v>-29.2</v>
      </c>
      <c r="AG41" s="10">
        <f t="shared" si="4"/>
        <v>-7300</v>
      </c>
      <c r="AH41" s="35">
        <v>-0.4</v>
      </c>
      <c r="AI41" s="35">
        <v>-68.5</v>
      </c>
      <c r="AJ41" s="10">
        <f t="shared" si="5"/>
        <v>17125</v>
      </c>
      <c r="AK41" s="71">
        <f t="shared" si="33"/>
        <v>0</v>
      </c>
      <c r="AL41" s="71">
        <f t="shared" si="34"/>
        <v>-212.7</v>
      </c>
      <c r="AM41" s="10" t="e">
        <f t="shared" si="31"/>
        <v>#DIV/0!</v>
      </c>
      <c r="AN41" s="35"/>
      <c r="AO41" s="35"/>
      <c r="AP41" s="35"/>
      <c r="AQ41" s="35"/>
      <c r="AR41" s="35"/>
      <c r="AS41" s="35"/>
      <c r="AT41" s="58">
        <f t="shared" si="22"/>
        <v>418.6</v>
      </c>
      <c r="AU41" s="58">
        <f t="shared" si="23"/>
        <v>1642.8999999999999</v>
      </c>
      <c r="AV41" s="10">
        <f t="shared" si="6"/>
        <v>392.4749163879598</v>
      </c>
      <c r="AW41" s="58">
        <f t="shared" si="24"/>
        <v>-1224.2999999999997</v>
      </c>
      <c r="AX41" s="16">
        <f t="shared" si="25"/>
        <v>-319.0999999999997</v>
      </c>
      <c r="AY41" s="20">
        <f t="shared" si="15"/>
        <v>418.6</v>
      </c>
      <c r="AZ41" s="20">
        <f t="shared" si="16"/>
        <v>1642.8999999999999</v>
      </c>
      <c r="BA41" s="39">
        <f t="shared" si="17"/>
        <v>-319.0999999999997</v>
      </c>
    </row>
    <row r="42" spans="1:53" ht="34.5" customHeight="1">
      <c r="A42" s="56">
        <v>33</v>
      </c>
      <c r="B42" s="115" t="s">
        <v>48</v>
      </c>
      <c r="C42" s="13">
        <v>379.4</v>
      </c>
      <c r="D42" s="35">
        <v>373.4</v>
      </c>
      <c r="E42" s="35">
        <v>312.3</v>
      </c>
      <c r="F42" s="10">
        <f>E42/D42*100</f>
        <v>83.63685056239957</v>
      </c>
      <c r="G42" s="35">
        <v>17.6</v>
      </c>
      <c r="H42" s="35">
        <v>392.5</v>
      </c>
      <c r="I42" s="10">
        <f t="shared" si="8"/>
        <v>2230.1136363636365</v>
      </c>
      <c r="J42" s="35">
        <v>-0.4</v>
      </c>
      <c r="K42" s="35">
        <v>65.6</v>
      </c>
      <c r="L42" s="10">
        <f t="shared" si="26"/>
        <v>-16399.999999999996</v>
      </c>
      <c r="M42" s="71">
        <f t="shared" si="18"/>
        <v>390.6</v>
      </c>
      <c r="N42" s="71">
        <f t="shared" si="19"/>
        <v>770.4</v>
      </c>
      <c r="O42" s="10">
        <f t="shared" si="1"/>
        <v>197.23502304147465</v>
      </c>
      <c r="P42" s="35">
        <v>0.1</v>
      </c>
      <c r="Q42" s="35">
        <v>-0.4</v>
      </c>
      <c r="R42" s="10">
        <f t="shared" si="10"/>
        <v>-400</v>
      </c>
      <c r="S42" s="35">
        <v>0</v>
      </c>
      <c r="T42" s="35">
        <v>0.2</v>
      </c>
      <c r="U42" s="102"/>
      <c r="V42" s="35">
        <v>0</v>
      </c>
      <c r="W42" s="35">
        <v>0</v>
      </c>
      <c r="X42" s="102" t="e">
        <f t="shared" si="27"/>
        <v>#DIV/0!</v>
      </c>
      <c r="Y42" s="71">
        <f t="shared" si="28"/>
        <v>0.1</v>
      </c>
      <c r="Z42" s="71">
        <f t="shared" si="29"/>
        <v>-0.2</v>
      </c>
      <c r="AA42" s="10">
        <f t="shared" si="30"/>
        <v>-200</v>
      </c>
      <c r="AB42" s="35">
        <v>0</v>
      </c>
      <c r="AC42" s="35">
        <v>0</v>
      </c>
      <c r="AD42" s="85" t="e">
        <f t="shared" si="3"/>
        <v>#DIV/0!</v>
      </c>
      <c r="AE42" s="35">
        <v>0</v>
      </c>
      <c r="AF42" s="35">
        <v>0</v>
      </c>
      <c r="AG42" s="85" t="e">
        <f t="shared" si="4"/>
        <v>#DIV/0!</v>
      </c>
      <c r="AH42" s="35">
        <v>0</v>
      </c>
      <c r="AI42" s="35">
        <v>0</v>
      </c>
      <c r="AJ42" s="10"/>
      <c r="AK42" s="71">
        <f t="shared" si="33"/>
        <v>0</v>
      </c>
      <c r="AL42" s="71">
        <f t="shared" si="34"/>
        <v>0</v>
      </c>
      <c r="AM42" s="10" t="e">
        <f t="shared" si="31"/>
        <v>#DIV/0!</v>
      </c>
      <c r="AN42" s="35"/>
      <c r="AO42" s="35"/>
      <c r="AP42" s="35"/>
      <c r="AQ42" s="35"/>
      <c r="AR42" s="35"/>
      <c r="AS42" s="35"/>
      <c r="AT42" s="58">
        <f t="shared" si="22"/>
        <v>390.70000000000005</v>
      </c>
      <c r="AU42" s="58">
        <f t="shared" si="23"/>
        <v>770.1999999999999</v>
      </c>
      <c r="AV42" s="10">
        <f t="shared" si="6"/>
        <v>197.13335039672378</v>
      </c>
      <c r="AW42" s="58">
        <f t="shared" si="24"/>
        <v>-379.4999999999999</v>
      </c>
      <c r="AX42" s="16">
        <f t="shared" si="25"/>
        <v>-0.09999999999990905</v>
      </c>
      <c r="AY42" s="20">
        <f t="shared" si="15"/>
        <v>390.70000000000005</v>
      </c>
      <c r="AZ42" s="20">
        <f t="shared" si="16"/>
        <v>770.2</v>
      </c>
      <c r="BA42" s="39">
        <f t="shared" si="17"/>
        <v>-0.10000000000002274</v>
      </c>
    </row>
    <row r="43" spans="1:53" s="11" customFormat="1" ht="34.5" customHeight="1">
      <c r="A43" s="56">
        <v>34</v>
      </c>
      <c r="B43" s="14" t="s">
        <v>66</v>
      </c>
      <c r="C43" s="16">
        <f>SUM(C44:C44)</f>
        <v>5462.8</v>
      </c>
      <c r="D43" s="16">
        <f>SUM(D44:D44)</f>
        <v>6044.8</v>
      </c>
      <c r="E43" s="16">
        <f>SUM(E44:E44)</f>
        <v>4055.1</v>
      </c>
      <c r="F43" s="10">
        <f t="shared" si="7"/>
        <v>67.08410534674431</v>
      </c>
      <c r="G43" s="16">
        <f>SUM(G44:G44)</f>
        <v>1063.9</v>
      </c>
      <c r="H43" s="16">
        <f>SUM(H44:H44)</f>
        <v>5578.5</v>
      </c>
      <c r="I43" s="10">
        <f t="shared" si="8"/>
        <v>524.3443932700442</v>
      </c>
      <c r="J43" s="16">
        <f>SUM(J44:J44)</f>
        <v>600.7</v>
      </c>
      <c r="K43" s="16">
        <f>SUM(K44:K44)</f>
        <v>990.6</v>
      </c>
      <c r="L43" s="10">
        <f t="shared" si="26"/>
        <v>164.90760779091062</v>
      </c>
      <c r="M43" s="16">
        <f>SUM(M44:M44)</f>
        <v>7709.400000000001</v>
      </c>
      <c r="N43" s="16">
        <f>SUM(N44:N44)</f>
        <v>10624.2</v>
      </c>
      <c r="O43" s="10">
        <f t="shared" si="1"/>
        <v>137.80838975795783</v>
      </c>
      <c r="P43" s="16">
        <f>SUM(P44:P44)</f>
        <v>318.1</v>
      </c>
      <c r="Q43" s="16">
        <f>SUM(Q44:Q44)</f>
        <v>2.6</v>
      </c>
      <c r="R43" s="10">
        <f t="shared" si="10"/>
        <v>0.817353033637221</v>
      </c>
      <c r="S43" s="16">
        <f>SUM(S44:S44)</f>
        <v>-3031.6</v>
      </c>
      <c r="T43" s="16">
        <f>SUM(T44:T44)</f>
        <v>417.6</v>
      </c>
      <c r="U43" s="10">
        <f>T43/S43*100</f>
        <v>-13.77490434094208</v>
      </c>
      <c r="V43" s="16">
        <f>SUM(V44:V44)</f>
        <v>-437.9</v>
      </c>
      <c r="W43" s="16">
        <f>SUM(W44:W44)</f>
        <v>211</v>
      </c>
      <c r="X43" s="10">
        <f t="shared" si="27"/>
        <v>-48.184517013016674</v>
      </c>
      <c r="Y43" s="16">
        <f>SUM(Y44:Y44)</f>
        <v>-3151.4</v>
      </c>
      <c r="Z43" s="16">
        <f>SUM(Z44:Z44)</f>
        <v>631.2</v>
      </c>
      <c r="AA43" s="10">
        <f t="shared" si="30"/>
        <v>-20.029193374373293</v>
      </c>
      <c r="AB43" s="16">
        <f>SUM(AB44:AB44)</f>
        <v>601</v>
      </c>
      <c r="AC43" s="16">
        <f>SUM(AC44:AC44)</f>
        <v>17.9</v>
      </c>
      <c r="AD43" s="10">
        <f t="shared" si="3"/>
        <v>2.9783693843594006</v>
      </c>
      <c r="AE43" s="16">
        <f>SUM(AE44:AE44)</f>
        <v>217.5</v>
      </c>
      <c r="AF43" s="16">
        <f>SUM(AF44:AF44)</f>
        <v>0</v>
      </c>
      <c r="AG43" s="10">
        <f t="shared" si="4"/>
        <v>0</v>
      </c>
      <c r="AH43" s="16">
        <f>SUM(AH44:AH44)</f>
        <v>82.3</v>
      </c>
      <c r="AI43" s="16">
        <f>SUM(AI44:AI44)</f>
        <v>47.4</v>
      </c>
      <c r="AJ43" s="10">
        <f t="shared" si="5"/>
        <v>57.59416767922235</v>
      </c>
      <c r="AK43" s="16">
        <f>SUM(AK44:AK44)</f>
        <v>900.8</v>
      </c>
      <c r="AL43" s="16">
        <f>SUM(AL44:AL44)</f>
        <v>65.3</v>
      </c>
      <c r="AM43" s="10">
        <f t="shared" si="31"/>
        <v>7.249111900532859</v>
      </c>
      <c r="AN43" s="16">
        <f aca="true" t="shared" si="35" ref="AN43:AU43">SUM(AN44:AN44)</f>
        <v>0</v>
      </c>
      <c r="AO43" s="16">
        <f t="shared" si="35"/>
        <v>0</v>
      </c>
      <c r="AP43" s="16">
        <f t="shared" si="35"/>
        <v>0</v>
      </c>
      <c r="AQ43" s="16">
        <f t="shared" si="35"/>
        <v>0</v>
      </c>
      <c r="AR43" s="16">
        <f t="shared" si="35"/>
        <v>0</v>
      </c>
      <c r="AS43" s="16">
        <f t="shared" si="35"/>
        <v>0</v>
      </c>
      <c r="AT43" s="16">
        <f t="shared" si="35"/>
        <v>5458.8</v>
      </c>
      <c r="AU43" s="16">
        <f t="shared" si="35"/>
        <v>11320.7</v>
      </c>
      <c r="AV43" s="10">
        <f t="shared" si="6"/>
        <v>207.38440682933978</v>
      </c>
      <c r="AW43" s="16">
        <f>SUM(AW44:AW44)</f>
        <v>-5861.900000000001</v>
      </c>
      <c r="AX43" s="16">
        <f>SUM(AX44:AX44)</f>
        <v>-399.10000000000036</v>
      </c>
      <c r="AY43" s="20">
        <f t="shared" si="15"/>
        <v>5458.800000000002</v>
      </c>
      <c r="AZ43" s="20">
        <f t="shared" si="16"/>
        <v>11320.7</v>
      </c>
      <c r="BA43" s="39">
        <f t="shared" si="17"/>
        <v>-399.09999999999854</v>
      </c>
    </row>
    <row r="44" spans="1:53" s="11" customFormat="1" ht="34.5" customHeight="1">
      <c r="A44" s="65"/>
      <c r="B44" s="38" t="s">
        <v>67</v>
      </c>
      <c r="C44" s="13">
        <v>5462.8</v>
      </c>
      <c r="D44" s="35">
        <v>6044.8</v>
      </c>
      <c r="E44" s="66">
        <v>4055.1</v>
      </c>
      <c r="F44" s="10">
        <f t="shared" si="7"/>
        <v>67.08410534674431</v>
      </c>
      <c r="G44" s="35">
        <v>1063.9</v>
      </c>
      <c r="H44" s="35">
        <v>5578.5</v>
      </c>
      <c r="I44" s="10">
        <f t="shared" si="8"/>
        <v>524.3443932700442</v>
      </c>
      <c r="J44" s="35">
        <v>600.7</v>
      </c>
      <c r="K44" s="35">
        <v>990.6</v>
      </c>
      <c r="L44" s="10">
        <f t="shared" si="26"/>
        <v>164.90760779091062</v>
      </c>
      <c r="M44" s="71">
        <f t="shared" si="18"/>
        <v>7709.400000000001</v>
      </c>
      <c r="N44" s="71">
        <f t="shared" si="19"/>
        <v>10624.2</v>
      </c>
      <c r="O44" s="10">
        <f t="shared" si="1"/>
        <v>137.80838975795783</v>
      </c>
      <c r="P44" s="35">
        <v>318.1</v>
      </c>
      <c r="Q44" s="35">
        <v>2.6</v>
      </c>
      <c r="R44" s="10">
        <f t="shared" si="10"/>
        <v>0.817353033637221</v>
      </c>
      <c r="S44" s="35">
        <v>-3031.6</v>
      </c>
      <c r="T44" s="35">
        <v>417.6</v>
      </c>
      <c r="U44" s="10"/>
      <c r="V44" s="35">
        <v>-437.9</v>
      </c>
      <c r="W44" s="35">
        <v>211</v>
      </c>
      <c r="X44" s="10">
        <f t="shared" si="27"/>
        <v>-48.184517013016674</v>
      </c>
      <c r="Y44" s="71">
        <f>P44+S44+V44</f>
        <v>-3151.4</v>
      </c>
      <c r="Z44" s="71">
        <f>Q44+T44+W44</f>
        <v>631.2</v>
      </c>
      <c r="AA44" s="10">
        <f t="shared" si="30"/>
        <v>-20.029193374373293</v>
      </c>
      <c r="AB44" s="35">
        <v>601</v>
      </c>
      <c r="AC44" s="35">
        <v>17.9</v>
      </c>
      <c r="AD44" s="10">
        <f t="shared" si="3"/>
        <v>2.9783693843594006</v>
      </c>
      <c r="AE44" s="35">
        <v>217.5</v>
      </c>
      <c r="AF44" s="35">
        <v>0</v>
      </c>
      <c r="AG44" s="10">
        <f t="shared" si="4"/>
        <v>0</v>
      </c>
      <c r="AH44" s="35">
        <v>82.3</v>
      </c>
      <c r="AI44" s="35">
        <v>47.4</v>
      </c>
      <c r="AJ44" s="10">
        <f t="shared" si="5"/>
        <v>57.59416767922235</v>
      </c>
      <c r="AK44" s="71">
        <f>AB44+AE44+AH44</f>
        <v>900.8</v>
      </c>
      <c r="AL44" s="71">
        <f>AC44+AF44+AI44</f>
        <v>65.3</v>
      </c>
      <c r="AM44" s="10">
        <f t="shared" si="31"/>
        <v>7.249111900532859</v>
      </c>
      <c r="AN44" s="35"/>
      <c r="AO44" s="35"/>
      <c r="AP44" s="35"/>
      <c r="AQ44" s="35"/>
      <c r="AR44" s="35"/>
      <c r="AS44" s="35"/>
      <c r="AT44" s="58">
        <f>M44+Y44+AK44+AN44+AP44+AR44</f>
        <v>5458.8</v>
      </c>
      <c r="AU44" s="58">
        <f>N44+Z44+AL44+AO44+AQ44+AS44</f>
        <v>11320.7</v>
      </c>
      <c r="AV44" s="10">
        <f t="shared" si="6"/>
        <v>207.38440682933978</v>
      </c>
      <c r="AW44" s="58">
        <f t="shared" si="24"/>
        <v>-5861.900000000001</v>
      </c>
      <c r="AX44" s="16">
        <f t="shared" si="25"/>
        <v>-399.10000000000036</v>
      </c>
      <c r="AY44" s="20">
        <f t="shared" si="15"/>
        <v>5458.800000000002</v>
      </c>
      <c r="AZ44" s="20">
        <f t="shared" si="16"/>
        <v>11320.7</v>
      </c>
      <c r="BA44" s="39">
        <f t="shared" si="17"/>
        <v>-399.09999999999854</v>
      </c>
    </row>
    <row r="45" spans="1:53" s="11" customFormat="1" ht="34.5" customHeight="1">
      <c r="A45" s="65"/>
      <c r="B45" s="14" t="s">
        <v>96</v>
      </c>
      <c r="C45" s="16">
        <f>C7+C43</f>
        <v>13839.400000000001</v>
      </c>
      <c r="D45" s="16">
        <f>D7+D43</f>
        <v>18149.699999999997</v>
      </c>
      <c r="E45" s="16">
        <f>E7+E43</f>
        <v>10183.7</v>
      </c>
      <c r="F45" s="10">
        <f t="shared" si="7"/>
        <v>56.109467374116385</v>
      </c>
      <c r="G45" s="16">
        <f>G7+G43</f>
        <v>-1087.6</v>
      </c>
      <c r="H45" s="16">
        <f>H7+H43</f>
        <v>14545.1</v>
      </c>
      <c r="I45" s="10">
        <f t="shared" si="8"/>
        <v>-1337.3574843692536</v>
      </c>
      <c r="J45" s="16">
        <f>J7+J43</f>
        <v>-716.5000000000002</v>
      </c>
      <c r="K45" s="16">
        <f>K7+K43</f>
        <v>2062.5</v>
      </c>
      <c r="L45" s="10">
        <f t="shared" si="26"/>
        <v>-287.8576413119329</v>
      </c>
      <c r="M45" s="16">
        <f>M7+M43</f>
        <v>16345.599999999999</v>
      </c>
      <c r="N45" s="16">
        <f>N7+N43</f>
        <v>26791.300000000003</v>
      </c>
      <c r="O45" s="10">
        <f t="shared" si="1"/>
        <v>163.90527114330465</v>
      </c>
      <c r="P45" s="16">
        <f>P7+P43</f>
        <v>410.6</v>
      </c>
      <c r="Q45" s="16">
        <f>Q7+Q43</f>
        <v>299</v>
      </c>
      <c r="R45" s="10">
        <f t="shared" si="10"/>
        <v>72.8202630297126</v>
      </c>
      <c r="S45" s="16">
        <f>S7+S43</f>
        <v>-6173</v>
      </c>
      <c r="T45" s="16">
        <f>T7+T43</f>
        <v>573.9</v>
      </c>
      <c r="U45" s="10">
        <f>T45/S45*100</f>
        <v>-9.29693827960473</v>
      </c>
      <c r="V45" s="16">
        <f>V7+V43</f>
        <v>-898.3</v>
      </c>
      <c r="W45" s="16">
        <f>W7+W43</f>
        <v>-363.9000000000001</v>
      </c>
      <c r="X45" s="10">
        <f t="shared" si="27"/>
        <v>40.50985194255818</v>
      </c>
      <c r="Y45" s="16">
        <f>Y7+Y43</f>
        <v>-6660.700000000001</v>
      </c>
      <c r="Z45" s="16">
        <f>Z7+Z43</f>
        <v>508.99999999999994</v>
      </c>
      <c r="AA45" s="10">
        <f t="shared" si="30"/>
        <v>-7.641839446304441</v>
      </c>
      <c r="AB45" s="16">
        <f>AB7+AB43</f>
        <v>1318.7</v>
      </c>
      <c r="AC45" s="16">
        <f>AC7+AC43</f>
        <v>-38.9</v>
      </c>
      <c r="AD45" s="10">
        <f t="shared" si="3"/>
        <v>-2.949874876772579</v>
      </c>
      <c r="AE45" s="16">
        <f>AE43+AE7</f>
        <v>2225.2</v>
      </c>
      <c r="AF45" s="16">
        <f>AF43+AF7</f>
        <v>131.1</v>
      </c>
      <c r="AG45" s="10">
        <f t="shared" si="4"/>
        <v>5.8916052489663855</v>
      </c>
      <c r="AH45" s="16">
        <f>AH43+AH7</f>
        <v>484.5</v>
      </c>
      <c r="AI45" s="16">
        <f>AI43+AI7</f>
        <v>2161.3</v>
      </c>
      <c r="AJ45" s="10">
        <f t="shared" si="5"/>
        <v>446.0887512899897</v>
      </c>
      <c r="AK45" s="16">
        <f>AK7+AK43</f>
        <v>4028.3999999999996</v>
      </c>
      <c r="AL45" s="16">
        <f>AL7+AL43</f>
        <v>2253.5000000000005</v>
      </c>
      <c r="AM45" s="10">
        <f t="shared" si="31"/>
        <v>55.94032370171782</v>
      </c>
      <c r="AN45" s="16">
        <f aca="true" t="shared" si="36" ref="AN45:AS45">AN43+AN7</f>
        <v>0</v>
      </c>
      <c r="AO45" s="16">
        <f t="shared" si="36"/>
        <v>0</v>
      </c>
      <c r="AP45" s="16">
        <f t="shared" si="36"/>
        <v>0</v>
      </c>
      <c r="AQ45" s="16">
        <f t="shared" si="36"/>
        <v>0</v>
      </c>
      <c r="AR45" s="16">
        <f t="shared" si="36"/>
        <v>0</v>
      </c>
      <c r="AS45" s="16">
        <f t="shared" si="36"/>
        <v>0</v>
      </c>
      <c r="AT45" s="67">
        <f>AT7+AT43</f>
        <v>13713.300000000003</v>
      </c>
      <c r="AU45" s="67">
        <f>AU7+AU43</f>
        <v>29553.8</v>
      </c>
      <c r="AV45" s="10">
        <f>AU45/AT45*100</f>
        <v>215.51194825461408</v>
      </c>
      <c r="AW45" s="16">
        <f>AW7+AW43</f>
        <v>-15840.5</v>
      </c>
      <c r="AX45" s="16">
        <f>AX7+AX43</f>
        <v>-2001.100000000001</v>
      </c>
      <c r="AY45" s="20">
        <f t="shared" si="15"/>
        <v>13713.3</v>
      </c>
      <c r="AZ45" s="20">
        <f t="shared" si="16"/>
        <v>29553.8</v>
      </c>
      <c r="BA45" s="39">
        <f t="shared" si="17"/>
        <v>-2001.0999999999985</v>
      </c>
    </row>
    <row r="46" spans="1:52" s="111" customFormat="1" ht="54.75" customHeight="1">
      <c r="A46" s="160" t="s">
        <v>101</v>
      </c>
      <c r="B46" s="160"/>
      <c r="C46" s="160"/>
      <c r="D46" s="133"/>
      <c r="E46" s="133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6"/>
      <c r="AU46" s="126"/>
      <c r="AV46" s="127"/>
      <c r="AW46" s="127"/>
      <c r="AX46" s="128" t="s">
        <v>100</v>
      </c>
      <c r="AZ46" s="20"/>
    </row>
    <row r="47" spans="7:52" ht="1.5" customHeight="1"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80" t="s">
        <v>75</v>
      </c>
      <c r="AX47" s="181"/>
      <c r="AZ47" s="20"/>
    </row>
    <row r="48" spans="2:52" ht="45.75" customHeight="1" hidden="1">
      <c r="B48" s="179" t="s">
        <v>44</v>
      </c>
      <c r="C48" s="179"/>
      <c r="D48" s="179"/>
      <c r="E48" s="179"/>
      <c r="F48" s="179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X48" s="4" t="s">
        <v>73</v>
      </c>
      <c r="AZ48" s="20"/>
    </row>
    <row r="49" spans="1:52" ht="12.75" customHeight="1" hidden="1">
      <c r="A49" s="172"/>
      <c r="B49" s="172"/>
      <c r="C49" s="30"/>
      <c r="D49" s="30"/>
      <c r="E49" s="30"/>
      <c r="F49" s="30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T49" s="11"/>
      <c r="AU49" s="11"/>
      <c r="AW49" s="11"/>
      <c r="AZ49" s="20"/>
    </row>
    <row r="50" spans="1:50" s="29" customFormat="1" ht="96.75" customHeight="1">
      <c r="A50" s="26"/>
      <c r="B50" s="173" t="s">
        <v>74</v>
      </c>
      <c r="C50" s="173"/>
      <c r="D50" s="173"/>
      <c r="E50" s="173"/>
      <c r="F50" s="173"/>
      <c r="G50" s="2"/>
      <c r="H50" s="2"/>
      <c r="I50" s="11"/>
      <c r="J50" s="2"/>
      <c r="K50" s="2"/>
      <c r="L50" s="11"/>
      <c r="M50" s="11"/>
      <c r="N50" s="11"/>
      <c r="O50" s="11"/>
      <c r="P50" s="2"/>
      <c r="Q50" s="2"/>
      <c r="R50" s="11"/>
      <c r="S50" s="2"/>
      <c r="T50" s="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48"/>
      <c r="AF50" s="48"/>
      <c r="AG50" s="48"/>
      <c r="AH50" s="48"/>
      <c r="AI50" s="48"/>
      <c r="AJ50" s="48"/>
      <c r="AK50" s="11"/>
      <c r="AL50" s="11"/>
      <c r="AM50" s="11"/>
      <c r="AN50" s="48"/>
      <c r="AO50" s="48"/>
      <c r="AP50" s="48"/>
      <c r="AQ50" s="48"/>
      <c r="AR50" s="48"/>
      <c r="AS50" s="48"/>
      <c r="AT50" s="2"/>
      <c r="AU50" s="2"/>
      <c r="AV50" s="11"/>
      <c r="AW50" s="2"/>
      <c r="AX50" s="2"/>
    </row>
    <row r="51" spans="31:45" ht="18.75">
      <c r="AE51" s="49"/>
      <c r="AF51" s="49"/>
      <c r="AG51" s="49"/>
      <c r="AH51" s="49"/>
      <c r="AI51" s="49"/>
      <c r="AJ51" s="49"/>
      <c r="AN51" s="49"/>
      <c r="AO51" s="49"/>
      <c r="AP51" s="49"/>
      <c r="AQ51" s="49"/>
      <c r="AR51" s="49"/>
      <c r="AS51" s="49"/>
    </row>
    <row r="52" spans="3:50" ht="18.75">
      <c r="C52" s="110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3:50" ht="18.75">
      <c r="C53" s="110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3:50" ht="18.75">
      <c r="C54" s="110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7:50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3:50" ht="18.75">
      <c r="C56" s="110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3:50" ht="18.75">
      <c r="C57" s="110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3:50" ht="18.75">
      <c r="C58" s="110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3:50" ht="18.75">
      <c r="C59" s="110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3:50" ht="18.75">
      <c r="C60" s="110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3:50" ht="18.75">
      <c r="C61" s="110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3:50" ht="18.75">
      <c r="C62" s="110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3:50" ht="18.75">
      <c r="C63" s="110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3:50" ht="18.75">
      <c r="C64" s="110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3:50" ht="18.75">
      <c r="C65" s="110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3:50" ht="18.75">
      <c r="C66" s="110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3:50" ht="18.75">
      <c r="C67" s="110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3:50" ht="18.75">
      <c r="C68" s="110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3:50" ht="18.75">
      <c r="C69" s="110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3:50" ht="18.75">
      <c r="C70" s="110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3:50" ht="18.75">
      <c r="C71" s="110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3:50" ht="18.75">
      <c r="C72" s="110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3:50" ht="18.75">
      <c r="C73" s="110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3:50" ht="18.75">
      <c r="C74" s="110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3:50" ht="18.75">
      <c r="C75" s="110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3:50" ht="18.75">
      <c r="C76" s="110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3:50" ht="18.75">
      <c r="C77" s="110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3:50" ht="18.75">
      <c r="C78" s="110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3:50" ht="18.75">
      <c r="C79" s="110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3:50" ht="18.75">
      <c r="C80" s="110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3:50" ht="18.75">
      <c r="C81" s="110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3:50" ht="18.75">
      <c r="C82" s="110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3:50" ht="18.75">
      <c r="C83" s="110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3:50" ht="18.75">
      <c r="C84" s="110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3:50" ht="18.75">
      <c r="C85" s="110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3:50" ht="18.75">
      <c r="C86" s="110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3:50" ht="18.75">
      <c r="C87" s="110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3:50" ht="18.75">
      <c r="C88" s="110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3:50" ht="18.75">
      <c r="C89" s="110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3:50" ht="18.75">
      <c r="C90" s="110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3:50" ht="18.75">
      <c r="C91" s="110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3:50" ht="18.75">
      <c r="C92" s="110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3:50" ht="18.75">
      <c r="C93" s="110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3:50" ht="18.75">
      <c r="C94" s="110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3:50" ht="18.75">
      <c r="C95" s="110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3:50" ht="18.75">
      <c r="C96" s="110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3:50" ht="18.75">
      <c r="C97" s="110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  <row r="98" spans="3:6" ht="18.75">
      <c r="C98" s="110"/>
      <c r="D98" s="17"/>
      <c r="E98" s="17"/>
      <c r="F98" s="48"/>
    </row>
  </sheetData>
  <sheetProtection/>
  <mergeCells count="26">
    <mergeCell ref="I1:AX1"/>
    <mergeCell ref="B4:F4"/>
    <mergeCell ref="D5:F5"/>
    <mergeCell ref="AX5:AX6"/>
    <mergeCell ref="AP5:AQ5"/>
    <mergeCell ref="A2:AX3"/>
    <mergeCell ref="J5:L5"/>
    <mergeCell ref="AE5:AG5"/>
    <mergeCell ref="AW5:AW6"/>
    <mergeCell ref="G5:I5"/>
    <mergeCell ref="AT5:AV5"/>
    <mergeCell ref="AW47:AX47"/>
    <mergeCell ref="A49:B49"/>
    <mergeCell ref="S5:U5"/>
    <mergeCell ref="M5:O5"/>
    <mergeCell ref="A46:C46"/>
    <mergeCell ref="AB5:AD5"/>
    <mergeCell ref="AR5:AS5"/>
    <mergeCell ref="P5:R5"/>
    <mergeCell ref="V5:X5"/>
    <mergeCell ref="Y5:AA5"/>
    <mergeCell ref="B50:F50"/>
    <mergeCell ref="B48:F48"/>
    <mergeCell ref="AN5:AO5"/>
    <mergeCell ref="AK5:AM5"/>
    <mergeCell ref="AH5:AJ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AF1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I16" sqref="AI16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3" customWidth="1"/>
    <col min="4" max="4" width="21.00390625" style="2" hidden="1" customWidth="1"/>
    <col min="5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625" style="11" customWidth="1"/>
    <col min="14" max="14" width="12.7539062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125" style="11" hidden="1" customWidth="1"/>
    <col min="23" max="23" width="14.75390625" style="11" hidden="1" customWidth="1"/>
    <col min="24" max="24" width="11.125" style="11" hidden="1" customWidth="1"/>
    <col min="25" max="25" width="13.625" style="11" customWidth="1"/>
    <col min="26" max="26" width="12.75390625" style="11" customWidth="1"/>
    <col min="27" max="27" width="11.125" style="11" customWidth="1"/>
    <col min="28" max="28" width="15.125" style="11" customWidth="1"/>
    <col min="29" max="29" width="14.75390625" style="11" customWidth="1"/>
    <col min="30" max="30" width="11.125" style="11" customWidth="1"/>
    <col min="31" max="31" width="14.75390625" style="11" customWidth="1"/>
    <col min="32" max="32" width="12.125" style="11" customWidth="1"/>
    <col min="33" max="33" width="11.00390625" style="11" customWidth="1"/>
    <col min="34" max="34" width="13.25390625" style="11" customWidth="1"/>
    <col min="35" max="36" width="11.00390625" style="11" customWidth="1"/>
    <col min="37" max="37" width="13.625" style="11" hidden="1" customWidth="1"/>
    <col min="38" max="38" width="12.75390625" style="11" hidden="1" customWidth="1"/>
    <col min="39" max="39" width="11.125" style="11" hidden="1" customWidth="1"/>
    <col min="40" max="40" width="13.25390625" style="11" hidden="1" customWidth="1"/>
    <col min="41" max="41" width="11.00390625" style="11" hidden="1" customWidth="1"/>
    <col min="42" max="42" width="13.25390625" style="11" hidden="1" customWidth="1"/>
    <col min="43" max="43" width="11.00390625" style="11" hidden="1" customWidth="1"/>
    <col min="44" max="44" width="13.25390625" style="11" hidden="1" customWidth="1"/>
    <col min="45" max="45" width="11.00390625" style="11" hidden="1" customWidth="1"/>
    <col min="46" max="47" width="14.75390625" style="2" customWidth="1"/>
    <col min="48" max="48" width="11.125" style="11" customWidth="1"/>
    <col min="49" max="49" width="19.125" style="2" customWidth="1"/>
    <col min="50" max="50" width="26.125" style="2" customWidth="1"/>
    <col min="51" max="51" width="12.25390625" style="2" customWidth="1"/>
    <col min="52" max="52" width="11.625" style="2" customWidth="1"/>
    <col min="53" max="53" width="9.75390625" style="2" customWidth="1"/>
    <col min="54" max="16384" width="6.75390625" style="2" customWidth="1"/>
  </cols>
  <sheetData>
    <row r="1" spans="9:50" ht="21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1" customFormat="1" ht="60" customHeight="1">
      <c r="A2" s="183" t="s">
        <v>119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</row>
    <row r="3" spans="1:50" s="51" customFormat="1" ht="60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</row>
    <row r="4" spans="2:50" ht="49.5" customHeight="1">
      <c r="B4" s="163"/>
      <c r="C4" s="163"/>
      <c r="D4" s="163"/>
      <c r="E4" s="163"/>
      <c r="F4" s="163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86</v>
      </c>
    </row>
    <row r="5" spans="1:50" ht="58.5" customHeight="1">
      <c r="A5" s="41" t="s">
        <v>46</v>
      </c>
      <c r="B5" s="42"/>
      <c r="C5" s="43" t="s">
        <v>1</v>
      </c>
      <c r="D5" s="169" t="s">
        <v>102</v>
      </c>
      <c r="E5" s="170"/>
      <c r="F5" s="171"/>
      <c r="G5" s="164" t="s">
        <v>105</v>
      </c>
      <c r="H5" s="165"/>
      <c r="I5" s="166"/>
      <c r="J5" s="164" t="s">
        <v>106</v>
      </c>
      <c r="K5" s="165"/>
      <c r="L5" s="166"/>
      <c r="M5" s="164" t="s">
        <v>107</v>
      </c>
      <c r="N5" s="165"/>
      <c r="O5" s="166"/>
      <c r="P5" s="164" t="s">
        <v>108</v>
      </c>
      <c r="Q5" s="165"/>
      <c r="R5" s="166"/>
      <c r="S5" s="176" t="s">
        <v>110</v>
      </c>
      <c r="T5" s="177"/>
      <c r="U5" s="178"/>
      <c r="V5" s="176" t="s">
        <v>111</v>
      </c>
      <c r="W5" s="177"/>
      <c r="X5" s="178"/>
      <c r="Y5" s="164" t="s">
        <v>112</v>
      </c>
      <c r="Z5" s="165"/>
      <c r="AA5" s="166"/>
      <c r="AB5" s="164" t="s">
        <v>113</v>
      </c>
      <c r="AC5" s="165"/>
      <c r="AD5" s="166"/>
      <c r="AE5" s="164" t="s">
        <v>114</v>
      </c>
      <c r="AF5" s="165"/>
      <c r="AG5" s="166"/>
      <c r="AH5" s="164" t="s">
        <v>123</v>
      </c>
      <c r="AI5" s="165"/>
      <c r="AJ5" s="166"/>
      <c r="AK5" s="164" t="s">
        <v>84</v>
      </c>
      <c r="AL5" s="165"/>
      <c r="AM5" s="166"/>
      <c r="AN5" s="164" t="s">
        <v>79</v>
      </c>
      <c r="AO5" s="166"/>
      <c r="AP5" s="164" t="s">
        <v>80</v>
      </c>
      <c r="AQ5" s="166"/>
      <c r="AR5" s="164" t="s">
        <v>81</v>
      </c>
      <c r="AS5" s="166"/>
      <c r="AT5" s="169" t="s">
        <v>103</v>
      </c>
      <c r="AU5" s="170"/>
      <c r="AV5" s="171"/>
      <c r="AW5" s="167" t="s">
        <v>124</v>
      </c>
      <c r="AX5" s="167" t="s">
        <v>125</v>
      </c>
    </row>
    <row r="6" spans="1:50" ht="51" customHeight="1">
      <c r="A6" s="44" t="s">
        <v>47</v>
      </c>
      <c r="B6" s="45" t="s">
        <v>97</v>
      </c>
      <c r="C6" s="40" t="s">
        <v>104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85</v>
      </c>
      <c r="AU6" s="45" t="s">
        <v>69</v>
      </c>
      <c r="AV6" s="47" t="s">
        <v>0</v>
      </c>
      <c r="AW6" s="168"/>
      <c r="AX6" s="168"/>
    </row>
    <row r="7" spans="1:53" s="11" customFormat="1" ht="34.5" customHeight="1">
      <c r="A7" s="8"/>
      <c r="B7" s="112" t="s">
        <v>98</v>
      </c>
      <c r="C7" s="54">
        <f>SUM(C8:C42)-C33-C34</f>
        <v>-127.00000000000001</v>
      </c>
      <c r="D7" s="54">
        <f aca="true" t="shared" si="0" ref="D7:AU7">SUM(D8:D42)-D33-D34</f>
        <v>626.4999999999998</v>
      </c>
      <c r="E7" s="54">
        <f t="shared" si="0"/>
        <v>54.2</v>
      </c>
      <c r="F7" s="54" t="e">
        <f t="shared" si="0"/>
        <v>#DIV/0!</v>
      </c>
      <c r="G7" s="54">
        <f t="shared" si="0"/>
        <v>582.4000000000001</v>
      </c>
      <c r="H7" s="54">
        <f t="shared" si="0"/>
        <v>291.99999999999994</v>
      </c>
      <c r="I7" s="54" t="e">
        <f t="shared" si="0"/>
        <v>#DIV/0!</v>
      </c>
      <c r="J7" s="54">
        <f t="shared" si="0"/>
        <v>573.8</v>
      </c>
      <c r="K7" s="54">
        <f t="shared" si="0"/>
        <v>745.1000000000001</v>
      </c>
      <c r="L7" s="54" t="e">
        <f t="shared" si="0"/>
        <v>#DIV/0!</v>
      </c>
      <c r="M7" s="54">
        <f t="shared" si="0"/>
        <v>1782.6999999999998</v>
      </c>
      <c r="N7" s="54">
        <f t="shared" si="0"/>
        <v>1091.3000000000002</v>
      </c>
      <c r="O7" s="10">
        <f aca="true" t="shared" si="1" ref="O7:O45">N7/M7*100</f>
        <v>61.21613283222081</v>
      </c>
      <c r="P7" s="54">
        <f t="shared" si="0"/>
        <v>553.1999999999999</v>
      </c>
      <c r="Q7" s="54">
        <f t="shared" si="0"/>
        <v>441.90000000000003</v>
      </c>
      <c r="R7" s="54" t="e">
        <f t="shared" si="0"/>
        <v>#DIV/0!</v>
      </c>
      <c r="S7" s="54">
        <f t="shared" si="0"/>
        <v>551</v>
      </c>
      <c r="T7" s="54">
        <f t="shared" si="0"/>
        <v>607.9000000000001</v>
      </c>
      <c r="U7" s="54" t="e">
        <f t="shared" si="0"/>
        <v>#DIV/0!</v>
      </c>
      <c r="V7" s="54">
        <f t="shared" si="0"/>
        <v>594.6</v>
      </c>
      <c r="W7" s="54">
        <f t="shared" si="0"/>
        <v>703.6999999999998</v>
      </c>
      <c r="X7" s="54">
        <f t="shared" si="0"/>
        <v>2857.357448155337</v>
      </c>
      <c r="Y7" s="54">
        <f t="shared" si="0"/>
        <v>1698.7999999999997</v>
      </c>
      <c r="Z7" s="54">
        <f t="shared" si="0"/>
        <v>1753.4999999999998</v>
      </c>
      <c r="AA7" s="10">
        <f>Z7/Y7*100</f>
        <v>103.21991994348953</v>
      </c>
      <c r="AB7" s="54">
        <f t="shared" si="0"/>
        <v>618.3999999999999</v>
      </c>
      <c r="AC7" s="54">
        <f t="shared" si="0"/>
        <v>502.59999999999985</v>
      </c>
      <c r="AD7" s="10">
        <f aca="true" t="shared" si="2" ref="AD7:AD45">AC7/AB7*100</f>
        <v>81.27425614489003</v>
      </c>
      <c r="AE7" s="54">
        <f t="shared" si="0"/>
        <v>596.6000000000001</v>
      </c>
      <c r="AF7" s="54">
        <f t="shared" si="0"/>
        <v>692.3</v>
      </c>
      <c r="AG7" s="10">
        <f aca="true" t="shared" si="3" ref="AG7:AG45">AF7/AE7*100</f>
        <v>116.04089842440493</v>
      </c>
      <c r="AH7" s="54">
        <f t="shared" si="0"/>
        <v>656.0000000000002</v>
      </c>
      <c r="AI7" s="54">
        <f t="shared" si="0"/>
        <v>682.3</v>
      </c>
      <c r="AJ7" s="10">
        <f aca="true" t="shared" si="4" ref="AJ7:AJ45">AI7/AH7*100</f>
        <v>104.00914634146336</v>
      </c>
      <c r="AK7" s="54">
        <f t="shared" si="0"/>
        <v>1871.0000000000002</v>
      </c>
      <c r="AL7" s="54">
        <f t="shared" si="0"/>
        <v>1877.1999999999996</v>
      </c>
      <c r="AM7" s="54">
        <f t="shared" si="0"/>
        <v>2859.9360981627124</v>
      </c>
      <c r="AN7" s="54">
        <f t="shared" si="0"/>
        <v>0</v>
      </c>
      <c r="AO7" s="54">
        <f t="shared" si="0"/>
        <v>0</v>
      </c>
      <c r="AP7" s="54">
        <f t="shared" si="0"/>
        <v>0</v>
      </c>
      <c r="AQ7" s="54">
        <f t="shared" si="0"/>
        <v>0</v>
      </c>
      <c r="AR7" s="54">
        <f t="shared" si="0"/>
        <v>0</v>
      </c>
      <c r="AS7" s="54">
        <f t="shared" si="0"/>
        <v>0</v>
      </c>
      <c r="AT7" s="54">
        <f t="shared" si="0"/>
        <v>5352.5</v>
      </c>
      <c r="AU7" s="54">
        <f t="shared" si="0"/>
        <v>4722</v>
      </c>
      <c r="AV7" s="10">
        <f aca="true" t="shared" si="5" ref="AV7:AV44">AU7/AT7*100</f>
        <v>88.22045773003269</v>
      </c>
      <c r="AW7" s="54">
        <f>SUM(AW8:AW42)-AW33-AW34</f>
        <v>630.5</v>
      </c>
      <c r="AX7" s="54">
        <f>SUM(AX8:AX42)-AX33-AX34</f>
        <v>503.5</v>
      </c>
      <c r="AY7" s="20">
        <f>M7+P7+S7+V7+AB7+AE7+AH7</f>
        <v>5352.5</v>
      </c>
      <c r="AZ7" s="20">
        <f>N7+Q7+T7+W7+AC7+AF7+AI7</f>
        <v>4722</v>
      </c>
      <c r="BA7" s="39">
        <f>C7+AY7-AZ7</f>
        <v>503.5</v>
      </c>
    </row>
    <row r="8" spans="1:53" ht="34.5" customHeight="1">
      <c r="A8" s="12" t="s">
        <v>5</v>
      </c>
      <c r="B8" s="57" t="s">
        <v>49</v>
      </c>
      <c r="C8" s="84">
        <v>1.6</v>
      </c>
      <c r="D8" s="35">
        <v>38.7</v>
      </c>
      <c r="E8" s="35">
        <v>2</v>
      </c>
      <c r="F8" s="10">
        <f>E8/D8*100</f>
        <v>5.167958656330749</v>
      </c>
      <c r="G8" s="35">
        <v>37.5</v>
      </c>
      <c r="H8" s="35">
        <v>40.9</v>
      </c>
      <c r="I8" s="10">
        <f aca="true" t="shared" si="6" ref="I8:I45">H8/G8*100</f>
        <v>109.06666666666666</v>
      </c>
      <c r="J8" s="35">
        <v>35.1</v>
      </c>
      <c r="K8" s="35">
        <v>33.1</v>
      </c>
      <c r="L8" s="10">
        <f>K8/J8*100</f>
        <v>94.30199430199431</v>
      </c>
      <c r="M8" s="71">
        <f>D8+G8+J8</f>
        <v>111.30000000000001</v>
      </c>
      <c r="N8" s="71">
        <f>E8+H8+K8</f>
        <v>76</v>
      </c>
      <c r="O8" s="10">
        <f t="shared" si="1"/>
        <v>68.2839173405211</v>
      </c>
      <c r="P8" s="35">
        <v>39.4</v>
      </c>
      <c r="Q8" s="35">
        <v>9.2</v>
      </c>
      <c r="R8" s="10">
        <f aca="true" t="shared" si="7" ref="R8:R45">Q8/P8*100</f>
        <v>23.350253807106597</v>
      </c>
      <c r="S8" s="35">
        <v>37.6</v>
      </c>
      <c r="T8" s="35">
        <v>74.7</v>
      </c>
      <c r="U8" s="10">
        <f aca="true" t="shared" si="8" ref="U8:U45">T8/S8*100</f>
        <v>198.67021276595744</v>
      </c>
      <c r="V8" s="35">
        <v>41.3</v>
      </c>
      <c r="W8" s="35">
        <v>38</v>
      </c>
      <c r="X8" s="10">
        <f>W8/V8*100</f>
        <v>92.00968523002422</v>
      </c>
      <c r="Y8" s="71">
        <f>P8+S8+V8</f>
        <v>118.3</v>
      </c>
      <c r="Z8" s="71">
        <f>Q8+T8+W8</f>
        <v>121.9</v>
      </c>
      <c r="AA8" s="10">
        <f>Z8/Y8*100</f>
        <v>103.04311073541842</v>
      </c>
      <c r="AB8" s="35">
        <v>40.1</v>
      </c>
      <c r="AC8" s="35">
        <v>42.4</v>
      </c>
      <c r="AD8" s="10">
        <f t="shared" si="2"/>
        <v>105.73566084788028</v>
      </c>
      <c r="AE8" s="35">
        <v>38.8</v>
      </c>
      <c r="AF8" s="35">
        <v>39.6</v>
      </c>
      <c r="AG8" s="10">
        <f t="shared" si="3"/>
        <v>102.06185567010311</v>
      </c>
      <c r="AH8" s="35">
        <v>43.1</v>
      </c>
      <c r="AI8" s="35">
        <v>41.1</v>
      </c>
      <c r="AJ8" s="10">
        <f t="shared" si="4"/>
        <v>95.35962877030161</v>
      </c>
      <c r="AK8" s="71">
        <f>AB8+AE8+AH8</f>
        <v>122</v>
      </c>
      <c r="AL8" s="71">
        <f>AC8+AF8+AI8</f>
        <v>123.1</v>
      </c>
      <c r="AM8" s="10">
        <f>AL8/AK8*100</f>
        <v>100.90163934426228</v>
      </c>
      <c r="AN8" s="35"/>
      <c r="AO8" s="35"/>
      <c r="AP8" s="35"/>
      <c r="AQ8" s="35"/>
      <c r="AR8" s="35"/>
      <c r="AS8" s="35"/>
      <c r="AT8" s="58">
        <f>M8+Y8+AK8+AN8+AP8+AR8</f>
        <v>351.6</v>
      </c>
      <c r="AU8" s="58">
        <f>N8+Z8+AL8+AO8+AQ8+AS8</f>
        <v>321</v>
      </c>
      <c r="AV8" s="10">
        <f t="shared" si="5"/>
        <v>91.29692832764505</v>
      </c>
      <c r="AW8" s="58">
        <f>AT8-AU8</f>
        <v>30.600000000000023</v>
      </c>
      <c r="AX8" s="16">
        <f>C8+AT8-AU8</f>
        <v>32.200000000000045</v>
      </c>
      <c r="AY8" s="20">
        <f aca="true" t="shared" si="9" ref="AY8:AY45">M8+P8+S8+V8+AB8+AE8+AH8</f>
        <v>351.6000000000001</v>
      </c>
      <c r="AZ8" s="20">
        <f aca="true" t="shared" si="10" ref="AZ8:AZ45">N8+Q8+T8+W8+AC8+AF8+AI8</f>
        <v>321.00000000000006</v>
      </c>
      <c r="BA8" s="39">
        <f aca="true" t="shared" si="11" ref="BA8:BA45">C8+AY8-AZ8</f>
        <v>32.200000000000045</v>
      </c>
    </row>
    <row r="9" spans="1:53" ht="34.5" customHeight="1">
      <c r="A9" s="12" t="s">
        <v>6</v>
      </c>
      <c r="B9" s="59" t="s">
        <v>65</v>
      </c>
      <c r="C9" s="84">
        <v>-0.2</v>
      </c>
      <c r="D9" s="35">
        <v>2.1</v>
      </c>
      <c r="E9" s="35">
        <v>0.7</v>
      </c>
      <c r="F9" s="10">
        <f aca="true" t="shared" si="12" ref="F9:F27">E9/D9*100</f>
        <v>33.33333333333333</v>
      </c>
      <c r="G9" s="35">
        <v>2.4</v>
      </c>
      <c r="H9" s="35">
        <v>1.8</v>
      </c>
      <c r="I9" s="10">
        <f t="shared" si="6"/>
        <v>75</v>
      </c>
      <c r="J9" s="35">
        <v>2.4</v>
      </c>
      <c r="K9" s="35">
        <v>2.7</v>
      </c>
      <c r="L9" s="10">
        <f>K9/J9*100</f>
        <v>112.50000000000003</v>
      </c>
      <c r="M9" s="71">
        <f aca="true" t="shared" si="13" ref="M9:M44">D9+G9+J9</f>
        <v>6.9</v>
      </c>
      <c r="N9" s="71">
        <f aca="true" t="shared" si="14" ref="N9:N44">E9+H9+K9</f>
        <v>5.2</v>
      </c>
      <c r="O9" s="10">
        <f t="shared" si="1"/>
        <v>75.36231884057972</v>
      </c>
      <c r="P9" s="35">
        <v>2.5</v>
      </c>
      <c r="Q9" s="35">
        <v>2</v>
      </c>
      <c r="R9" s="10">
        <f t="shared" si="7"/>
        <v>80</v>
      </c>
      <c r="S9" s="35">
        <v>2.4</v>
      </c>
      <c r="T9" s="35">
        <v>1.7</v>
      </c>
      <c r="U9" s="10">
        <f t="shared" si="8"/>
        <v>70.83333333333334</v>
      </c>
      <c r="V9" s="35">
        <v>2.4</v>
      </c>
      <c r="W9" s="35">
        <v>3.1</v>
      </c>
      <c r="X9" s="10">
        <f>W9/V9*100</f>
        <v>129.16666666666669</v>
      </c>
      <c r="Y9" s="71">
        <f>P9+S9+V9</f>
        <v>7.300000000000001</v>
      </c>
      <c r="Z9" s="71">
        <f>Q9+T9+W9</f>
        <v>6.800000000000001</v>
      </c>
      <c r="AA9" s="10">
        <f>Z9/Y9*100</f>
        <v>93.15068493150686</v>
      </c>
      <c r="AB9" s="35">
        <v>2.3</v>
      </c>
      <c r="AC9" s="35">
        <v>2.5</v>
      </c>
      <c r="AD9" s="10">
        <f t="shared" si="2"/>
        <v>108.69565217391306</v>
      </c>
      <c r="AE9" s="35">
        <v>2.3</v>
      </c>
      <c r="AF9" s="35">
        <v>2</v>
      </c>
      <c r="AG9" s="10">
        <f t="shared" si="3"/>
        <v>86.95652173913044</v>
      </c>
      <c r="AH9" s="35">
        <v>2.2</v>
      </c>
      <c r="AI9" s="35">
        <v>2.3</v>
      </c>
      <c r="AJ9" s="10">
        <f t="shared" si="4"/>
        <v>104.54545454545452</v>
      </c>
      <c r="AK9" s="71">
        <f aca="true" t="shared" si="15" ref="AK9:AK42">AB9+AE9+AH9</f>
        <v>6.8</v>
      </c>
      <c r="AL9" s="71">
        <f aca="true" t="shared" si="16" ref="AL9:AL42">AC9+AF9+AI9</f>
        <v>6.8</v>
      </c>
      <c r="AM9" s="10">
        <f>AL9/AK9*100</f>
        <v>100</v>
      </c>
      <c r="AN9" s="35"/>
      <c r="AO9" s="35"/>
      <c r="AP9" s="35"/>
      <c r="AQ9" s="35"/>
      <c r="AR9" s="35"/>
      <c r="AS9" s="35"/>
      <c r="AT9" s="58">
        <f aca="true" t="shared" si="17" ref="AT9:AT28">M9+Y9+AK9+AN9+AP9+AR9</f>
        <v>21</v>
      </c>
      <c r="AU9" s="58">
        <f aca="true" t="shared" si="18" ref="AU9:AU28">N9+Z9+AL9+AO9+AQ9+AS9</f>
        <v>18.8</v>
      </c>
      <c r="AV9" s="10">
        <f t="shared" si="5"/>
        <v>89.52380952380953</v>
      </c>
      <c r="AW9" s="58">
        <f aca="true" t="shared" si="19" ref="AW9:AW27">AT9-AU9</f>
        <v>2.1999999999999993</v>
      </c>
      <c r="AX9" s="16">
        <f aca="true" t="shared" si="20" ref="AX9:AX27">C9+AT9-AU9</f>
        <v>2</v>
      </c>
      <c r="AY9" s="20">
        <f t="shared" si="9"/>
        <v>21</v>
      </c>
      <c r="AZ9" s="20">
        <f t="shared" si="10"/>
        <v>18.8</v>
      </c>
      <c r="BA9" s="39">
        <f t="shared" si="11"/>
        <v>2</v>
      </c>
    </row>
    <row r="10" spans="1:53" ht="34.5" customHeight="1">
      <c r="A10" s="12" t="s">
        <v>7</v>
      </c>
      <c r="B10" s="61" t="s">
        <v>87</v>
      </c>
      <c r="C10" s="84"/>
      <c r="D10" s="35"/>
      <c r="E10" s="35"/>
      <c r="F10" s="85" t="e">
        <f t="shared" si="12"/>
        <v>#DIV/0!</v>
      </c>
      <c r="G10" s="123"/>
      <c r="H10" s="123"/>
      <c r="I10" s="85" t="e">
        <f t="shared" si="6"/>
        <v>#DIV/0!</v>
      </c>
      <c r="J10" s="123"/>
      <c r="K10" s="123"/>
      <c r="L10" s="85"/>
      <c r="M10" s="124"/>
      <c r="N10" s="124"/>
      <c r="O10" s="85"/>
      <c r="P10" s="123"/>
      <c r="Q10" s="123"/>
      <c r="R10" s="85" t="e">
        <f t="shared" si="7"/>
        <v>#DIV/0!</v>
      </c>
      <c r="S10" s="123"/>
      <c r="T10" s="123"/>
      <c r="U10" s="10"/>
      <c r="V10" s="123"/>
      <c r="W10" s="123"/>
      <c r="X10" s="85"/>
      <c r="Y10" s="124"/>
      <c r="Z10" s="124"/>
      <c r="AA10" s="85"/>
      <c r="AB10" s="123"/>
      <c r="AC10" s="123"/>
      <c r="AD10" s="85" t="e">
        <f t="shared" si="2"/>
        <v>#DIV/0!</v>
      </c>
      <c r="AE10" s="123"/>
      <c r="AF10" s="123"/>
      <c r="AG10" s="85" t="e">
        <f t="shared" si="3"/>
        <v>#DIV/0!</v>
      </c>
      <c r="AH10" s="123"/>
      <c r="AI10" s="123"/>
      <c r="AJ10" s="10"/>
      <c r="AK10" s="124"/>
      <c r="AL10" s="124"/>
      <c r="AM10" s="85"/>
      <c r="AN10" s="123"/>
      <c r="AO10" s="123"/>
      <c r="AP10" s="123"/>
      <c r="AQ10" s="123"/>
      <c r="AR10" s="123"/>
      <c r="AS10" s="123"/>
      <c r="AT10" s="124">
        <f t="shared" si="17"/>
        <v>0</v>
      </c>
      <c r="AU10" s="124">
        <f t="shared" si="18"/>
        <v>0</v>
      </c>
      <c r="AV10" s="85" t="e">
        <f t="shared" si="5"/>
        <v>#DIV/0!</v>
      </c>
      <c r="AW10" s="124">
        <f t="shared" si="19"/>
        <v>0</v>
      </c>
      <c r="AX10" s="125">
        <f t="shared" si="20"/>
        <v>0</v>
      </c>
      <c r="AY10" s="20">
        <f t="shared" si="9"/>
        <v>0</v>
      </c>
      <c r="AZ10" s="20">
        <f t="shared" si="10"/>
        <v>0</v>
      </c>
      <c r="BA10" s="39">
        <f t="shared" si="11"/>
        <v>0</v>
      </c>
    </row>
    <row r="11" spans="1:53" ht="34.5" customHeight="1">
      <c r="A11" s="12" t="s">
        <v>8</v>
      </c>
      <c r="B11" s="57" t="s">
        <v>50</v>
      </c>
      <c r="C11" s="84">
        <v>-13.1</v>
      </c>
      <c r="D11" s="35">
        <v>3.6</v>
      </c>
      <c r="E11" s="35">
        <v>0.9</v>
      </c>
      <c r="F11" s="10">
        <f t="shared" si="12"/>
        <v>25</v>
      </c>
      <c r="G11" s="35">
        <v>6.3</v>
      </c>
      <c r="H11" s="35">
        <v>4.7</v>
      </c>
      <c r="I11" s="10">
        <f t="shared" si="6"/>
        <v>74.60317460317461</v>
      </c>
      <c r="J11" s="35">
        <v>7</v>
      </c>
      <c r="K11" s="35">
        <v>6.1</v>
      </c>
      <c r="L11" s="10">
        <f aca="true" t="shared" si="21" ref="L11:L19">K11/J11*100</f>
        <v>87.14285714285714</v>
      </c>
      <c r="M11" s="71">
        <f t="shared" si="13"/>
        <v>16.9</v>
      </c>
      <c r="N11" s="71">
        <f t="shared" si="14"/>
        <v>11.7</v>
      </c>
      <c r="O11" s="10">
        <f t="shared" si="1"/>
        <v>69.23076923076923</v>
      </c>
      <c r="P11" s="35">
        <v>11.6</v>
      </c>
      <c r="Q11" s="35">
        <v>7.2</v>
      </c>
      <c r="R11" s="10">
        <f t="shared" si="7"/>
        <v>62.06896551724138</v>
      </c>
      <c r="S11" s="35">
        <v>9.3</v>
      </c>
      <c r="T11" s="35">
        <v>10</v>
      </c>
      <c r="U11" s="10">
        <f t="shared" si="8"/>
        <v>107.5268817204301</v>
      </c>
      <c r="V11" s="35">
        <v>9.4</v>
      </c>
      <c r="W11" s="35">
        <v>6.4</v>
      </c>
      <c r="X11" s="10">
        <f aca="true" t="shared" si="22" ref="X11:X19">W11/V11*100</f>
        <v>68.08510638297872</v>
      </c>
      <c r="Y11" s="71">
        <f aca="true" t="shared" si="23" ref="Y11:Y19">P11+S11+V11</f>
        <v>30.299999999999997</v>
      </c>
      <c r="Z11" s="71">
        <f aca="true" t="shared" si="24" ref="Z11:Z19">Q11+T11+W11</f>
        <v>23.6</v>
      </c>
      <c r="AA11" s="10">
        <f aca="true" t="shared" si="25" ref="AA11:AA19">Z11/Y11*100</f>
        <v>77.8877887788779</v>
      </c>
      <c r="AB11" s="35">
        <v>6.9</v>
      </c>
      <c r="AC11" s="35">
        <v>5.2</v>
      </c>
      <c r="AD11" s="10">
        <f t="shared" si="2"/>
        <v>75.36231884057972</v>
      </c>
      <c r="AE11" s="35">
        <v>8.5</v>
      </c>
      <c r="AF11" s="35">
        <v>6.5</v>
      </c>
      <c r="AG11" s="10">
        <f t="shared" si="3"/>
        <v>76.47058823529412</v>
      </c>
      <c r="AH11" s="35">
        <v>9.2</v>
      </c>
      <c r="AI11" s="35">
        <v>20.9</v>
      </c>
      <c r="AJ11" s="10">
        <f t="shared" si="4"/>
        <v>227.17391304347828</v>
      </c>
      <c r="AK11" s="71">
        <f t="shared" si="15"/>
        <v>24.6</v>
      </c>
      <c r="AL11" s="71">
        <f t="shared" si="16"/>
        <v>32.599999999999994</v>
      </c>
      <c r="AM11" s="10">
        <f aca="true" t="shared" si="26" ref="AM11:AM19">AL11/AK11*100</f>
        <v>132.520325203252</v>
      </c>
      <c r="AN11" s="35"/>
      <c r="AO11" s="35"/>
      <c r="AP11" s="35"/>
      <c r="AQ11" s="35"/>
      <c r="AR11" s="35"/>
      <c r="AS11" s="35"/>
      <c r="AT11" s="58">
        <f t="shared" si="17"/>
        <v>71.8</v>
      </c>
      <c r="AU11" s="58">
        <f t="shared" si="18"/>
        <v>67.89999999999999</v>
      </c>
      <c r="AV11" s="10">
        <f t="shared" si="5"/>
        <v>94.56824512534818</v>
      </c>
      <c r="AW11" s="58">
        <f t="shared" si="19"/>
        <v>3.9000000000000057</v>
      </c>
      <c r="AX11" s="16">
        <f t="shared" si="20"/>
        <v>-9.199999999999996</v>
      </c>
      <c r="AY11" s="20">
        <f t="shared" si="9"/>
        <v>71.8</v>
      </c>
      <c r="AZ11" s="20">
        <f t="shared" si="10"/>
        <v>67.9</v>
      </c>
      <c r="BA11" s="39">
        <f t="shared" si="11"/>
        <v>-9.20000000000001</v>
      </c>
    </row>
    <row r="12" spans="1:53" ht="34.5" customHeight="1">
      <c r="A12" s="12" t="s">
        <v>9</v>
      </c>
      <c r="B12" s="57" t="s">
        <v>51</v>
      </c>
      <c r="C12" s="84">
        <v>-1</v>
      </c>
      <c r="D12" s="35">
        <v>4.4</v>
      </c>
      <c r="E12" s="35">
        <v>1.8</v>
      </c>
      <c r="F12" s="10">
        <f t="shared" si="12"/>
        <v>40.90909090909091</v>
      </c>
      <c r="G12" s="35">
        <v>6.7</v>
      </c>
      <c r="H12" s="35">
        <v>5.5</v>
      </c>
      <c r="I12" s="10">
        <f t="shared" si="6"/>
        <v>82.08955223880596</v>
      </c>
      <c r="J12" s="35">
        <v>6.6</v>
      </c>
      <c r="K12" s="35">
        <v>8.5</v>
      </c>
      <c r="L12" s="10">
        <f t="shared" si="21"/>
        <v>128.78787878787878</v>
      </c>
      <c r="M12" s="71">
        <f t="shared" si="13"/>
        <v>17.700000000000003</v>
      </c>
      <c r="N12" s="71">
        <f t="shared" si="14"/>
        <v>15.8</v>
      </c>
      <c r="O12" s="10">
        <f t="shared" si="1"/>
        <v>89.26553672316383</v>
      </c>
      <c r="P12" s="35">
        <v>5.9</v>
      </c>
      <c r="Q12" s="35">
        <v>4.2</v>
      </c>
      <c r="R12" s="10">
        <f t="shared" si="7"/>
        <v>71.1864406779661</v>
      </c>
      <c r="S12" s="35">
        <v>6.5</v>
      </c>
      <c r="T12" s="35">
        <v>6.6</v>
      </c>
      <c r="U12" s="10">
        <f t="shared" si="8"/>
        <v>101.53846153846153</v>
      </c>
      <c r="V12" s="35">
        <v>8.2</v>
      </c>
      <c r="W12" s="35">
        <v>4.8</v>
      </c>
      <c r="X12" s="10">
        <f t="shared" si="22"/>
        <v>58.53658536585367</v>
      </c>
      <c r="Y12" s="71">
        <f t="shared" si="23"/>
        <v>20.6</v>
      </c>
      <c r="Z12" s="71">
        <f t="shared" si="24"/>
        <v>15.600000000000001</v>
      </c>
      <c r="AA12" s="10">
        <f t="shared" si="25"/>
        <v>75.72815533980582</v>
      </c>
      <c r="AB12" s="35">
        <v>7.7</v>
      </c>
      <c r="AC12" s="35">
        <v>7.5</v>
      </c>
      <c r="AD12" s="10">
        <f t="shared" si="2"/>
        <v>97.40259740259741</v>
      </c>
      <c r="AE12" s="35">
        <v>6.9</v>
      </c>
      <c r="AF12" s="35">
        <v>5.7</v>
      </c>
      <c r="AG12" s="10">
        <f t="shared" si="3"/>
        <v>82.6086956521739</v>
      </c>
      <c r="AH12" s="35">
        <v>5.8</v>
      </c>
      <c r="AI12" s="35">
        <v>7.4</v>
      </c>
      <c r="AJ12" s="10">
        <f t="shared" si="4"/>
        <v>127.58620689655173</v>
      </c>
      <c r="AK12" s="71">
        <f t="shared" si="15"/>
        <v>20.400000000000002</v>
      </c>
      <c r="AL12" s="71">
        <f t="shared" si="16"/>
        <v>20.6</v>
      </c>
      <c r="AM12" s="10">
        <f t="shared" si="26"/>
        <v>100.98039215686273</v>
      </c>
      <c r="AN12" s="35"/>
      <c r="AO12" s="35"/>
      <c r="AP12" s="35"/>
      <c r="AQ12" s="35"/>
      <c r="AR12" s="35"/>
      <c r="AS12" s="35"/>
      <c r="AT12" s="58">
        <f t="shared" si="17"/>
        <v>58.7</v>
      </c>
      <c r="AU12" s="58">
        <f t="shared" si="18"/>
        <v>52</v>
      </c>
      <c r="AV12" s="10">
        <f t="shared" si="5"/>
        <v>88.58603066439522</v>
      </c>
      <c r="AW12" s="58">
        <f t="shared" si="19"/>
        <v>6.700000000000003</v>
      </c>
      <c r="AX12" s="16">
        <f t="shared" si="20"/>
        <v>5.700000000000003</v>
      </c>
      <c r="AY12" s="20">
        <f t="shared" si="9"/>
        <v>58.699999999999996</v>
      </c>
      <c r="AZ12" s="20">
        <f t="shared" si="10"/>
        <v>52.00000000000001</v>
      </c>
      <c r="BA12" s="39">
        <f t="shared" si="11"/>
        <v>5.699999999999989</v>
      </c>
    </row>
    <row r="13" spans="1:53" ht="34.5" customHeight="1">
      <c r="A13" s="12" t="s">
        <v>10</v>
      </c>
      <c r="B13" s="57" t="s">
        <v>52</v>
      </c>
      <c r="C13" s="84">
        <v>-5.9</v>
      </c>
      <c r="D13" s="35">
        <v>7.6</v>
      </c>
      <c r="E13" s="35">
        <v>2.2</v>
      </c>
      <c r="F13" s="10">
        <f t="shared" si="12"/>
        <v>28.947368421052634</v>
      </c>
      <c r="G13" s="35">
        <v>7.7</v>
      </c>
      <c r="H13" s="35">
        <v>5</v>
      </c>
      <c r="I13" s="10">
        <f t="shared" si="6"/>
        <v>64.93506493506493</v>
      </c>
      <c r="J13" s="35">
        <v>8.5</v>
      </c>
      <c r="K13" s="35">
        <v>6.8</v>
      </c>
      <c r="L13" s="10">
        <f t="shared" si="21"/>
        <v>80</v>
      </c>
      <c r="M13" s="71">
        <f t="shared" si="13"/>
        <v>23.8</v>
      </c>
      <c r="N13" s="71">
        <f t="shared" si="14"/>
        <v>14</v>
      </c>
      <c r="O13" s="10">
        <f t="shared" si="1"/>
        <v>58.82352941176471</v>
      </c>
      <c r="P13" s="35">
        <v>8.9</v>
      </c>
      <c r="Q13" s="35">
        <v>10.3</v>
      </c>
      <c r="R13" s="10">
        <f t="shared" si="7"/>
        <v>115.73033707865167</v>
      </c>
      <c r="S13" s="35">
        <v>8</v>
      </c>
      <c r="T13" s="35">
        <v>5.5</v>
      </c>
      <c r="U13" s="10">
        <f t="shared" si="8"/>
        <v>68.75</v>
      </c>
      <c r="V13" s="35">
        <v>7.7</v>
      </c>
      <c r="W13" s="35">
        <v>8.8</v>
      </c>
      <c r="X13" s="10">
        <f t="shared" si="22"/>
        <v>114.2857142857143</v>
      </c>
      <c r="Y13" s="71">
        <f t="shared" si="23"/>
        <v>24.599999999999998</v>
      </c>
      <c r="Z13" s="71">
        <f t="shared" si="24"/>
        <v>24.6</v>
      </c>
      <c r="AA13" s="10">
        <f t="shared" si="25"/>
        <v>100.00000000000003</v>
      </c>
      <c r="AB13" s="35">
        <v>7.7</v>
      </c>
      <c r="AC13" s="35">
        <v>5.3</v>
      </c>
      <c r="AD13" s="10">
        <f t="shared" si="2"/>
        <v>68.83116883116884</v>
      </c>
      <c r="AE13" s="35">
        <v>9.6</v>
      </c>
      <c r="AF13" s="35">
        <v>14.6</v>
      </c>
      <c r="AG13" s="10">
        <f t="shared" si="3"/>
        <v>152.08333333333331</v>
      </c>
      <c r="AH13" s="35">
        <v>11.1</v>
      </c>
      <c r="AI13" s="35">
        <v>8.8</v>
      </c>
      <c r="AJ13" s="10">
        <f t="shared" si="4"/>
        <v>79.2792792792793</v>
      </c>
      <c r="AK13" s="71">
        <f t="shared" si="15"/>
        <v>28.4</v>
      </c>
      <c r="AL13" s="71">
        <f t="shared" si="16"/>
        <v>28.7</v>
      </c>
      <c r="AM13" s="10">
        <f t="shared" si="26"/>
        <v>101.05633802816902</v>
      </c>
      <c r="AN13" s="35"/>
      <c r="AO13" s="35"/>
      <c r="AP13" s="35"/>
      <c r="AQ13" s="35"/>
      <c r="AR13" s="35"/>
      <c r="AS13" s="35"/>
      <c r="AT13" s="58">
        <f t="shared" si="17"/>
        <v>76.8</v>
      </c>
      <c r="AU13" s="58">
        <f t="shared" si="18"/>
        <v>67.3</v>
      </c>
      <c r="AV13" s="10">
        <f t="shared" si="5"/>
        <v>87.63020833333334</v>
      </c>
      <c r="AW13" s="58">
        <f t="shared" si="19"/>
        <v>9.5</v>
      </c>
      <c r="AX13" s="16">
        <f t="shared" si="20"/>
        <v>3.5999999999999943</v>
      </c>
      <c r="AY13" s="20">
        <f t="shared" si="9"/>
        <v>76.8</v>
      </c>
      <c r="AZ13" s="20">
        <f t="shared" si="10"/>
        <v>67.3</v>
      </c>
      <c r="BA13" s="39">
        <f t="shared" si="11"/>
        <v>3.5999999999999943</v>
      </c>
    </row>
    <row r="14" spans="1:53" ht="34.5" customHeight="1">
      <c r="A14" s="12" t="s">
        <v>11</v>
      </c>
      <c r="B14" s="57" t="s">
        <v>88</v>
      </c>
      <c r="C14" s="84">
        <v>-0.6</v>
      </c>
      <c r="D14" s="35">
        <v>0.4</v>
      </c>
      <c r="E14" s="35">
        <v>0</v>
      </c>
      <c r="F14" s="10">
        <f t="shared" si="12"/>
        <v>0</v>
      </c>
      <c r="G14" s="35">
        <v>3</v>
      </c>
      <c r="H14" s="35">
        <v>3</v>
      </c>
      <c r="I14" s="10">
        <f t="shared" si="6"/>
        <v>100</v>
      </c>
      <c r="J14" s="35">
        <v>3</v>
      </c>
      <c r="K14" s="35">
        <v>3</v>
      </c>
      <c r="L14" s="10">
        <f t="shared" si="21"/>
        <v>100</v>
      </c>
      <c r="M14" s="71">
        <f t="shared" si="13"/>
        <v>6.4</v>
      </c>
      <c r="N14" s="71">
        <f t="shared" si="14"/>
        <v>6</v>
      </c>
      <c r="O14" s="10">
        <f t="shared" si="1"/>
        <v>93.75</v>
      </c>
      <c r="P14" s="35">
        <v>3.1</v>
      </c>
      <c r="Q14" s="35">
        <v>2.9</v>
      </c>
      <c r="R14" s="10">
        <f t="shared" si="7"/>
        <v>93.54838709677419</v>
      </c>
      <c r="S14" s="35">
        <v>3</v>
      </c>
      <c r="T14" s="35">
        <v>3.1</v>
      </c>
      <c r="U14" s="10">
        <f t="shared" si="8"/>
        <v>103.33333333333334</v>
      </c>
      <c r="V14" s="35">
        <v>3</v>
      </c>
      <c r="W14" s="35">
        <v>3</v>
      </c>
      <c r="X14" s="10">
        <f t="shared" si="22"/>
        <v>100</v>
      </c>
      <c r="Y14" s="71">
        <f t="shared" si="23"/>
        <v>9.1</v>
      </c>
      <c r="Z14" s="71">
        <f t="shared" si="24"/>
        <v>9</v>
      </c>
      <c r="AA14" s="10">
        <f t="shared" si="25"/>
        <v>98.9010989010989</v>
      </c>
      <c r="AB14" s="35">
        <v>3.1</v>
      </c>
      <c r="AC14" s="35">
        <v>3</v>
      </c>
      <c r="AD14" s="10">
        <f t="shared" si="2"/>
        <v>96.77419354838709</v>
      </c>
      <c r="AE14" s="35">
        <v>3</v>
      </c>
      <c r="AF14" s="35">
        <v>3.2</v>
      </c>
      <c r="AG14" s="10">
        <f t="shared" si="3"/>
        <v>106.66666666666667</v>
      </c>
      <c r="AH14" s="35">
        <v>3.1</v>
      </c>
      <c r="AI14" s="35">
        <v>2.9</v>
      </c>
      <c r="AJ14" s="10">
        <f t="shared" si="4"/>
        <v>93.54838709677419</v>
      </c>
      <c r="AK14" s="71">
        <f t="shared" si="15"/>
        <v>9.2</v>
      </c>
      <c r="AL14" s="71">
        <f t="shared" si="16"/>
        <v>9.1</v>
      </c>
      <c r="AM14" s="10">
        <f t="shared" si="26"/>
        <v>98.91304347826087</v>
      </c>
      <c r="AN14" s="35"/>
      <c r="AO14" s="35"/>
      <c r="AP14" s="35"/>
      <c r="AQ14" s="35"/>
      <c r="AR14" s="35"/>
      <c r="AS14" s="35"/>
      <c r="AT14" s="58">
        <f t="shared" si="17"/>
        <v>24.7</v>
      </c>
      <c r="AU14" s="58">
        <f t="shared" si="18"/>
        <v>24.1</v>
      </c>
      <c r="AV14" s="10">
        <f t="shared" si="5"/>
        <v>97.57085020242916</v>
      </c>
      <c r="AW14" s="58">
        <f t="shared" si="19"/>
        <v>0.5999999999999979</v>
      </c>
      <c r="AX14" s="16">
        <f t="shared" si="20"/>
        <v>0</v>
      </c>
      <c r="AY14" s="20">
        <f t="shared" si="9"/>
        <v>24.700000000000003</v>
      </c>
      <c r="AZ14" s="20">
        <f t="shared" si="10"/>
        <v>24.099999999999998</v>
      </c>
      <c r="BA14" s="39">
        <f t="shared" si="11"/>
        <v>0</v>
      </c>
    </row>
    <row r="15" spans="1:53" ht="34.5" customHeight="1">
      <c r="A15" s="12" t="s">
        <v>12</v>
      </c>
      <c r="B15" s="57" t="s">
        <v>53</v>
      </c>
      <c r="C15" s="84">
        <v>-1.6</v>
      </c>
      <c r="D15" s="35">
        <v>5.7</v>
      </c>
      <c r="E15" s="35">
        <v>0</v>
      </c>
      <c r="F15" s="10">
        <f t="shared" si="12"/>
        <v>0</v>
      </c>
      <c r="G15" s="35">
        <v>11.4</v>
      </c>
      <c r="H15" s="35">
        <v>11.1</v>
      </c>
      <c r="I15" s="10">
        <f t="shared" si="6"/>
        <v>97.36842105263158</v>
      </c>
      <c r="J15" s="35">
        <v>16</v>
      </c>
      <c r="K15" s="35">
        <v>17.5</v>
      </c>
      <c r="L15" s="10">
        <f t="shared" si="21"/>
        <v>109.375</v>
      </c>
      <c r="M15" s="71">
        <f t="shared" si="13"/>
        <v>33.1</v>
      </c>
      <c r="N15" s="71">
        <f t="shared" si="14"/>
        <v>28.6</v>
      </c>
      <c r="O15" s="10">
        <f t="shared" si="1"/>
        <v>86.404833836858</v>
      </c>
      <c r="P15" s="35">
        <v>9</v>
      </c>
      <c r="Q15" s="35">
        <v>8.7</v>
      </c>
      <c r="R15" s="10">
        <f t="shared" si="7"/>
        <v>96.66666666666666</v>
      </c>
      <c r="S15" s="35">
        <v>8.6</v>
      </c>
      <c r="T15" s="35">
        <v>8.9</v>
      </c>
      <c r="U15" s="10">
        <f t="shared" si="8"/>
        <v>103.48837209302326</v>
      </c>
      <c r="V15" s="35">
        <v>12.9</v>
      </c>
      <c r="W15" s="35">
        <v>5.6</v>
      </c>
      <c r="X15" s="10">
        <f t="shared" si="22"/>
        <v>43.410852713178286</v>
      </c>
      <c r="Y15" s="71">
        <f t="shared" si="23"/>
        <v>30.5</v>
      </c>
      <c r="Z15" s="71">
        <f t="shared" si="24"/>
        <v>23.200000000000003</v>
      </c>
      <c r="AA15" s="10">
        <f t="shared" si="25"/>
        <v>76.06557377049181</v>
      </c>
      <c r="AB15" s="35">
        <v>8.7</v>
      </c>
      <c r="AC15" s="35">
        <v>16.8</v>
      </c>
      <c r="AD15" s="10">
        <f t="shared" si="2"/>
        <v>193.1034482758621</v>
      </c>
      <c r="AE15" s="35">
        <v>7.4</v>
      </c>
      <c r="AF15" s="35">
        <v>7.5</v>
      </c>
      <c r="AG15" s="10">
        <f t="shared" si="3"/>
        <v>101.35135135135134</v>
      </c>
      <c r="AH15" s="35">
        <v>13.2</v>
      </c>
      <c r="AI15" s="35">
        <v>16.5</v>
      </c>
      <c r="AJ15" s="10">
        <f t="shared" si="4"/>
        <v>125</v>
      </c>
      <c r="AK15" s="71">
        <f t="shared" si="15"/>
        <v>29.3</v>
      </c>
      <c r="AL15" s="71">
        <f t="shared" si="16"/>
        <v>40.8</v>
      </c>
      <c r="AM15" s="10">
        <f t="shared" si="26"/>
        <v>139.24914675767917</v>
      </c>
      <c r="AN15" s="35"/>
      <c r="AO15" s="35"/>
      <c r="AP15" s="35"/>
      <c r="AQ15" s="35"/>
      <c r="AR15" s="35"/>
      <c r="AS15" s="35"/>
      <c r="AT15" s="58">
        <f t="shared" si="17"/>
        <v>92.9</v>
      </c>
      <c r="AU15" s="58">
        <f t="shared" si="18"/>
        <v>92.6</v>
      </c>
      <c r="AV15" s="10">
        <f t="shared" si="5"/>
        <v>99.67707212055973</v>
      </c>
      <c r="AW15" s="58">
        <f t="shared" si="19"/>
        <v>0.30000000000001137</v>
      </c>
      <c r="AX15" s="16">
        <f t="shared" si="20"/>
        <v>-1.299999999999983</v>
      </c>
      <c r="AY15" s="20">
        <f t="shared" si="9"/>
        <v>92.9</v>
      </c>
      <c r="AZ15" s="20">
        <f t="shared" si="10"/>
        <v>92.6</v>
      </c>
      <c r="BA15" s="39">
        <f t="shared" si="11"/>
        <v>-1.299999999999983</v>
      </c>
    </row>
    <row r="16" spans="1:53" ht="34.5" customHeight="1">
      <c r="A16" s="12" t="s">
        <v>13</v>
      </c>
      <c r="B16" s="57" t="s">
        <v>54</v>
      </c>
      <c r="C16" s="90">
        <v>0.2</v>
      </c>
      <c r="D16" s="35">
        <v>1.1</v>
      </c>
      <c r="E16" s="35">
        <v>0.1</v>
      </c>
      <c r="F16" s="10">
        <f t="shared" si="12"/>
        <v>9.090909090909092</v>
      </c>
      <c r="G16" s="35">
        <v>1.1</v>
      </c>
      <c r="H16" s="35">
        <v>0.6</v>
      </c>
      <c r="I16" s="10">
        <f t="shared" si="6"/>
        <v>54.54545454545454</v>
      </c>
      <c r="J16" s="35">
        <v>1</v>
      </c>
      <c r="K16" s="35">
        <v>1</v>
      </c>
      <c r="L16" s="10">
        <f t="shared" si="21"/>
        <v>100</v>
      </c>
      <c r="M16" s="71">
        <f t="shared" si="13"/>
        <v>3.2</v>
      </c>
      <c r="N16" s="71">
        <f t="shared" si="14"/>
        <v>1.7</v>
      </c>
      <c r="O16" s="10">
        <f t="shared" si="1"/>
        <v>53.125</v>
      </c>
      <c r="P16" s="35">
        <v>1.2</v>
      </c>
      <c r="Q16" s="35">
        <v>1.1</v>
      </c>
      <c r="R16" s="10">
        <f t="shared" si="7"/>
        <v>91.66666666666667</v>
      </c>
      <c r="S16" s="35">
        <v>1</v>
      </c>
      <c r="T16" s="35">
        <v>1</v>
      </c>
      <c r="U16" s="10">
        <f t="shared" si="8"/>
        <v>100</v>
      </c>
      <c r="V16" s="35">
        <v>1</v>
      </c>
      <c r="W16" s="35">
        <v>0.7</v>
      </c>
      <c r="X16" s="10">
        <f t="shared" si="22"/>
        <v>70</v>
      </c>
      <c r="Y16" s="71">
        <f t="shared" si="23"/>
        <v>3.2</v>
      </c>
      <c r="Z16" s="71">
        <f t="shared" si="24"/>
        <v>2.8</v>
      </c>
      <c r="AA16" s="10">
        <f t="shared" si="25"/>
        <v>87.49999999999999</v>
      </c>
      <c r="AB16" s="35">
        <v>1</v>
      </c>
      <c r="AC16" s="35">
        <v>1.5</v>
      </c>
      <c r="AD16" s="10">
        <f t="shared" si="2"/>
        <v>150</v>
      </c>
      <c r="AE16" s="35">
        <v>3.2</v>
      </c>
      <c r="AF16" s="35">
        <v>1.5</v>
      </c>
      <c r="AG16" s="10">
        <f t="shared" si="3"/>
        <v>46.875</v>
      </c>
      <c r="AH16" s="35">
        <v>3.6</v>
      </c>
      <c r="AI16" s="35">
        <v>2.8</v>
      </c>
      <c r="AJ16" s="10">
        <f t="shared" si="4"/>
        <v>77.77777777777777</v>
      </c>
      <c r="AK16" s="71">
        <f t="shared" si="15"/>
        <v>7.800000000000001</v>
      </c>
      <c r="AL16" s="71">
        <f t="shared" si="16"/>
        <v>5.8</v>
      </c>
      <c r="AM16" s="10">
        <f t="shared" si="26"/>
        <v>74.35897435897435</v>
      </c>
      <c r="AN16" s="35"/>
      <c r="AO16" s="35"/>
      <c r="AP16" s="35"/>
      <c r="AQ16" s="35"/>
      <c r="AR16" s="35"/>
      <c r="AS16" s="35"/>
      <c r="AT16" s="58">
        <f t="shared" si="17"/>
        <v>14.200000000000001</v>
      </c>
      <c r="AU16" s="58">
        <f t="shared" si="18"/>
        <v>10.3</v>
      </c>
      <c r="AV16" s="10">
        <f t="shared" si="5"/>
        <v>72.53521126760563</v>
      </c>
      <c r="AW16" s="58">
        <f t="shared" si="19"/>
        <v>3.9000000000000004</v>
      </c>
      <c r="AX16" s="16">
        <f t="shared" si="20"/>
        <v>4.1</v>
      </c>
      <c r="AY16" s="20">
        <f t="shared" si="9"/>
        <v>14.200000000000001</v>
      </c>
      <c r="AZ16" s="20">
        <f t="shared" si="10"/>
        <v>10.3</v>
      </c>
      <c r="BA16" s="39">
        <f t="shared" si="11"/>
        <v>4.1</v>
      </c>
    </row>
    <row r="17" spans="1:53" ht="34.5" customHeight="1">
      <c r="A17" s="12" t="s">
        <v>14</v>
      </c>
      <c r="B17" s="61" t="s">
        <v>89</v>
      </c>
      <c r="C17" s="90">
        <v>-0.4</v>
      </c>
      <c r="D17" s="35">
        <f>0.1+0.6</f>
        <v>0.7</v>
      </c>
      <c r="E17" s="35">
        <v>0.6</v>
      </c>
      <c r="F17" s="10">
        <f t="shared" si="12"/>
        <v>85.71428571428572</v>
      </c>
      <c r="G17" s="35">
        <v>0.7</v>
      </c>
      <c r="H17" s="35">
        <v>0.6</v>
      </c>
      <c r="I17" s="10">
        <f t="shared" si="6"/>
        <v>85.71428571428572</v>
      </c>
      <c r="J17" s="35">
        <f>0.2+0.6</f>
        <v>0.8</v>
      </c>
      <c r="K17" s="35">
        <f>1+0.6</f>
        <v>1.6</v>
      </c>
      <c r="L17" s="10">
        <f t="shared" si="21"/>
        <v>200</v>
      </c>
      <c r="M17" s="71">
        <f t="shared" si="13"/>
        <v>2.2</v>
      </c>
      <c r="N17" s="71">
        <f t="shared" si="14"/>
        <v>2.8</v>
      </c>
      <c r="O17" s="10">
        <f t="shared" si="1"/>
        <v>127.27272727272725</v>
      </c>
      <c r="P17" s="35">
        <v>0.7</v>
      </c>
      <c r="Q17" s="35">
        <v>0.7</v>
      </c>
      <c r="R17" s="10">
        <f t="shared" si="7"/>
        <v>100</v>
      </c>
      <c r="S17" s="35">
        <v>0.8</v>
      </c>
      <c r="T17" s="35">
        <v>0.7</v>
      </c>
      <c r="U17" s="10">
        <f t="shared" si="8"/>
        <v>87.49999999999999</v>
      </c>
      <c r="V17" s="35">
        <f>0.6+0.2</f>
        <v>0.8</v>
      </c>
      <c r="W17" s="35">
        <v>0.6</v>
      </c>
      <c r="X17" s="10">
        <f t="shared" si="22"/>
        <v>74.99999999999999</v>
      </c>
      <c r="Y17" s="71">
        <f t="shared" si="23"/>
        <v>2.3</v>
      </c>
      <c r="Z17" s="71">
        <f t="shared" si="24"/>
        <v>2</v>
      </c>
      <c r="AA17" s="10">
        <f t="shared" si="25"/>
        <v>86.95652173913044</v>
      </c>
      <c r="AB17" s="35">
        <f>0.2+0.6</f>
        <v>0.8</v>
      </c>
      <c r="AC17" s="35">
        <f>0.1+0.6</f>
        <v>0.7</v>
      </c>
      <c r="AD17" s="10">
        <f t="shared" si="2"/>
        <v>87.49999999999999</v>
      </c>
      <c r="AE17" s="35">
        <f>0.2+0.6</f>
        <v>0.8</v>
      </c>
      <c r="AF17" s="35">
        <f>0.2+0.6</f>
        <v>0.8</v>
      </c>
      <c r="AG17" s="10">
        <f t="shared" si="3"/>
        <v>100</v>
      </c>
      <c r="AH17" s="35">
        <f>0.6+0.2</f>
        <v>0.8</v>
      </c>
      <c r="AI17" s="35">
        <f>0.6+0.1</f>
        <v>0.7</v>
      </c>
      <c r="AJ17" s="10">
        <f t="shared" si="4"/>
        <v>87.49999999999999</v>
      </c>
      <c r="AK17" s="71">
        <f t="shared" si="15"/>
        <v>2.4000000000000004</v>
      </c>
      <c r="AL17" s="71">
        <f t="shared" si="16"/>
        <v>2.2</v>
      </c>
      <c r="AM17" s="10">
        <f t="shared" si="26"/>
        <v>91.66666666666666</v>
      </c>
      <c r="AN17" s="35"/>
      <c r="AO17" s="35"/>
      <c r="AP17" s="35"/>
      <c r="AQ17" s="35"/>
      <c r="AR17" s="35"/>
      <c r="AS17" s="35"/>
      <c r="AT17" s="58">
        <f t="shared" si="17"/>
        <v>6.9</v>
      </c>
      <c r="AU17" s="58">
        <f t="shared" si="18"/>
        <v>7</v>
      </c>
      <c r="AV17" s="10">
        <f t="shared" si="5"/>
        <v>101.44927536231883</v>
      </c>
      <c r="AW17" s="58">
        <f t="shared" si="19"/>
        <v>-0.09999999999999964</v>
      </c>
      <c r="AX17" s="16">
        <f t="shared" si="20"/>
        <v>-0.5</v>
      </c>
      <c r="AY17" s="20">
        <f t="shared" si="9"/>
        <v>6.8999999999999995</v>
      </c>
      <c r="AZ17" s="20">
        <f t="shared" si="10"/>
        <v>7</v>
      </c>
      <c r="BA17" s="39">
        <f t="shared" si="11"/>
        <v>-0.5000000000000009</v>
      </c>
    </row>
    <row r="18" spans="1:53" ht="34.5" customHeight="1">
      <c r="A18" s="12" t="s">
        <v>15</v>
      </c>
      <c r="B18" s="61" t="s">
        <v>55</v>
      </c>
      <c r="C18" s="84">
        <v>0.2</v>
      </c>
      <c r="D18" s="35">
        <v>2.8</v>
      </c>
      <c r="E18" s="35">
        <v>0</v>
      </c>
      <c r="F18" s="10">
        <f t="shared" si="12"/>
        <v>0</v>
      </c>
      <c r="G18" s="35">
        <v>2.9</v>
      </c>
      <c r="H18" s="35">
        <v>2.9</v>
      </c>
      <c r="I18" s="10">
        <f t="shared" si="6"/>
        <v>100</v>
      </c>
      <c r="J18" s="35">
        <v>2</v>
      </c>
      <c r="K18" s="35">
        <v>2.7</v>
      </c>
      <c r="L18" s="10">
        <f t="shared" si="21"/>
        <v>135</v>
      </c>
      <c r="M18" s="71">
        <f t="shared" si="13"/>
        <v>7.699999999999999</v>
      </c>
      <c r="N18" s="71">
        <f t="shared" si="14"/>
        <v>5.6</v>
      </c>
      <c r="O18" s="10">
        <f t="shared" si="1"/>
        <v>72.72727272727273</v>
      </c>
      <c r="P18" s="35">
        <v>2.4</v>
      </c>
      <c r="Q18" s="35">
        <v>1.7</v>
      </c>
      <c r="R18" s="10">
        <f t="shared" si="7"/>
        <v>70.83333333333334</v>
      </c>
      <c r="S18" s="35">
        <v>1.9</v>
      </c>
      <c r="T18" s="35">
        <v>1.9</v>
      </c>
      <c r="U18" s="10">
        <f t="shared" si="8"/>
        <v>100</v>
      </c>
      <c r="V18" s="35">
        <v>2.5</v>
      </c>
      <c r="W18" s="35">
        <v>2.8</v>
      </c>
      <c r="X18" s="10">
        <f t="shared" si="22"/>
        <v>111.99999999999999</v>
      </c>
      <c r="Y18" s="71">
        <f t="shared" si="23"/>
        <v>6.8</v>
      </c>
      <c r="Z18" s="71">
        <f t="shared" si="24"/>
        <v>6.3999999999999995</v>
      </c>
      <c r="AA18" s="10">
        <f t="shared" si="25"/>
        <v>94.11764705882352</v>
      </c>
      <c r="AB18" s="35">
        <v>2.9</v>
      </c>
      <c r="AC18" s="35">
        <v>4.6</v>
      </c>
      <c r="AD18" s="10">
        <f t="shared" si="2"/>
        <v>158.62068965517238</v>
      </c>
      <c r="AE18" s="35">
        <v>2.6</v>
      </c>
      <c r="AF18" s="35">
        <v>3</v>
      </c>
      <c r="AG18" s="10">
        <f t="shared" si="3"/>
        <v>115.38461538461537</v>
      </c>
      <c r="AH18" s="35">
        <v>2.4</v>
      </c>
      <c r="AI18" s="35">
        <v>2.4</v>
      </c>
      <c r="AJ18" s="10">
        <f t="shared" si="4"/>
        <v>100</v>
      </c>
      <c r="AK18" s="71">
        <f t="shared" si="15"/>
        <v>7.9</v>
      </c>
      <c r="AL18" s="71">
        <f t="shared" si="16"/>
        <v>10</v>
      </c>
      <c r="AM18" s="10">
        <f t="shared" si="26"/>
        <v>126.58227848101265</v>
      </c>
      <c r="AN18" s="35"/>
      <c r="AO18" s="35"/>
      <c r="AP18" s="35"/>
      <c r="AQ18" s="35"/>
      <c r="AR18" s="35"/>
      <c r="AS18" s="35"/>
      <c r="AT18" s="58">
        <f t="shared" si="17"/>
        <v>22.4</v>
      </c>
      <c r="AU18" s="58">
        <f t="shared" si="18"/>
        <v>22</v>
      </c>
      <c r="AV18" s="10">
        <f t="shared" si="5"/>
        <v>98.21428571428572</v>
      </c>
      <c r="AW18" s="58">
        <f t="shared" si="19"/>
        <v>0.3999999999999986</v>
      </c>
      <c r="AX18" s="16">
        <f t="shared" si="20"/>
        <v>0.5999999999999979</v>
      </c>
      <c r="AY18" s="20">
        <f t="shared" si="9"/>
        <v>22.4</v>
      </c>
      <c r="AZ18" s="20">
        <f t="shared" si="10"/>
        <v>22</v>
      </c>
      <c r="BA18" s="39">
        <f t="shared" si="11"/>
        <v>0.5999999999999979</v>
      </c>
    </row>
    <row r="19" spans="1:53" ht="34.5" customHeight="1">
      <c r="A19" s="12" t="s">
        <v>16</v>
      </c>
      <c r="B19" s="57" t="s">
        <v>56</v>
      </c>
      <c r="C19" s="84">
        <v>1</v>
      </c>
      <c r="D19" s="35">
        <v>5.3</v>
      </c>
      <c r="E19" s="35">
        <v>0.3</v>
      </c>
      <c r="F19" s="10">
        <f t="shared" si="12"/>
        <v>5.660377358490567</v>
      </c>
      <c r="G19" s="35">
        <v>5.4</v>
      </c>
      <c r="H19" s="35">
        <v>5.1</v>
      </c>
      <c r="I19" s="10">
        <f t="shared" si="6"/>
        <v>94.44444444444443</v>
      </c>
      <c r="J19" s="35">
        <v>5</v>
      </c>
      <c r="K19" s="35">
        <v>8.6</v>
      </c>
      <c r="L19" s="10">
        <f t="shared" si="21"/>
        <v>172</v>
      </c>
      <c r="M19" s="71">
        <f t="shared" si="13"/>
        <v>15.7</v>
      </c>
      <c r="N19" s="71">
        <f t="shared" si="14"/>
        <v>14</v>
      </c>
      <c r="O19" s="10">
        <f t="shared" si="1"/>
        <v>89.171974522293</v>
      </c>
      <c r="P19" s="35">
        <v>5.7</v>
      </c>
      <c r="Q19" s="35">
        <v>5.2</v>
      </c>
      <c r="R19" s="10">
        <f t="shared" si="7"/>
        <v>91.22807017543859</v>
      </c>
      <c r="S19" s="35">
        <v>7.2</v>
      </c>
      <c r="T19" s="35">
        <v>4.3</v>
      </c>
      <c r="U19" s="10">
        <f t="shared" si="8"/>
        <v>59.72222222222222</v>
      </c>
      <c r="V19" s="35">
        <v>9.4</v>
      </c>
      <c r="W19" s="35">
        <v>11.7</v>
      </c>
      <c r="X19" s="102">
        <f t="shared" si="22"/>
        <v>124.46808510638296</v>
      </c>
      <c r="Y19" s="71">
        <f t="shared" si="23"/>
        <v>22.3</v>
      </c>
      <c r="Z19" s="71">
        <f t="shared" si="24"/>
        <v>21.2</v>
      </c>
      <c r="AA19" s="10">
        <f t="shared" si="25"/>
        <v>95.06726457399103</v>
      </c>
      <c r="AB19" s="35">
        <v>10.1</v>
      </c>
      <c r="AC19" s="35">
        <v>6.1</v>
      </c>
      <c r="AD19" s="10">
        <f t="shared" si="2"/>
        <v>60.396039603960396</v>
      </c>
      <c r="AE19" s="35">
        <v>8.9</v>
      </c>
      <c r="AF19" s="35">
        <v>6.7</v>
      </c>
      <c r="AG19" s="10">
        <f t="shared" si="3"/>
        <v>75.28089887640449</v>
      </c>
      <c r="AH19" s="35">
        <v>7</v>
      </c>
      <c r="AI19" s="35">
        <v>7.3</v>
      </c>
      <c r="AJ19" s="10">
        <f t="shared" si="4"/>
        <v>104.28571428571429</v>
      </c>
      <c r="AK19" s="71">
        <f t="shared" si="15"/>
        <v>26</v>
      </c>
      <c r="AL19" s="71">
        <f t="shared" si="16"/>
        <v>20.1</v>
      </c>
      <c r="AM19" s="10">
        <f t="shared" si="26"/>
        <v>77.3076923076923</v>
      </c>
      <c r="AN19" s="35"/>
      <c r="AO19" s="35"/>
      <c r="AP19" s="35"/>
      <c r="AQ19" s="35"/>
      <c r="AR19" s="35"/>
      <c r="AS19" s="35"/>
      <c r="AT19" s="58">
        <f t="shared" si="17"/>
        <v>64</v>
      </c>
      <c r="AU19" s="58">
        <f t="shared" si="18"/>
        <v>55.300000000000004</v>
      </c>
      <c r="AV19" s="10">
        <f t="shared" si="5"/>
        <v>86.40625</v>
      </c>
      <c r="AW19" s="58">
        <f t="shared" si="19"/>
        <v>8.699999999999996</v>
      </c>
      <c r="AX19" s="16">
        <f t="shared" si="20"/>
        <v>9.699999999999996</v>
      </c>
      <c r="AY19" s="20">
        <f t="shared" si="9"/>
        <v>64</v>
      </c>
      <c r="AZ19" s="20">
        <f t="shared" si="10"/>
        <v>55.300000000000004</v>
      </c>
      <c r="BA19" s="39">
        <f t="shared" si="11"/>
        <v>9.699999999999996</v>
      </c>
    </row>
    <row r="20" spans="1:53" ht="34.5" customHeight="1">
      <c r="A20" s="12" t="s">
        <v>17</v>
      </c>
      <c r="B20" s="61" t="s">
        <v>57</v>
      </c>
      <c r="C20" s="91"/>
      <c r="D20" s="35"/>
      <c r="E20" s="35"/>
      <c r="F20" s="85" t="e">
        <f t="shared" si="12"/>
        <v>#DIV/0!</v>
      </c>
      <c r="G20" s="123"/>
      <c r="H20" s="123"/>
      <c r="I20" s="85" t="e">
        <f t="shared" si="6"/>
        <v>#DIV/0!</v>
      </c>
      <c r="J20" s="123"/>
      <c r="K20" s="123"/>
      <c r="L20" s="85"/>
      <c r="M20" s="124"/>
      <c r="N20" s="124"/>
      <c r="O20" s="85"/>
      <c r="P20" s="123"/>
      <c r="Q20" s="123"/>
      <c r="R20" s="85" t="e">
        <f t="shared" si="7"/>
        <v>#DIV/0!</v>
      </c>
      <c r="S20" s="123"/>
      <c r="T20" s="123"/>
      <c r="U20" s="85" t="e">
        <f t="shared" si="8"/>
        <v>#DIV/0!</v>
      </c>
      <c r="V20" s="123"/>
      <c r="W20" s="123"/>
      <c r="X20" s="85"/>
      <c r="Y20" s="124"/>
      <c r="Z20" s="124"/>
      <c r="AA20" s="85"/>
      <c r="AB20" s="123"/>
      <c r="AC20" s="123"/>
      <c r="AD20" s="85" t="e">
        <f t="shared" si="2"/>
        <v>#DIV/0!</v>
      </c>
      <c r="AE20" s="123"/>
      <c r="AF20" s="123"/>
      <c r="AG20" s="85" t="e">
        <f t="shared" si="3"/>
        <v>#DIV/0!</v>
      </c>
      <c r="AH20" s="123"/>
      <c r="AI20" s="123"/>
      <c r="AJ20" s="10"/>
      <c r="AK20" s="124"/>
      <c r="AL20" s="124"/>
      <c r="AM20" s="85"/>
      <c r="AN20" s="123"/>
      <c r="AO20" s="123"/>
      <c r="AP20" s="123"/>
      <c r="AQ20" s="123"/>
      <c r="AR20" s="123"/>
      <c r="AS20" s="123"/>
      <c r="AT20" s="124">
        <f t="shared" si="17"/>
        <v>0</v>
      </c>
      <c r="AU20" s="124">
        <f t="shared" si="18"/>
        <v>0</v>
      </c>
      <c r="AV20" s="85" t="e">
        <f t="shared" si="5"/>
        <v>#DIV/0!</v>
      </c>
      <c r="AW20" s="124">
        <f t="shared" si="19"/>
        <v>0</v>
      </c>
      <c r="AX20" s="125">
        <f t="shared" si="20"/>
        <v>0</v>
      </c>
      <c r="AY20" s="20">
        <f t="shared" si="9"/>
        <v>0</v>
      </c>
      <c r="AZ20" s="20">
        <f t="shared" si="10"/>
        <v>0</v>
      </c>
      <c r="BA20" s="39">
        <f t="shared" si="11"/>
        <v>0</v>
      </c>
    </row>
    <row r="21" spans="1:53" ht="34.5" customHeight="1">
      <c r="A21" s="12" t="s">
        <v>18</v>
      </c>
      <c r="B21" s="61" t="s">
        <v>58</v>
      </c>
      <c r="C21" s="88">
        <v>0</v>
      </c>
      <c r="D21" s="35">
        <v>0.5</v>
      </c>
      <c r="E21" s="35">
        <v>0.5</v>
      </c>
      <c r="F21" s="10">
        <f t="shared" si="12"/>
        <v>100</v>
      </c>
      <c r="G21" s="35">
        <v>0.4</v>
      </c>
      <c r="H21" s="35">
        <v>0.4</v>
      </c>
      <c r="I21" s="10">
        <f t="shared" si="6"/>
        <v>100</v>
      </c>
      <c r="J21" s="35">
        <v>0</v>
      </c>
      <c r="K21" s="35">
        <v>0</v>
      </c>
      <c r="L21" s="85" t="e">
        <f>K21/J21*100</f>
        <v>#DIV/0!</v>
      </c>
      <c r="M21" s="71">
        <f t="shared" si="13"/>
        <v>0.9</v>
      </c>
      <c r="N21" s="71">
        <f t="shared" si="14"/>
        <v>0.9</v>
      </c>
      <c r="O21" s="10">
        <f t="shared" si="1"/>
        <v>100</v>
      </c>
      <c r="P21" s="35">
        <v>0</v>
      </c>
      <c r="Q21" s="35">
        <v>0</v>
      </c>
      <c r="R21" s="85" t="e">
        <f t="shared" si="7"/>
        <v>#DIV/0!</v>
      </c>
      <c r="S21" s="35">
        <v>0.1</v>
      </c>
      <c r="T21" s="35">
        <v>0.1</v>
      </c>
      <c r="U21" s="10">
        <f t="shared" si="8"/>
        <v>100</v>
      </c>
      <c r="V21" s="35">
        <v>0.1</v>
      </c>
      <c r="W21" s="35">
        <v>0.1</v>
      </c>
      <c r="X21" s="102">
        <f>W21/V21*100</f>
        <v>100</v>
      </c>
      <c r="Y21" s="71">
        <f aca="true" t="shared" si="27" ref="Y21:Z25">P21+S21+V21</f>
        <v>0.2</v>
      </c>
      <c r="Z21" s="71">
        <f t="shared" si="27"/>
        <v>0.2</v>
      </c>
      <c r="AA21" s="10">
        <f>Z21/Y21*100</f>
        <v>100</v>
      </c>
      <c r="AB21" s="35">
        <v>0.1</v>
      </c>
      <c r="AC21" s="35">
        <v>0.1</v>
      </c>
      <c r="AD21" s="10">
        <f t="shared" si="2"/>
        <v>100</v>
      </c>
      <c r="AE21" s="35">
        <v>0.1</v>
      </c>
      <c r="AF21" s="35">
        <v>0.1</v>
      </c>
      <c r="AG21" s="10">
        <f t="shared" si="3"/>
        <v>100</v>
      </c>
      <c r="AH21" s="35">
        <v>0.1</v>
      </c>
      <c r="AI21" s="35">
        <v>0.1</v>
      </c>
      <c r="AJ21" s="10">
        <f t="shared" si="4"/>
        <v>100</v>
      </c>
      <c r="AK21" s="71">
        <f t="shared" si="15"/>
        <v>0.30000000000000004</v>
      </c>
      <c r="AL21" s="71">
        <f t="shared" si="16"/>
        <v>0.30000000000000004</v>
      </c>
      <c r="AM21" s="10">
        <f>AL21/AK21*100</f>
        <v>100</v>
      </c>
      <c r="AN21" s="35"/>
      <c r="AO21" s="35"/>
      <c r="AP21" s="35"/>
      <c r="AQ21" s="35"/>
      <c r="AR21" s="35"/>
      <c r="AS21" s="35"/>
      <c r="AT21" s="58">
        <f t="shared" si="17"/>
        <v>1.4000000000000001</v>
      </c>
      <c r="AU21" s="58">
        <f t="shared" si="18"/>
        <v>1.4000000000000001</v>
      </c>
      <c r="AV21" s="10">
        <f t="shared" si="5"/>
        <v>100</v>
      </c>
      <c r="AW21" s="58">
        <f t="shared" si="19"/>
        <v>0</v>
      </c>
      <c r="AX21" s="16">
        <f t="shared" si="20"/>
        <v>0</v>
      </c>
      <c r="AY21" s="20">
        <f t="shared" si="9"/>
        <v>1.4000000000000004</v>
      </c>
      <c r="AZ21" s="20">
        <f t="shared" si="10"/>
        <v>1.4000000000000004</v>
      </c>
      <c r="BA21" s="39">
        <f t="shared" si="11"/>
        <v>0</v>
      </c>
    </row>
    <row r="22" spans="1:53" ht="34.5" customHeight="1">
      <c r="A22" s="12" t="s">
        <v>19</v>
      </c>
      <c r="B22" s="61" t="s">
        <v>41</v>
      </c>
      <c r="C22" s="92">
        <v>-3.3</v>
      </c>
      <c r="D22" s="35">
        <v>3.9</v>
      </c>
      <c r="E22" s="35">
        <v>2.9</v>
      </c>
      <c r="F22" s="10">
        <f t="shared" si="12"/>
        <v>74.35897435897436</v>
      </c>
      <c r="G22" s="35">
        <v>3.9</v>
      </c>
      <c r="H22" s="35">
        <v>2.9</v>
      </c>
      <c r="I22" s="10">
        <f t="shared" si="6"/>
        <v>74.35897435897436</v>
      </c>
      <c r="J22" s="35">
        <v>3.9</v>
      </c>
      <c r="K22" s="35">
        <v>1.6</v>
      </c>
      <c r="L22" s="10">
        <f>K22/J22*100</f>
        <v>41.02564102564103</v>
      </c>
      <c r="M22" s="71">
        <f t="shared" si="13"/>
        <v>11.7</v>
      </c>
      <c r="N22" s="71">
        <f t="shared" si="14"/>
        <v>7.4</v>
      </c>
      <c r="O22" s="10">
        <f t="shared" si="1"/>
        <v>63.24786324786326</v>
      </c>
      <c r="P22" s="35">
        <v>1.6</v>
      </c>
      <c r="Q22" s="35">
        <v>3.2</v>
      </c>
      <c r="R22" s="10">
        <f t="shared" si="7"/>
        <v>200</v>
      </c>
      <c r="S22" s="35">
        <v>4.7</v>
      </c>
      <c r="T22" s="35">
        <v>4.1</v>
      </c>
      <c r="U22" s="10">
        <f t="shared" si="8"/>
        <v>87.23404255319149</v>
      </c>
      <c r="V22" s="35">
        <v>6.4</v>
      </c>
      <c r="W22" s="35">
        <v>4.8</v>
      </c>
      <c r="X22" s="102">
        <f>W22/V22*100</f>
        <v>74.99999999999999</v>
      </c>
      <c r="Y22" s="71">
        <f t="shared" si="27"/>
        <v>12.700000000000001</v>
      </c>
      <c r="Z22" s="71">
        <f t="shared" si="27"/>
        <v>12.1</v>
      </c>
      <c r="AA22" s="10">
        <f>Z22/Y22*100</f>
        <v>95.27559055118108</v>
      </c>
      <c r="AB22" s="35">
        <v>5.9</v>
      </c>
      <c r="AC22" s="35">
        <v>3.7</v>
      </c>
      <c r="AD22" s="10">
        <f t="shared" si="2"/>
        <v>62.71186440677966</v>
      </c>
      <c r="AE22" s="35">
        <v>4.7</v>
      </c>
      <c r="AF22" s="35">
        <v>4.9</v>
      </c>
      <c r="AG22" s="10">
        <f t="shared" si="3"/>
        <v>104.25531914893618</v>
      </c>
      <c r="AH22" s="35">
        <v>7.5</v>
      </c>
      <c r="AI22" s="35">
        <v>6.7</v>
      </c>
      <c r="AJ22" s="10">
        <f t="shared" si="4"/>
        <v>89.33333333333333</v>
      </c>
      <c r="AK22" s="71">
        <f t="shared" si="15"/>
        <v>18.1</v>
      </c>
      <c r="AL22" s="71">
        <f t="shared" si="16"/>
        <v>15.3</v>
      </c>
      <c r="AM22" s="10">
        <f>AL22/AK22*100</f>
        <v>84.5303867403315</v>
      </c>
      <c r="AN22" s="35"/>
      <c r="AO22" s="35"/>
      <c r="AP22" s="35"/>
      <c r="AQ22" s="35"/>
      <c r="AR22" s="35"/>
      <c r="AS22" s="35"/>
      <c r="AT22" s="58">
        <f t="shared" si="17"/>
        <v>42.5</v>
      </c>
      <c r="AU22" s="58">
        <f t="shared" si="18"/>
        <v>34.8</v>
      </c>
      <c r="AV22" s="10">
        <f t="shared" si="5"/>
        <v>81.88235294117646</v>
      </c>
      <c r="AW22" s="58">
        <f t="shared" si="19"/>
        <v>7.700000000000003</v>
      </c>
      <c r="AX22" s="16">
        <f t="shared" si="20"/>
        <v>4.400000000000006</v>
      </c>
      <c r="AY22" s="20">
        <f t="shared" si="9"/>
        <v>42.5</v>
      </c>
      <c r="AZ22" s="20">
        <f t="shared" si="10"/>
        <v>34.800000000000004</v>
      </c>
      <c r="BA22" s="39">
        <f t="shared" si="11"/>
        <v>4.399999999999999</v>
      </c>
    </row>
    <row r="23" spans="1:53" ht="34.5" customHeight="1">
      <c r="A23" s="12" t="s">
        <v>20</v>
      </c>
      <c r="B23" s="61" t="s">
        <v>90</v>
      </c>
      <c r="C23" s="84">
        <v>0</v>
      </c>
      <c r="D23" s="35">
        <v>0.9</v>
      </c>
      <c r="E23" s="35">
        <v>0.4</v>
      </c>
      <c r="F23" s="10">
        <f t="shared" si="12"/>
        <v>44.44444444444445</v>
      </c>
      <c r="G23" s="35">
        <v>0.8</v>
      </c>
      <c r="H23" s="35">
        <v>0.7</v>
      </c>
      <c r="I23" s="10">
        <f t="shared" si="6"/>
        <v>87.49999999999999</v>
      </c>
      <c r="J23" s="35">
        <v>0.8</v>
      </c>
      <c r="K23" s="35">
        <v>1</v>
      </c>
      <c r="L23" s="10">
        <f>K23/J23*100</f>
        <v>125</v>
      </c>
      <c r="M23" s="71">
        <f t="shared" si="13"/>
        <v>2.5</v>
      </c>
      <c r="N23" s="71">
        <f t="shared" si="14"/>
        <v>2.1</v>
      </c>
      <c r="O23" s="10">
        <f t="shared" si="1"/>
        <v>84.00000000000001</v>
      </c>
      <c r="P23" s="35">
        <v>0.8</v>
      </c>
      <c r="Q23" s="35">
        <v>0</v>
      </c>
      <c r="R23" s="10">
        <f t="shared" si="7"/>
        <v>0</v>
      </c>
      <c r="S23" s="35">
        <v>0.8</v>
      </c>
      <c r="T23" s="35">
        <v>0.7</v>
      </c>
      <c r="U23" s="10">
        <f t="shared" si="8"/>
        <v>87.49999999999999</v>
      </c>
      <c r="V23" s="35">
        <v>0.7</v>
      </c>
      <c r="W23" s="35">
        <v>1.5</v>
      </c>
      <c r="X23" s="10">
        <f>W23/V23*100</f>
        <v>214.28571428571428</v>
      </c>
      <c r="Y23" s="71">
        <f t="shared" si="27"/>
        <v>2.3</v>
      </c>
      <c r="Z23" s="71">
        <f t="shared" si="27"/>
        <v>2.2</v>
      </c>
      <c r="AA23" s="10">
        <f>Z23/Y23*100</f>
        <v>95.6521739130435</v>
      </c>
      <c r="AB23" s="35">
        <v>0.7</v>
      </c>
      <c r="AC23" s="35">
        <v>1</v>
      </c>
      <c r="AD23" s="10">
        <f t="shared" si="2"/>
        <v>142.85714285714286</v>
      </c>
      <c r="AE23" s="35">
        <v>0.9</v>
      </c>
      <c r="AF23" s="35">
        <v>0.4</v>
      </c>
      <c r="AG23" s="10">
        <f t="shared" si="3"/>
        <v>44.44444444444445</v>
      </c>
      <c r="AH23" s="35">
        <v>0.7</v>
      </c>
      <c r="AI23" s="35">
        <v>0.8</v>
      </c>
      <c r="AJ23" s="10">
        <f t="shared" si="4"/>
        <v>114.2857142857143</v>
      </c>
      <c r="AK23" s="71">
        <f t="shared" si="15"/>
        <v>2.3</v>
      </c>
      <c r="AL23" s="71">
        <f t="shared" si="16"/>
        <v>2.2</v>
      </c>
      <c r="AM23" s="10">
        <f>AL23/AK23*100</f>
        <v>95.6521739130435</v>
      </c>
      <c r="AN23" s="35"/>
      <c r="AO23" s="35"/>
      <c r="AP23" s="35"/>
      <c r="AQ23" s="35"/>
      <c r="AR23" s="35"/>
      <c r="AS23" s="35"/>
      <c r="AT23" s="58">
        <f t="shared" si="17"/>
        <v>7.1</v>
      </c>
      <c r="AU23" s="58">
        <f t="shared" si="18"/>
        <v>6.500000000000001</v>
      </c>
      <c r="AV23" s="10">
        <f t="shared" si="5"/>
        <v>91.54929577464792</v>
      </c>
      <c r="AW23" s="58">
        <f t="shared" si="19"/>
        <v>0.5999999999999988</v>
      </c>
      <c r="AX23" s="16">
        <f t="shared" si="20"/>
        <v>0.5999999999999988</v>
      </c>
      <c r="AY23" s="20">
        <f t="shared" si="9"/>
        <v>7.1000000000000005</v>
      </c>
      <c r="AZ23" s="20">
        <f t="shared" si="10"/>
        <v>6.5</v>
      </c>
      <c r="BA23" s="39">
        <f t="shared" si="11"/>
        <v>0.6000000000000005</v>
      </c>
    </row>
    <row r="24" spans="1:53" ht="34.5" customHeight="1">
      <c r="A24" s="12" t="s">
        <v>21</v>
      </c>
      <c r="B24" s="61" t="s">
        <v>40</v>
      </c>
      <c r="C24" s="84">
        <v>0.1</v>
      </c>
      <c r="D24" s="35">
        <v>4.8</v>
      </c>
      <c r="E24" s="35">
        <v>2.2</v>
      </c>
      <c r="F24" s="10">
        <f t="shared" si="12"/>
        <v>45.833333333333336</v>
      </c>
      <c r="G24" s="35">
        <v>5.3</v>
      </c>
      <c r="H24" s="35">
        <v>6.1</v>
      </c>
      <c r="I24" s="10">
        <f t="shared" si="6"/>
        <v>115.09433962264151</v>
      </c>
      <c r="J24" s="35">
        <v>6.3</v>
      </c>
      <c r="K24" s="35">
        <v>6.5</v>
      </c>
      <c r="L24" s="10">
        <f>K24/J24*100</f>
        <v>103.17460317460319</v>
      </c>
      <c r="M24" s="71">
        <f t="shared" si="13"/>
        <v>16.4</v>
      </c>
      <c r="N24" s="71">
        <f t="shared" si="14"/>
        <v>14.8</v>
      </c>
      <c r="O24" s="10">
        <f t="shared" si="1"/>
        <v>90.24390243902441</v>
      </c>
      <c r="P24" s="35">
        <v>5.8</v>
      </c>
      <c r="Q24" s="35">
        <v>4.9</v>
      </c>
      <c r="R24" s="10">
        <f t="shared" si="7"/>
        <v>84.48275862068967</v>
      </c>
      <c r="S24" s="35">
        <v>7.9</v>
      </c>
      <c r="T24" s="35">
        <v>7.5</v>
      </c>
      <c r="U24" s="10">
        <f t="shared" si="8"/>
        <v>94.9367088607595</v>
      </c>
      <c r="V24" s="35">
        <v>11.6</v>
      </c>
      <c r="W24" s="35">
        <v>8.5</v>
      </c>
      <c r="X24" s="10">
        <f>W24/V24*100</f>
        <v>73.27586206896552</v>
      </c>
      <c r="Y24" s="71">
        <f t="shared" si="27"/>
        <v>25.299999999999997</v>
      </c>
      <c r="Z24" s="71">
        <f t="shared" si="27"/>
        <v>20.9</v>
      </c>
      <c r="AA24" s="10">
        <f>Z24/Y24*100</f>
        <v>82.6086956521739</v>
      </c>
      <c r="AB24" s="35">
        <v>8.8</v>
      </c>
      <c r="AC24" s="35">
        <v>12</v>
      </c>
      <c r="AD24" s="10">
        <f t="shared" si="2"/>
        <v>136.36363636363635</v>
      </c>
      <c r="AE24" s="35">
        <v>7.8</v>
      </c>
      <c r="AF24" s="35">
        <v>7.2</v>
      </c>
      <c r="AG24" s="10">
        <f t="shared" si="3"/>
        <v>92.3076923076923</v>
      </c>
      <c r="AH24" s="35">
        <v>10.8</v>
      </c>
      <c r="AI24" s="35">
        <v>5.3</v>
      </c>
      <c r="AJ24" s="10">
        <f t="shared" si="4"/>
        <v>49.07407407407407</v>
      </c>
      <c r="AK24" s="71">
        <f t="shared" si="15"/>
        <v>27.400000000000002</v>
      </c>
      <c r="AL24" s="71">
        <f t="shared" si="16"/>
        <v>24.5</v>
      </c>
      <c r="AM24" s="10">
        <f>AL24/AK24*100</f>
        <v>89.41605839416059</v>
      </c>
      <c r="AN24" s="35"/>
      <c r="AO24" s="35"/>
      <c r="AP24" s="35"/>
      <c r="AQ24" s="35"/>
      <c r="AR24" s="35"/>
      <c r="AS24" s="35"/>
      <c r="AT24" s="58">
        <f t="shared" si="17"/>
        <v>69.1</v>
      </c>
      <c r="AU24" s="58">
        <f t="shared" si="18"/>
        <v>60.2</v>
      </c>
      <c r="AV24" s="10">
        <f t="shared" si="5"/>
        <v>87.12011577424025</v>
      </c>
      <c r="AW24" s="58">
        <f t="shared" si="19"/>
        <v>8.899999999999991</v>
      </c>
      <c r="AX24" s="16">
        <f t="shared" si="20"/>
        <v>8.999999999999986</v>
      </c>
      <c r="AY24" s="20">
        <f t="shared" si="9"/>
        <v>69.1</v>
      </c>
      <c r="AZ24" s="20">
        <f t="shared" si="10"/>
        <v>60.2</v>
      </c>
      <c r="BA24" s="39">
        <f t="shared" si="11"/>
        <v>8.999999999999986</v>
      </c>
    </row>
    <row r="25" spans="1:53" ht="34.5" customHeight="1">
      <c r="A25" s="12" t="s">
        <v>22</v>
      </c>
      <c r="B25" s="57" t="s">
        <v>43</v>
      </c>
      <c r="C25" s="84">
        <v>0.5</v>
      </c>
      <c r="D25" s="35">
        <v>5.9</v>
      </c>
      <c r="E25" s="35">
        <v>0.4</v>
      </c>
      <c r="F25" s="10">
        <f t="shared" si="12"/>
        <v>6.779661016949152</v>
      </c>
      <c r="G25" s="35">
        <v>6.1</v>
      </c>
      <c r="H25" s="35">
        <v>6</v>
      </c>
      <c r="I25" s="10">
        <f t="shared" si="6"/>
        <v>98.36065573770493</v>
      </c>
      <c r="J25" s="35">
        <v>8.4</v>
      </c>
      <c r="K25" s="35">
        <v>7.5</v>
      </c>
      <c r="L25" s="10">
        <f>K25/J25*100</f>
        <v>89.28571428571428</v>
      </c>
      <c r="M25" s="71">
        <f t="shared" si="13"/>
        <v>20.4</v>
      </c>
      <c r="N25" s="71">
        <f t="shared" si="14"/>
        <v>13.9</v>
      </c>
      <c r="O25" s="10">
        <f t="shared" si="1"/>
        <v>68.13725490196079</v>
      </c>
      <c r="P25" s="35">
        <v>6.9</v>
      </c>
      <c r="Q25" s="35">
        <v>5</v>
      </c>
      <c r="R25" s="10">
        <f t="shared" si="7"/>
        <v>72.46376811594203</v>
      </c>
      <c r="S25" s="35">
        <v>8.1</v>
      </c>
      <c r="T25" s="35">
        <v>7.9</v>
      </c>
      <c r="U25" s="10">
        <f t="shared" si="8"/>
        <v>97.53086419753087</v>
      </c>
      <c r="V25" s="35">
        <v>10</v>
      </c>
      <c r="W25" s="35">
        <v>9.4</v>
      </c>
      <c r="X25" s="10">
        <f>W25/V25*100</f>
        <v>94</v>
      </c>
      <c r="Y25" s="71">
        <f t="shared" si="27"/>
        <v>25</v>
      </c>
      <c r="Z25" s="71">
        <f t="shared" si="27"/>
        <v>22.3</v>
      </c>
      <c r="AA25" s="10">
        <f>Z25/Y25*100</f>
        <v>89.2</v>
      </c>
      <c r="AB25" s="35">
        <v>6.7</v>
      </c>
      <c r="AC25" s="35">
        <v>8.4</v>
      </c>
      <c r="AD25" s="10">
        <f t="shared" si="2"/>
        <v>125.37313432835822</v>
      </c>
      <c r="AE25" s="35">
        <v>8.9</v>
      </c>
      <c r="AF25" s="35">
        <v>5.9</v>
      </c>
      <c r="AG25" s="10">
        <f t="shared" si="3"/>
        <v>66.29213483146069</v>
      </c>
      <c r="AH25" s="35">
        <v>7.1</v>
      </c>
      <c r="AI25" s="35">
        <v>10.7</v>
      </c>
      <c r="AJ25" s="10">
        <f t="shared" si="4"/>
        <v>150.70422535211267</v>
      </c>
      <c r="AK25" s="71">
        <f t="shared" si="15"/>
        <v>22.700000000000003</v>
      </c>
      <c r="AL25" s="71">
        <f t="shared" si="16"/>
        <v>25</v>
      </c>
      <c r="AM25" s="10">
        <f>AL25/AK25*100</f>
        <v>110.13215859030836</v>
      </c>
      <c r="AN25" s="35"/>
      <c r="AO25" s="35"/>
      <c r="AP25" s="35"/>
      <c r="AQ25" s="35"/>
      <c r="AR25" s="35"/>
      <c r="AS25" s="35"/>
      <c r="AT25" s="58">
        <f t="shared" si="17"/>
        <v>68.1</v>
      </c>
      <c r="AU25" s="58">
        <f t="shared" si="18"/>
        <v>61.2</v>
      </c>
      <c r="AV25" s="10">
        <f t="shared" si="5"/>
        <v>89.86784140969164</v>
      </c>
      <c r="AW25" s="58">
        <f t="shared" si="19"/>
        <v>6.8999999999999915</v>
      </c>
      <c r="AX25" s="16">
        <f t="shared" si="20"/>
        <v>7.3999999999999915</v>
      </c>
      <c r="AY25" s="20">
        <f t="shared" si="9"/>
        <v>68.1</v>
      </c>
      <c r="AZ25" s="20">
        <f t="shared" si="10"/>
        <v>61.19999999999999</v>
      </c>
      <c r="BA25" s="39">
        <f t="shared" si="11"/>
        <v>7.400000000000006</v>
      </c>
    </row>
    <row r="26" spans="1:53" ht="34.5" customHeight="1">
      <c r="A26" s="12" t="s">
        <v>23</v>
      </c>
      <c r="B26" s="61" t="s">
        <v>91</v>
      </c>
      <c r="C26" s="84"/>
      <c r="D26" s="35"/>
      <c r="E26" s="35"/>
      <c r="F26" s="85" t="e">
        <f t="shared" si="12"/>
        <v>#DIV/0!</v>
      </c>
      <c r="G26" s="123"/>
      <c r="H26" s="123"/>
      <c r="I26" s="85" t="e">
        <f t="shared" si="6"/>
        <v>#DIV/0!</v>
      </c>
      <c r="J26" s="123"/>
      <c r="K26" s="123"/>
      <c r="L26" s="85"/>
      <c r="M26" s="124">
        <f t="shared" si="13"/>
        <v>0</v>
      </c>
      <c r="N26" s="124">
        <f t="shared" si="14"/>
        <v>0</v>
      </c>
      <c r="O26" s="85" t="e">
        <f t="shared" si="1"/>
        <v>#DIV/0!</v>
      </c>
      <c r="P26" s="123"/>
      <c r="Q26" s="123"/>
      <c r="R26" s="85" t="e">
        <f t="shared" si="7"/>
        <v>#DIV/0!</v>
      </c>
      <c r="S26" s="123"/>
      <c r="T26" s="123"/>
      <c r="U26" s="85" t="e">
        <f t="shared" si="8"/>
        <v>#DIV/0!</v>
      </c>
      <c r="V26" s="123"/>
      <c r="W26" s="123"/>
      <c r="X26" s="85"/>
      <c r="Y26" s="124"/>
      <c r="Z26" s="124"/>
      <c r="AA26" s="85"/>
      <c r="AB26" s="123"/>
      <c r="AC26" s="123"/>
      <c r="AD26" s="85" t="e">
        <f t="shared" si="2"/>
        <v>#DIV/0!</v>
      </c>
      <c r="AE26" s="123"/>
      <c r="AF26" s="123"/>
      <c r="AG26" s="85" t="e">
        <f t="shared" si="3"/>
        <v>#DIV/0!</v>
      </c>
      <c r="AH26" s="123"/>
      <c r="AI26" s="123"/>
      <c r="AJ26" s="10"/>
      <c r="AK26" s="124"/>
      <c r="AL26" s="124"/>
      <c r="AM26" s="85"/>
      <c r="AN26" s="123"/>
      <c r="AO26" s="123"/>
      <c r="AP26" s="123"/>
      <c r="AQ26" s="123"/>
      <c r="AR26" s="123"/>
      <c r="AS26" s="123"/>
      <c r="AT26" s="124">
        <f t="shared" si="17"/>
        <v>0</v>
      </c>
      <c r="AU26" s="124">
        <f t="shared" si="18"/>
        <v>0</v>
      </c>
      <c r="AV26" s="85" t="e">
        <f t="shared" si="5"/>
        <v>#DIV/0!</v>
      </c>
      <c r="AW26" s="124">
        <f t="shared" si="19"/>
        <v>0</v>
      </c>
      <c r="AX26" s="125">
        <f t="shared" si="20"/>
        <v>0</v>
      </c>
      <c r="AY26" s="20">
        <f t="shared" si="9"/>
        <v>0</v>
      </c>
      <c r="AZ26" s="20">
        <f t="shared" si="10"/>
        <v>0</v>
      </c>
      <c r="BA26" s="39">
        <f t="shared" si="11"/>
        <v>0</v>
      </c>
    </row>
    <row r="27" spans="1:53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12"/>
        <v>#DIV/0!</v>
      </c>
      <c r="G27" s="123"/>
      <c r="H27" s="123"/>
      <c r="I27" s="85" t="e">
        <f t="shared" si="6"/>
        <v>#DIV/0!</v>
      </c>
      <c r="J27" s="123"/>
      <c r="K27" s="123"/>
      <c r="L27" s="85"/>
      <c r="M27" s="124">
        <f t="shared" si="13"/>
        <v>0</v>
      </c>
      <c r="N27" s="124">
        <f t="shared" si="14"/>
        <v>0</v>
      </c>
      <c r="O27" s="85" t="e">
        <f t="shared" si="1"/>
        <v>#DIV/0!</v>
      </c>
      <c r="P27" s="123"/>
      <c r="Q27" s="123"/>
      <c r="R27" s="85" t="e">
        <f t="shared" si="7"/>
        <v>#DIV/0!</v>
      </c>
      <c r="S27" s="123"/>
      <c r="T27" s="123"/>
      <c r="U27" s="85" t="e">
        <f t="shared" si="8"/>
        <v>#DIV/0!</v>
      </c>
      <c r="V27" s="123"/>
      <c r="W27" s="123"/>
      <c r="X27" s="85"/>
      <c r="Y27" s="124"/>
      <c r="Z27" s="124"/>
      <c r="AA27" s="85"/>
      <c r="AB27" s="123"/>
      <c r="AC27" s="123"/>
      <c r="AD27" s="85" t="e">
        <f t="shared" si="2"/>
        <v>#DIV/0!</v>
      </c>
      <c r="AE27" s="123"/>
      <c r="AF27" s="123"/>
      <c r="AG27" s="85" t="e">
        <f t="shared" si="3"/>
        <v>#DIV/0!</v>
      </c>
      <c r="AH27" s="123"/>
      <c r="AI27" s="123"/>
      <c r="AJ27" s="10"/>
      <c r="AK27" s="124"/>
      <c r="AL27" s="124"/>
      <c r="AM27" s="85"/>
      <c r="AN27" s="123"/>
      <c r="AO27" s="123"/>
      <c r="AP27" s="123"/>
      <c r="AQ27" s="123"/>
      <c r="AR27" s="123"/>
      <c r="AS27" s="123"/>
      <c r="AT27" s="124">
        <f t="shared" si="17"/>
        <v>0</v>
      </c>
      <c r="AU27" s="124">
        <f t="shared" si="18"/>
        <v>0</v>
      </c>
      <c r="AV27" s="85" t="e">
        <f t="shared" si="5"/>
        <v>#DIV/0!</v>
      </c>
      <c r="AW27" s="124">
        <f t="shared" si="19"/>
        <v>0</v>
      </c>
      <c r="AX27" s="125">
        <f t="shared" si="20"/>
        <v>0</v>
      </c>
      <c r="AY27" s="20">
        <f t="shared" si="9"/>
        <v>0</v>
      </c>
      <c r="AZ27" s="20">
        <f t="shared" si="10"/>
        <v>0</v>
      </c>
      <c r="BA27" s="39">
        <f t="shared" si="11"/>
        <v>0</v>
      </c>
    </row>
    <row r="28" spans="1:53" ht="34.5" customHeight="1">
      <c r="A28" s="12" t="s">
        <v>25</v>
      </c>
      <c r="B28" s="113" t="s">
        <v>92</v>
      </c>
      <c r="C28" s="91">
        <v>1.9</v>
      </c>
      <c r="D28" s="35">
        <v>5.1</v>
      </c>
      <c r="E28" s="35">
        <v>1</v>
      </c>
      <c r="F28" s="10">
        <f>E28/D28*100</f>
        <v>19.607843137254903</v>
      </c>
      <c r="G28" s="35">
        <v>5.2</v>
      </c>
      <c r="H28" s="35">
        <v>4.1</v>
      </c>
      <c r="I28" s="10">
        <f t="shared" si="6"/>
        <v>78.84615384615384</v>
      </c>
      <c r="J28" s="35">
        <v>7.2</v>
      </c>
      <c r="K28" s="35">
        <v>7.9</v>
      </c>
      <c r="L28" s="60">
        <f aca="true" t="shared" si="28" ref="L28:L45">K28/J28*100</f>
        <v>109.72222222222223</v>
      </c>
      <c r="M28" s="71">
        <f t="shared" si="13"/>
        <v>17.5</v>
      </c>
      <c r="N28" s="71">
        <f t="shared" si="14"/>
        <v>13</v>
      </c>
      <c r="O28" s="10">
        <f t="shared" si="1"/>
        <v>74.28571428571429</v>
      </c>
      <c r="P28" s="35">
        <v>7.6</v>
      </c>
      <c r="Q28" s="35">
        <v>4.8</v>
      </c>
      <c r="R28" s="10">
        <f t="shared" si="7"/>
        <v>63.1578947368421</v>
      </c>
      <c r="S28" s="35">
        <v>8</v>
      </c>
      <c r="T28" s="35">
        <v>9.3</v>
      </c>
      <c r="U28" s="10">
        <f t="shared" si="8"/>
        <v>116.25000000000001</v>
      </c>
      <c r="V28" s="35">
        <v>6.2</v>
      </c>
      <c r="W28" s="35">
        <v>5.8</v>
      </c>
      <c r="X28" s="102">
        <f>W28/V28*100</f>
        <v>93.54838709677419</v>
      </c>
      <c r="Y28" s="71">
        <f>P28+S28+V28</f>
        <v>21.8</v>
      </c>
      <c r="Z28" s="71">
        <f>Q28+T28+W28</f>
        <v>19.900000000000002</v>
      </c>
      <c r="AA28" s="10">
        <f>Z28/Y28*100</f>
        <v>91.28440366972478</v>
      </c>
      <c r="AB28" s="35">
        <v>8.6</v>
      </c>
      <c r="AC28" s="35">
        <v>10.4</v>
      </c>
      <c r="AD28" s="10">
        <f t="shared" si="2"/>
        <v>120.93023255813955</v>
      </c>
      <c r="AE28" s="35">
        <v>13.2</v>
      </c>
      <c r="AF28" s="79">
        <v>4.8</v>
      </c>
      <c r="AG28" s="10">
        <f t="shared" si="3"/>
        <v>36.36363636363637</v>
      </c>
      <c r="AH28" s="35">
        <v>14.5</v>
      </c>
      <c r="AI28" s="79">
        <v>13</v>
      </c>
      <c r="AJ28" s="10">
        <f t="shared" si="4"/>
        <v>89.65517241379311</v>
      </c>
      <c r="AK28" s="71">
        <f t="shared" si="15"/>
        <v>36.3</v>
      </c>
      <c r="AL28" s="71">
        <f t="shared" si="16"/>
        <v>28.2</v>
      </c>
      <c r="AM28" s="10">
        <f>AL28/AK28*100</f>
        <v>77.68595041322315</v>
      </c>
      <c r="AN28" s="35"/>
      <c r="AO28" s="79"/>
      <c r="AP28" s="35"/>
      <c r="AQ28" s="79"/>
      <c r="AR28" s="35"/>
      <c r="AS28" s="79"/>
      <c r="AT28" s="58">
        <f t="shared" si="17"/>
        <v>75.6</v>
      </c>
      <c r="AU28" s="58">
        <f t="shared" si="18"/>
        <v>61.10000000000001</v>
      </c>
      <c r="AV28" s="10">
        <f t="shared" si="5"/>
        <v>80.82010582010584</v>
      </c>
      <c r="AW28" s="58">
        <f>AT28-AU28</f>
        <v>14.499999999999986</v>
      </c>
      <c r="AX28" s="16">
        <f>C28+AT28-AU28</f>
        <v>16.39999999999999</v>
      </c>
      <c r="AY28" s="20">
        <f t="shared" si="9"/>
        <v>75.60000000000001</v>
      </c>
      <c r="AZ28" s="20">
        <f t="shared" si="10"/>
        <v>61.099999999999994</v>
      </c>
      <c r="BA28" s="39">
        <f t="shared" si="11"/>
        <v>16.40000000000002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6"/>
        <v>#DIV/0!</v>
      </c>
      <c r="J29" s="62"/>
      <c r="K29" s="62"/>
      <c r="L29" s="60"/>
      <c r="M29" s="124">
        <f t="shared" si="13"/>
        <v>0</v>
      </c>
      <c r="N29" s="124">
        <f t="shared" si="14"/>
        <v>0</v>
      </c>
      <c r="O29" s="85" t="e">
        <f t="shared" si="1"/>
        <v>#DIV/0!</v>
      </c>
      <c r="P29" s="141"/>
      <c r="Q29" s="141"/>
      <c r="R29" s="85" t="e">
        <f t="shared" si="7"/>
        <v>#DIV/0!</v>
      </c>
      <c r="S29" s="62"/>
      <c r="T29" s="62"/>
      <c r="U29" s="85" t="e">
        <f t="shared" si="8"/>
        <v>#DIV/0!</v>
      </c>
      <c r="V29" s="62"/>
      <c r="W29" s="62"/>
      <c r="X29" s="60"/>
      <c r="Y29" s="71"/>
      <c r="Z29" s="71"/>
      <c r="AA29" s="10"/>
      <c r="AB29" s="62"/>
      <c r="AC29" s="62"/>
      <c r="AD29" s="85" t="e">
        <f t="shared" si="2"/>
        <v>#DIV/0!</v>
      </c>
      <c r="AE29" s="53"/>
      <c r="AF29" s="53"/>
      <c r="AG29" s="85" t="e">
        <f t="shared" si="3"/>
        <v>#DIV/0!</v>
      </c>
      <c r="AH29" s="53"/>
      <c r="AI29" s="53"/>
      <c r="AJ29" s="10" t="e">
        <f t="shared" si="4"/>
        <v>#DIV/0!</v>
      </c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9"/>
        <v>0</v>
      </c>
      <c r="AZ29" s="20">
        <f t="shared" si="10"/>
        <v>0</v>
      </c>
      <c r="BA29" s="39">
        <f t="shared" si="11"/>
        <v>0</v>
      </c>
    </row>
    <row r="30" spans="1:53" ht="34.5" customHeight="1">
      <c r="A30" s="12" t="s">
        <v>27</v>
      </c>
      <c r="B30" s="61" t="s">
        <v>39</v>
      </c>
      <c r="C30" s="93">
        <v>-1.8</v>
      </c>
      <c r="D30" s="35">
        <v>2</v>
      </c>
      <c r="E30" s="35">
        <v>1</v>
      </c>
      <c r="F30" s="77">
        <f aca="true" t="shared" si="29" ref="F30:F36">E30/D30*100</f>
        <v>50</v>
      </c>
      <c r="G30" s="35">
        <v>3.1</v>
      </c>
      <c r="H30" s="35">
        <v>3</v>
      </c>
      <c r="I30" s="10">
        <f t="shared" si="6"/>
        <v>96.77419354838709</v>
      </c>
      <c r="J30" s="35">
        <v>2.6</v>
      </c>
      <c r="K30" s="35">
        <v>1.4</v>
      </c>
      <c r="L30" s="60">
        <f t="shared" si="28"/>
        <v>53.84615384615385</v>
      </c>
      <c r="M30" s="71">
        <f t="shared" si="13"/>
        <v>7.699999999999999</v>
      </c>
      <c r="N30" s="71">
        <f t="shared" si="14"/>
        <v>5.4</v>
      </c>
      <c r="O30" s="10">
        <f t="shared" si="1"/>
        <v>70.12987012987014</v>
      </c>
      <c r="P30" s="35">
        <v>2.7</v>
      </c>
      <c r="Q30" s="35">
        <v>2.4</v>
      </c>
      <c r="R30" s="10">
        <f t="shared" si="7"/>
        <v>88.88888888888889</v>
      </c>
      <c r="S30" s="35">
        <v>2.9</v>
      </c>
      <c r="T30" s="35">
        <v>3.1</v>
      </c>
      <c r="U30" s="10">
        <f t="shared" si="8"/>
        <v>106.89655172413795</v>
      </c>
      <c r="V30" s="35">
        <v>2.4</v>
      </c>
      <c r="W30" s="35">
        <v>2.2</v>
      </c>
      <c r="X30" s="102">
        <f aca="true" t="shared" si="30" ref="X30:X45">W30/V30*100</f>
        <v>91.66666666666667</v>
      </c>
      <c r="Y30" s="71">
        <f aca="true" t="shared" si="31" ref="Y30:Y42">P30+S30+V30</f>
        <v>8</v>
      </c>
      <c r="Z30" s="71">
        <f aca="true" t="shared" si="32" ref="Z30:Z42">Q30+T30+W30</f>
        <v>7.7</v>
      </c>
      <c r="AA30" s="10">
        <f aca="true" t="shared" si="33" ref="AA30:AA45">Z30/Y30*100</f>
        <v>96.25</v>
      </c>
      <c r="AB30" s="35">
        <v>2.3</v>
      </c>
      <c r="AC30" s="35">
        <v>2.5</v>
      </c>
      <c r="AD30" s="10">
        <f t="shared" si="2"/>
        <v>108.69565217391306</v>
      </c>
      <c r="AE30" s="35">
        <v>2.3</v>
      </c>
      <c r="AF30" s="35">
        <v>2.6</v>
      </c>
      <c r="AG30" s="10">
        <f t="shared" si="3"/>
        <v>113.04347826086958</v>
      </c>
      <c r="AH30" s="35">
        <v>2.5</v>
      </c>
      <c r="AI30" s="35">
        <v>1.9</v>
      </c>
      <c r="AJ30" s="10">
        <f t="shared" si="4"/>
        <v>76</v>
      </c>
      <c r="AK30" s="71">
        <f t="shared" si="15"/>
        <v>7.1</v>
      </c>
      <c r="AL30" s="71">
        <f t="shared" si="16"/>
        <v>7</v>
      </c>
      <c r="AM30" s="10">
        <f aca="true" t="shared" si="34" ref="AM30:AM45">AL30/AK30*100</f>
        <v>98.59154929577466</v>
      </c>
      <c r="AN30" s="35"/>
      <c r="AO30" s="35"/>
      <c r="AP30" s="35"/>
      <c r="AQ30" s="35"/>
      <c r="AR30" s="35"/>
      <c r="AS30" s="35"/>
      <c r="AT30" s="58">
        <f>M30+Y30+AK30+AN30+AP30+AR30</f>
        <v>22.799999999999997</v>
      </c>
      <c r="AU30" s="58">
        <f>N30+Z30+AL30+AO30+AQ30+AS30</f>
        <v>20.1</v>
      </c>
      <c r="AV30" s="10">
        <f t="shared" si="5"/>
        <v>88.15789473684212</v>
      </c>
      <c r="AW30" s="58">
        <f>AT30-AU30</f>
        <v>2.6999999999999957</v>
      </c>
      <c r="AX30" s="16">
        <f>C30+AT30-AU30</f>
        <v>0.899999999999995</v>
      </c>
      <c r="AY30" s="20">
        <f t="shared" si="9"/>
        <v>22.8</v>
      </c>
      <c r="AZ30" s="20">
        <f t="shared" si="10"/>
        <v>20.1</v>
      </c>
      <c r="BA30" s="39">
        <f t="shared" si="11"/>
        <v>0.8999999999999986</v>
      </c>
    </row>
    <row r="31" spans="1:53" ht="34.5" customHeight="1">
      <c r="A31" s="12" t="s">
        <v>28</v>
      </c>
      <c r="B31" s="61" t="s">
        <v>3</v>
      </c>
      <c r="C31" s="84">
        <v>-0.6</v>
      </c>
      <c r="D31" s="35">
        <v>0.8</v>
      </c>
      <c r="E31" s="35">
        <v>0</v>
      </c>
      <c r="F31" s="77">
        <f t="shared" si="29"/>
        <v>0</v>
      </c>
      <c r="G31" s="35">
        <v>1.2</v>
      </c>
      <c r="H31" s="35">
        <v>0.6</v>
      </c>
      <c r="I31" s="10">
        <f t="shared" si="6"/>
        <v>50</v>
      </c>
      <c r="J31" s="35">
        <v>1</v>
      </c>
      <c r="K31" s="35">
        <v>1.4</v>
      </c>
      <c r="L31" s="10">
        <f t="shared" si="28"/>
        <v>140</v>
      </c>
      <c r="M31" s="71">
        <f t="shared" si="13"/>
        <v>3</v>
      </c>
      <c r="N31" s="71">
        <f t="shared" si="14"/>
        <v>2</v>
      </c>
      <c r="O31" s="10">
        <f t="shared" si="1"/>
        <v>66.66666666666666</v>
      </c>
      <c r="P31" s="35">
        <v>1</v>
      </c>
      <c r="Q31" s="35">
        <v>1.3</v>
      </c>
      <c r="R31" s="10">
        <f t="shared" si="7"/>
        <v>130</v>
      </c>
      <c r="S31" s="35">
        <v>1.7</v>
      </c>
      <c r="T31" s="35">
        <v>1.5</v>
      </c>
      <c r="U31" s="10">
        <f t="shared" si="8"/>
        <v>88.23529411764706</v>
      </c>
      <c r="V31" s="35">
        <v>1.2</v>
      </c>
      <c r="W31" s="35">
        <v>1.4</v>
      </c>
      <c r="X31" s="10">
        <f t="shared" si="30"/>
        <v>116.66666666666667</v>
      </c>
      <c r="Y31" s="71">
        <f t="shared" si="31"/>
        <v>3.9000000000000004</v>
      </c>
      <c r="Z31" s="71">
        <f t="shared" si="32"/>
        <v>4.199999999999999</v>
      </c>
      <c r="AA31" s="10">
        <f t="shared" si="33"/>
        <v>107.69230769230766</v>
      </c>
      <c r="AB31" s="35">
        <v>0.9</v>
      </c>
      <c r="AC31" s="35">
        <v>0.7</v>
      </c>
      <c r="AD31" s="10">
        <f t="shared" si="2"/>
        <v>77.77777777777777</v>
      </c>
      <c r="AE31" s="35">
        <v>1.4</v>
      </c>
      <c r="AF31" s="35">
        <v>2.1</v>
      </c>
      <c r="AG31" s="10">
        <f t="shared" si="3"/>
        <v>150.00000000000003</v>
      </c>
      <c r="AH31" s="35">
        <v>3</v>
      </c>
      <c r="AI31" s="35">
        <v>1.1</v>
      </c>
      <c r="AJ31" s="10">
        <f t="shared" si="4"/>
        <v>36.66666666666667</v>
      </c>
      <c r="AK31" s="71">
        <f t="shared" si="15"/>
        <v>5.3</v>
      </c>
      <c r="AL31" s="71">
        <f t="shared" si="16"/>
        <v>3.9</v>
      </c>
      <c r="AM31" s="10">
        <f t="shared" si="34"/>
        <v>73.58490566037736</v>
      </c>
      <c r="AN31" s="35"/>
      <c r="AO31" s="35"/>
      <c r="AP31" s="35"/>
      <c r="AQ31" s="35"/>
      <c r="AR31" s="35"/>
      <c r="AS31" s="35"/>
      <c r="AT31" s="58">
        <f>M31+Y31+AK31+AN31+AP31+AR31</f>
        <v>12.2</v>
      </c>
      <c r="AU31" s="58">
        <f>N31+Z31+AL31+AO31+AQ31+AS31</f>
        <v>10.1</v>
      </c>
      <c r="AV31" s="10">
        <f t="shared" si="5"/>
        <v>82.78688524590164</v>
      </c>
      <c r="AW31" s="58">
        <f>AT31-AU31</f>
        <v>2.0999999999999996</v>
      </c>
      <c r="AX31" s="16">
        <f>C31+AT31-AU31</f>
        <v>1.5</v>
      </c>
      <c r="AY31" s="20">
        <f t="shared" si="9"/>
        <v>12.200000000000001</v>
      </c>
      <c r="AZ31" s="20">
        <f t="shared" si="10"/>
        <v>10.1</v>
      </c>
      <c r="BA31" s="39">
        <f t="shared" si="11"/>
        <v>1.5000000000000018</v>
      </c>
    </row>
    <row r="32" spans="1:53" ht="34.5" customHeight="1">
      <c r="A32" s="12" t="s">
        <v>29</v>
      </c>
      <c r="B32" s="61" t="s">
        <v>93</v>
      </c>
      <c r="C32" s="67">
        <f>SUM(C33:C34)</f>
        <v>2.5</v>
      </c>
      <c r="D32" s="67">
        <f aca="true" t="shared" si="35" ref="D32:AS32">SUM(D33:D34)</f>
        <v>259.9</v>
      </c>
      <c r="E32" s="67">
        <f t="shared" si="35"/>
        <v>11.5</v>
      </c>
      <c r="F32" s="67">
        <f t="shared" si="35"/>
        <v>4.70925470925471</v>
      </c>
      <c r="G32" s="67">
        <f t="shared" si="35"/>
        <v>181.5</v>
      </c>
      <c r="H32" s="67">
        <f t="shared" si="35"/>
        <v>28.9</v>
      </c>
      <c r="I32" s="67">
        <f t="shared" si="35"/>
        <v>149.20112061984287</v>
      </c>
      <c r="J32" s="67">
        <f t="shared" si="35"/>
        <v>192.6</v>
      </c>
      <c r="K32" s="67">
        <f t="shared" si="35"/>
        <v>414.8</v>
      </c>
      <c r="L32" s="67">
        <f t="shared" si="35"/>
        <v>311.5997800989555</v>
      </c>
      <c r="M32" s="67">
        <f t="shared" si="35"/>
        <v>634</v>
      </c>
      <c r="N32" s="67">
        <f t="shared" si="35"/>
        <v>455.20000000000005</v>
      </c>
      <c r="O32" s="10">
        <f t="shared" si="1"/>
        <v>71.79810725552052</v>
      </c>
      <c r="P32" s="67">
        <f t="shared" si="35"/>
        <v>165.7</v>
      </c>
      <c r="Q32" s="67">
        <f t="shared" si="35"/>
        <v>19.5</v>
      </c>
      <c r="R32" s="67">
        <f t="shared" si="35"/>
        <v>51.856872730183184</v>
      </c>
      <c r="S32" s="67">
        <f t="shared" si="35"/>
        <v>197.7</v>
      </c>
      <c r="T32" s="67">
        <f t="shared" si="35"/>
        <v>196</v>
      </c>
      <c r="U32" s="67">
        <f t="shared" si="35"/>
        <v>193.35642222556845</v>
      </c>
      <c r="V32" s="67">
        <f t="shared" si="35"/>
        <v>171.4</v>
      </c>
      <c r="W32" s="67">
        <f t="shared" si="35"/>
        <v>341.9</v>
      </c>
      <c r="X32" s="67">
        <f t="shared" si="35"/>
        <v>314.1795244145943</v>
      </c>
      <c r="Y32" s="67">
        <f t="shared" si="35"/>
        <v>534.8</v>
      </c>
      <c r="Z32" s="67">
        <f t="shared" si="35"/>
        <v>557.4</v>
      </c>
      <c r="AA32" s="10">
        <f t="shared" si="33"/>
        <v>104.22587883320868</v>
      </c>
      <c r="AB32" s="67">
        <f t="shared" si="35"/>
        <v>213.60000000000002</v>
      </c>
      <c r="AC32" s="67">
        <f t="shared" si="35"/>
        <v>155</v>
      </c>
      <c r="AD32" s="10">
        <f t="shared" si="2"/>
        <v>72.56554307116104</v>
      </c>
      <c r="AE32" s="67">
        <f t="shared" si="35"/>
        <v>170.4</v>
      </c>
      <c r="AF32" s="67">
        <f t="shared" si="35"/>
        <v>202.9</v>
      </c>
      <c r="AG32" s="10">
        <f t="shared" si="3"/>
        <v>119.07276995305165</v>
      </c>
      <c r="AH32" s="67">
        <f t="shared" si="35"/>
        <v>210.9</v>
      </c>
      <c r="AI32" s="67">
        <f t="shared" si="35"/>
        <v>146.1</v>
      </c>
      <c r="AJ32" s="10">
        <f t="shared" si="4"/>
        <v>69.27453769559033</v>
      </c>
      <c r="AK32" s="67">
        <f t="shared" si="35"/>
        <v>594.9000000000001</v>
      </c>
      <c r="AL32" s="67">
        <f t="shared" si="35"/>
        <v>504.00000000000006</v>
      </c>
      <c r="AM32" s="67">
        <f t="shared" si="35"/>
        <v>108.30252953540624</v>
      </c>
      <c r="AN32" s="67">
        <f t="shared" si="35"/>
        <v>0</v>
      </c>
      <c r="AO32" s="67">
        <f t="shared" si="35"/>
        <v>0</v>
      </c>
      <c r="AP32" s="67">
        <f t="shared" si="35"/>
        <v>0</v>
      </c>
      <c r="AQ32" s="67">
        <f t="shared" si="35"/>
        <v>0</v>
      </c>
      <c r="AR32" s="67">
        <f t="shared" si="35"/>
        <v>0</v>
      </c>
      <c r="AS32" s="67">
        <f t="shared" si="35"/>
        <v>0</v>
      </c>
      <c r="AT32" s="67">
        <f>SUM(AT33:AT34)</f>
        <v>1763.6999999999998</v>
      </c>
      <c r="AU32" s="67">
        <f>SUM(AU33:AU34)</f>
        <v>1516.6</v>
      </c>
      <c r="AV32" s="10">
        <f t="shared" si="5"/>
        <v>85.98968078471397</v>
      </c>
      <c r="AW32" s="67">
        <f>SUM(AW33:AW34)</f>
        <v>247.10000000000002</v>
      </c>
      <c r="AX32" s="67">
        <f>SUM(AX33:AX34)</f>
        <v>249.60000000000002</v>
      </c>
      <c r="AY32" s="20">
        <f t="shared" si="9"/>
        <v>1763.7000000000003</v>
      </c>
      <c r="AZ32" s="20">
        <f t="shared" si="10"/>
        <v>1516.6</v>
      </c>
      <c r="BA32" s="39">
        <f t="shared" si="11"/>
        <v>249.60000000000036</v>
      </c>
    </row>
    <row r="33" spans="1:53" ht="34.5" customHeight="1">
      <c r="A33" s="12"/>
      <c r="B33" s="61" t="s">
        <v>109</v>
      </c>
      <c r="C33" s="84">
        <v>2.5</v>
      </c>
      <c r="D33" s="35">
        <v>15.7</v>
      </c>
      <c r="E33" s="35">
        <v>0</v>
      </c>
      <c r="F33" s="54">
        <f t="shared" si="29"/>
        <v>0</v>
      </c>
      <c r="G33" s="35">
        <v>10.7</v>
      </c>
      <c r="H33" s="35">
        <v>15.1</v>
      </c>
      <c r="I33" s="10">
        <f t="shared" si="6"/>
        <v>141.12149532710282</v>
      </c>
      <c r="J33" s="35">
        <v>10.7</v>
      </c>
      <c r="K33" s="35">
        <v>9.5</v>
      </c>
      <c r="L33" s="10">
        <f t="shared" si="28"/>
        <v>88.78504672897198</v>
      </c>
      <c r="M33" s="71">
        <f t="shared" si="13"/>
        <v>37.099999999999994</v>
      </c>
      <c r="N33" s="71">
        <f t="shared" si="14"/>
        <v>24.6</v>
      </c>
      <c r="O33" s="10">
        <f t="shared" si="1"/>
        <v>66.30727762803235</v>
      </c>
      <c r="P33" s="35">
        <v>13.1</v>
      </c>
      <c r="Q33" s="35">
        <v>5.6</v>
      </c>
      <c r="R33" s="10">
        <f t="shared" si="7"/>
        <v>42.74809160305343</v>
      </c>
      <c r="S33" s="35">
        <v>14.5</v>
      </c>
      <c r="T33" s="35">
        <v>13.6</v>
      </c>
      <c r="U33" s="10">
        <f t="shared" si="8"/>
        <v>93.79310344827586</v>
      </c>
      <c r="V33" s="35">
        <v>14</v>
      </c>
      <c r="W33" s="35">
        <v>14.9</v>
      </c>
      <c r="X33" s="10">
        <f t="shared" si="30"/>
        <v>106.42857142857143</v>
      </c>
      <c r="Y33" s="71">
        <f t="shared" si="31"/>
        <v>41.6</v>
      </c>
      <c r="Z33" s="71">
        <f t="shared" si="32"/>
        <v>34.1</v>
      </c>
      <c r="AA33" s="10">
        <f t="shared" si="33"/>
        <v>81.97115384615384</v>
      </c>
      <c r="AB33" s="35">
        <v>17.3</v>
      </c>
      <c r="AC33" s="35">
        <v>3.7</v>
      </c>
      <c r="AD33" s="10">
        <f t="shared" si="2"/>
        <v>21.38728323699422</v>
      </c>
      <c r="AE33" s="35">
        <v>28.8</v>
      </c>
      <c r="AF33" s="35">
        <v>1.6</v>
      </c>
      <c r="AG33" s="10">
        <f t="shared" si="3"/>
        <v>5.555555555555556</v>
      </c>
      <c r="AH33" s="35">
        <v>19.6</v>
      </c>
      <c r="AI33" s="35">
        <v>4.5</v>
      </c>
      <c r="AJ33" s="10">
        <f t="shared" si="4"/>
        <v>22.959183673469386</v>
      </c>
      <c r="AK33" s="71">
        <f t="shared" si="15"/>
        <v>65.7</v>
      </c>
      <c r="AL33" s="71">
        <f t="shared" si="16"/>
        <v>9.8</v>
      </c>
      <c r="AM33" s="10">
        <f t="shared" si="34"/>
        <v>14.916286149162861</v>
      </c>
      <c r="AN33" s="35"/>
      <c r="AO33" s="35"/>
      <c r="AP33" s="35"/>
      <c r="AQ33" s="35"/>
      <c r="AR33" s="35"/>
      <c r="AS33" s="35"/>
      <c r="AT33" s="58">
        <f aca="true" t="shared" si="36" ref="AT33:AT42">M33+Y33+AK33+AN33+AP33+AR33</f>
        <v>144.39999999999998</v>
      </c>
      <c r="AU33" s="58">
        <f aca="true" t="shared" si="37" ref="AU33:AU42">N33+Z33+AL33+AO33+AQ33+AS33</f>
        <v>68.5</v>
      </c>
      <c r="AV33" s="10">
        <f t="shared" si="5"/>
        <v>47.437673130193915</v>
      </c>
      <c r="AW33" s="58">
        <f aca="true" t="shared" si="38" ref="AW33:AW42">AT33-AU33</f>
        <v>75.89999999999998</v>
      </c>
      <c r="AX33" s="16">
        <f aca="true" t="shared" si="39" ref="AX33:AX42">C33+AT33-AU33</f>
        <v>78.39999999999998</v>
      </c>
      <c r="AY33" s="20">
        <f t="shared" si="9"/>
        <v>144.39999999999998</v>
      </c>
      <c r="AZ33" s="20">
        <f t="shared" si="10"/>
        <v>68.5</v>
      </c>
      <c r="BA33" s="39">
        <f t="shared" si="11"/>
        <v>78.39999999999998</v>
      </c>
    </row>
    <row r="34" spans="1:53" ht="34.5" customHeight="1">
      <c r="A34" s="12"/>
      <c r="B34" s="61" t="s">
        <v>94</v>
      </c>
      <c r="C34" s="84">
        <v>0</v>
      </c>
      <c r="D34" s="35">
        <v>244.2</v>
      </c>
      <c r="E34" s="108">
        <v>11.5</v>
      </c>
      <c r="F34" s="54">
        <f t="shared" si="29"/>
        <v>4.70925470925471</v>
      </c>
      <c r="G34" s="35">
        <v>170.8</v>
      </c>
      <c r="H34" s="35">
        <v>13.8</v>
      </c>
      <c r="I34" s="10">
        <f t="shared" si="6"/>
        <v>8.079625292740046</v>
      </c>
      <c r="J34" s="35">
        <v>181.9</v>
      </c>
      <c r="K34" s="35">
        <v>405.3</v>
      </c>
      <c r="L34" s="10">
        <f t="shared" si="28"/>
        <v>222.81473336998351</v>
      </c>
      <c r="M34" s="71">
        <f t="shared" si="13"/>
        <v>596.9</v>
      </c>
      <c r="N34" s="71">
        <f t="shared" si="14"/>
        <v>430.6</v>
      </c>
      <c r="O34" s="10">
        <f t="shared" si="1"/>
        <v>72.13938683196515</v>
      </c>
      <c r="P34" s="35">
        <v>152.6</v>
      </c>
      <c r="Q34" s="35">
        <v>13.9</v>
      </c>
      <c r="R34" s="10">
        <f t="shared" si="7"/>
        <v>9.108781127129753</v>
      </c>
      <c r="S34" s="35">
        <v>183.2</v>
      </c>
      <c r="T34" s="35">
        <v>182.4</v>
      </c>
      <c r="U34" s="10">
        <f t="shared" si="8"/>
        <v>99.56331877729258</v>
      </c>
      <c r="V34" s="35">
        <v>157.4</v>
      </c>
      <c r="W34" s="35">
        <v>327</v>
      </c>
      <c r="X34" s="10">
        <f t="shared" si="30"/>
        <v>207.75095298602287</v>
      </c>
      <c r="Y34" s="71">
        <f>P34+S34+V34</f>
        <v>493.19999999999993</v>
      </c>
      <c r="Z34" s="71">
        <f>Q34+T34+W34</f>
        <v>523.3</v>
      </c>
      <c r="AA34" s="10">
        <f>Z34/Y34*100</f>
        <v>106.10300081103001</v>
      </c>
      <c r="AB34" s="35">
        <v>196.3</v>
      </c>
      <c r="AC34" s="35">
        <v>151.3</v>
      </c>
      <c r="AD34" s="10">
        <f t="shared" si="2"/>
        <v>77.07590422822211</v>
      </c>
      <c r="AE34" s="35">
        <v>141.6</v>
      </c>
      <c r="AF34" s="35">
        <v>201.3</v>
      </c>
      <c r="AG34" s="10">
        <f t="shared" si="3"/>
        <v>142.16101694915255</v>
      </c>
      <c r="AH34" s="35">
        <v>191.3</v>
      </c>
      <c r="AI34" s="35">
        <v>141.6</v>
      </c>
      <c r="AJ34" s="10">
        <f t="shared" si="4"/>
        <v>74.01986408782018</v>
      </c>
      <c r="AK34" s="71">
        <f t="shared" si="15"/>
        <v>529.2</v>
      </c>
      <c r="AL34" s="71">
        <f t="shared" si="16"/>
        <v>494.20000000000005</v>
      </c>
      <c r="AM34" s="10">
        <f t="shared" si="34"/>
        <v>93.38624338624338</v>
      </c>
      <c r="AN34" s="35"/>
      <c r="AO34" s="35"/>
      <c r="AP34" s="35"/>
      <c r="AQ34" s="35"/>
      <c r="AR34" s="35"/>
      <c r="AS34" s="35"/>
      <c r="AT34" s="58">
        <f t="shared" si="36"/>
        <v>1619.3</v>
      </c>
      <c r="AU34" s="58">
        <f t="shared" si="37"/>
        <v>1448.1</v>
      </c>
      <c r="AV34" s="10">
        <f t="shared" si="5"/>
        <v>89.42753041437658</v>
      </c>
      <c r="AW34" s="58">
        <f t="shared" si="38"/>
        <v>171.20000000000005</v>
      </c>
      <c r="AX34" s="16">
        <f t="shared" si="39"/>
        <v>171.20000000000005</v>
      </c>
      <c r="AY34" s="20">
        <f t="shared" si="9"/>
        <v>1619.3</v>
      </c>
      <c r="AZ34" s="20">
        <f t="shared" si="10"/>
        <v>1448.1</v>
      </c>
      <c r="BA34" s="39">
        <f t="shared" si="11"/>
        <v>171.20000000000005</v>
      </c>
    </row>
    <row r="35" spans="1:53" ht="34.5" customHeight="1">
      <c r="A35" s="12" t="s">
        <v>30</v>
      </c>
      <c r="B35" s="61" t="s">
        <v>60</v>
      </c>
      <c r="C35" s="84">
        <v>-4.1</v>
      </c>
      <c r="D35" s="34">
        <v>8.8</v>
      </c>
      <c r="E35" s="109">
        <v>0</v>
      </c>
      <c r="F35" s="52">
        <f t="shared" si="29"/>
        <v>0</v>
      </c>
      <c r="G35" s="35">
        <v>9.1</v>
      </c>
      <c r="H35" s="35">
        <v>4.7</v>
      </c>
      <c r="I35" s="10">
        <f t="shared" si="6"/>
        <v>51.64835164835166</v>
      </c>
      <c r="J35" s="35">
        <v>10</v>
      </c>
      <c r="K35" s="35">
        <v>19.1</v>
      </c>
      <c r="L35" s="10">
        <f t="shared" si="28"/>
        <v>191</v>
      </c>
      <c r="M35" s="71">
        <f t="shared" si="13"/>
        <v>27.9</v>
      </c>
      <c r="N35" s="71">
        <f t="shared" si="14"/>
        <v>23.8</v>
      </c>
      <c r="O35" s="10">
        <f t="shared" si="1"/>
        <v>85.3046594982079</v>
      </c>
      <c r="P35" s="35">
        <v>11</v>
      </c>
      <c r="Q35" s="35">
        <v>0</v>
      </c>
      <c r="R35" s="10">
        <f t="shared" si="7"/>
        <v>0</v>
      </c>
      <c r="S35" s="35">
        <v>8</v>
      </c>
      <c r="T35" s="35">
        <v>19</v>
      </c>
      <c r="U35" s="10">
        <f t="shared" si="8"/>
        <v>237.5</v>
      </c>
      <c r="V35" s="35">
        <v>13.3</v>
      </c>
      <c r="W35" s="35">
        <v>0</v>
      </c>
      <c r="X35" s="10">
        <f t="shared" si="30"/>
        <v>0</v>
      </c>
      <c r="Y35" s="71">
        <f t="shared" si="31"/>
        <v>32.3</v>
      </c>
      <c r="Z35" s="71">
        <f t="shared" si="32"/>
        <v>19</v>
      </c>
      <c r="AA35" s="10">
        <f t="shared" si="33"/>
        <v>58.82352941176471</v>
      </c>
      <c r="AB35" s="35">
        <v>19.3</v>
      </c>
      <c r="AC35" s="35">
        <v>22.6</v>
      </c>
      <c r="AD35" s="10">
        <f t="shared" si="2"/>
        <v>117.09844559585491</v>
      </c>
      <c r="AE35" s="35">
        <v>22</v>
      </c>
      <c r="AF35" s="35">
        <v>24.4</v>
      </c>
      <c r="AG35" s="10">
        <f t="shared" si="3"/>
        <v>110.9090909090909</v>
      </c>
      <c r="AH35" s="35">
        <v>72.7</v>
      </c>
      <c r="AI35" s="35">
        <v>80.4</v>
      </c>
      <c r="AJ35" s="10">
        <f t="shared" si="4"/>
        <v>110.59147180192572</v>
      </c>
      <c r="AK35" s="71">
        <f t="shared" si="15"/>
        <v>114</v>
      </c>
      <c r="AL35" s="71">
        <f t="shared" si="16"/>
        <v>127.4</v>
      </c>
      <c r="AM35" s="10">
        <f t="shared" si="34"/>
        <v>111.7543859649123</v>
      </c>
      <c r="AN35" s="35"/>
      <c r="AO35" s="35"/>
      <c r="AP35" s="35"/>
      <c r="AQ35" s="35"/>
      <c r="AR35" s="35"/>
      <c r="AS35" s="35"/>
      <c r="AT35" s="58">
        <f t="shared" si="36"/>
        <v>174.2</v>
      </c>
      <c r="AU35" s="58">
        <f t="shared" si="37"/>
        <v>170.2</v>
      </c>
      <c r="AV35" s="10">
        <f t="shared" si="5"/>
        <v>97.70378874856488</v>
      </c>
      <c r="AW35" s="58">
        <f t="shared" si="38"/>
        <v>4</v>
      </c>
      <c r="AX35" s="16">
        <f t="shared" si="39"/>
        <v>-0.09999999999999432</v>
      </c>
      <c r="AY35" s="20">
        <f t="shared" si="9"/>
        <v>174.2</v>
      </c>
      <c r="AZ35" s="20">
        <f t="shared" si="10"/>
        <v>170.20000000000002</v>
      </c>
      <c r="BA35" s="39">
        <f t="shared" si="11"/>
        <v>-0.10000000000002274</v>
      </c>
    </row>
    <row r="36" spans="1:53" ht="34.5" customHeight="1">
      <c r="A36" s="12" t="s">
        <v>31</v>
      </c>
      <c r="B36" s="114" t="s">
        <v>61</v>
      </c>
      <c r="C36" s="90">
        <v>-1.8</v>
      </c>
      <c r="D36" s="64">
        <v>4.9</v>
      </c>
      <c r="E36" s="64">
        <v>0.8</v>
      </c>
      <c r="F36" s="10">
        <f t="shared" si="29"/>
        <v>16.3265306122449</v>
      </c>
      <c r="G36" s="35">
        <v>3.5</v>
      </c>
      <c r="H36" s="35">
        <v>2.9</v>
      </c>
      <c r="I36" s="10">
        <f t="shared" si="6"/>
        <v>82.85714285714285</v>
      </c>
      <c r="J36" s="35">
        <v>3.9</v>
      </c>
      <c r="K36" s="35">
        <v>3.6</v>
      </c>
      <c r="L36" s="60">
        <f t="shared" si="28"/>
        <v>92.3076923076923</v>
      </c>
      <c r="M36" s="71">
        <f t="shared" si="13"/>
        <v>12.3</v>
      </c>
      <c r="N36" s="71">
        <f t="shared" si="14"/>
        <v>7.300000000000001</v>
      </c>
      <c r="O36" s="10">
        <f t="shared" si="1"/>
        <v>59.34959349593496</v>
      </c>
      <c r="P36" s="35">
        <v>4.2</v>
      </c>
      <c r="Q36" s="35">
        <v>2.2</v>
      </c>
      <c r="R36" s="10">
        <f t="shared" si="7"/>
        <v>52.38095238095239</v>
      </c>
      <c r="S36" s="35">
        <v>4.5</v>
      </c>
      <c r="T36" s="35">
        <v>4.6</v>
      </c>
      <c r="U36" s="10">
        <f t="shared" si="8"/>
        <v>102.22222222222221</v>
      </c>
      <c r="V36" s="35">
        <v>3.2</v>
      </c>
      <c r="W36" s="35">
        <v>4.8</v>
      </c>
      <c r="X36" s="10">
        <f t="shared" si="30"/>
        <v>149.99999999999997</v>
      </c>
      <c r="Y36" s="71">
        <f t="shared" si="31"/>
        <v>11.899999999999999</v>
      </c>
      <c r="Z36" s="71">
        <f t="shared" si="32"/>
        <v>11.6</v>
      </c>
      <c r="AA36" s="10">
        <f t="shared" si="33"/>
        <v>97.47899159663866</v>
      </c>
      <c r="AB36" s="35">
        <v>3.5</v>
      </c>
      <c r="AC36" s="35">
        <v>4.5</v>
      </c>
      <c r="AD36" s="10">
        <f t="shared" si="2"/>
        <v>128.57142857142858</v>
      </c>
      <c r="AE36" s="35">
        <v>4.8</v>
      </c>
      <c r="AF36" s="35">
        <v>3.6</v>
      </c>
      <c r="AG36" s="10">
        <f t="shared" si="3"/>
        <v>75</v>
      </c>
      <c r="AH36" s="35">
        <v>3.4</v>
      </c>
      <c r="AI36" s="35">
        <v>5.5</v>
      </c>
      <c r="AJ36" s="10">
        <f t="shared" si="4"/>
        <v>161.76470588235296</v>
      </c>
      <c r="AK36" s="71">
        <f>AB36+AE36+AH36</f>
        <v>11.700000000000001</v>
      </c>
      <c r="AL36" s="71">
        <f>AC36+AF36+AI36</f>
        <v>13.6</v>
      </c>
      <c r="AM36" s="10">
        <f t="shared" si="34"/>
        <v>116.23931623931622</v>
      </c>
      <c r="AN36" s="35"/>
      <c r="AO36" s="35"/>
      <c r="AP36" s="35"/>
      <c r="AQ36" s="35"/>
      <c r="AR36" s="35"/>
      <c r="AS36" s="35"/>
      <c r="AT36" s="58">
        <f t="shared" si="36"/>
        <v>35.9</v>
      </c>
      <c r="AU36" s="58">
        <f t="shared" si="37"/>
        <v>32.5</v>
      </c>
      <c r="AV36" s="10">
        <f t="shared" si="5"/>
        <v>90.5292479108635</v>
      </c>
      <c r="AW36" s="58">
        <f t="shared" si="38"/>
        <v>3.3999999999999986</v>
      </c>
      <c r="AX36" s="16">
        <f t="shared" si="39"/>
        <v>1.6000000000000014</v>
      </c>
      <c r="AY36" s="20">
        <f t="shared" si="9"/>
        <v>35.9</v>
      </c>
      <c r="AZ36" s="20">
        <f t="shared" si="10"/>
        <v>32.5</v>
      </c>
      <c r="BA36" s="39">
        <f t="shared" si="11"/>
        <v>1.6000000000000014</v>
      </c>
    </row>
    <row r="37" spans="1:53" ht="34.5" customHeight="1">
      <c r="A37" s="12" t="s">
        <v>32</v>
      </c>
      <c r="B37" s="115" t="s">
        <v>62</v>
      </c>
      <c r="C37" s="84">
        <v>-58.3</v>
      </c>
      <c r="D37" s="35">
        <v>41.5</v>
      </c>
      <c r="E37" s="35">
        <v>8.7</v>
      </c>
      <c r="F37" s="10">
        <f aca="true" t="shared" si="40" ref="F37:F44">E37/D37*100</f>
        <v>20.963855421686745</v>
      </c>
      <c r="G37" s="35">
        <v>41</v>
      </c>
      <c r="H37" s="35">
        <v>33.9</v>
      </c>
      <c r="I37" s="10">
        <f t="shared" si="6"/>
        <v>82.68292682926828</v>
      </c>
      <c r="J37" s="35">
        <v>24.8</v>
      </c>
      <c r="K37" s="35">
        <v>49.6</v>
      </c>
      <c r="L37" s="10">
        <f t="shared" si="28"/>
        <v>200</v>
      </c>
      <c r="M37" s="71">
        <f t="shared" si="13"/>
        <v>107.3</v>
      </c>
      <c r="N37" s="71">
        <f t="shared" si="14"/>
        <v>92.19999999999999</v>
      </c>
      <c r="O37" s="10">
        <f t="shared" si="1"/>
        <v>85.92730661696179</v>
      </c>
      <c r="P37" s="35">
        <v>30.2</v>
      </c>
      <c r="Q37" s="35">
        <v>26.3</v>
      </c>
      <c r="R37" s="10">
        <f t="shared" si="7"/>
        <v>87.08609271523179</v>
      </c>
      <c r="S37" s="35">
        <v>38.8</v>
      </c>
      <c r="T37" s="35">
        <v>29.7</v>
      </c>
      <c r="U37" s="10">
        <f t="shared" si="8"/>
        <v>76.54639175257732</v>
      </c>
      <c r="V37" s="35">
        <v>35.6</v>
      </c>
      <c r="W37" s="35">
        <v>25.9</v>
      </c>
      <c r="X37" s="10">
        <f t="shared" si="30"/>
        <v>72.75280898876404</v>
      </c>
      <c r="Y37" s="71">
        <f t="shared" si="31"/>
        <v>104.6</v>
      </c>
      <c r="Z37" s="71">
        <f t="shared" si="32"/>
        <v>81.9</v>
      </c>
      <c r="AA37" s="10">
        <f t="shared" si="33"/>
        <v>78.29827915869983</v>
      </c>
      <c r="AB37" s="35">
        <v>27.1</v>
      </c>
      <c r="AC37" s="35">
        <v>30.9</v>
      </c>
      <c r="AD37" s="10">
        <f t="shared" si="2"/>
        <v>114.0221402214022</v>
      </c>
      <c r="AE37" s="35">
        <v>39.4</v>
      </c>
      <c r="AF37" s="35">
        <v>33.8</v>
      </c>
      <c r="AG37" s="10">
        <f t="shared" si="3"/>
        <v>85.78680203045684</v>
      </c>
      <c r="AH37" s="35">
        <v>38</v>
      </c>
      <c r="AI37" s="35">
        <v>32.3</v>
      </c>
      <c r="AJ37" s="10">
        <f t="shared" si="4"/>
        <v>85</v>
      </c>
      <c r="AK37" s="71">
        <f t="shared" si="15"/>
        <v>104.5</v>
      </c>
      <c r="AL37" s="71">
        <f t="shared" si="16"/>
        <v>96.99999999999999</v>
      </c>
      <c r="AM37" s="10">
        <f t="shared" si="34"/>
        <v>92.82296650717701</v>
      </c>
      <c r="AN37" s="35"/>
      <c r="AO37" s="35"/>
      <c r="AP37" s="35"/>
      <c r="AQ37" s="35"/>
      <c r="AR37" s="35"/>
      <c r="AS37" s="35"/>
      <c r="AT37" s="58">
        <f t="shared" si="36"/>
        <v>316.4</v>
      </c>
      <c r="AU37" s="58">
        <f t="shared" si="37"/>
        <v>271.09999999999997</v>
      </c>
      <c r="AV37" s="10">
        <f t="shared" si="5"/>
        <v>85.68268015170669</v>
      </c>
      <c r="AW37" s="58">
        <f t="shared" si="38"/>
        <v>45.30000000000001</v>
      </c>
      <c r="AX37" s="16">
        <f t="shared" si="39"/>
        <v>-13</v>
      </c>
      <c r="AY37" s="20">
        <f t="shared" si="9"/>
        <v>316.4</v>
      </c>
      <c r="AZ37" s="20">
        <f t="shared" si="10"/>
        <v>271.1</v>
      </c>
      <c r="BA37" s="39">
        <f t="shared" si="11"/>
        <v>-13.000000000000057</v>
      </c>
    </row>
    <row r="38" spans="1:53" ht="34.5" customHeight="1">
      <c r="A38" s="12" t="s">
        <v>33</v>
      </c>
      <c r="B38" s="115" t="s">
        <v>95</v>
      </c>
      <c r="C38" s="84">
        <v>-23.1</v>
      </c>
      <c r="D38" s="35">
        <v>38.3</v>
      </c>
      <c r="E38" s="35">
        <v>3.6</v>
      </c>
      <c r="F38" s="10">
        <f t="shared" si="40"/>
        <v>9.399477806788513</v>
      </c>
      <c r="G38" s="35">
        <v>38.7</v>
      </c>
      <c r="H38" s="35">
        <v>21.5</v>
      </c>
      <c r="I38" s="10">
        <f t="shared" si="6"/>
        <v>55.55555555555555</v>
      </c>
      <c r="J38" s="35">
        <v>33.5</v>
      </c>
      <c r="K38" s="35">
        <v>30.7</v>
      </c>
      <c r="L38" s="10">
        <f t="shared" si="28"/>
        <v>91.64179104477613</v>
      </c>
      <c r="M38" s="71">
        <f t="shared" si="13"/>
        <v>110.5</v>
      </c>
      <c r="N38" s="71">
        <f t="shared" si="14"/>
        <v>55.8</v>
      </c>
      <c r="O38" s="10">
        <f t="shared" si="1"/>
        <v>50.497737556561084</v>
      </c>
      <c r="P38" s="35">
        <v>44.6</v>
      </c>
      <c r="Q38" s="35">
        <v>41.4</v>
      </c>
      <c r="R38" s="10">
        <f t="shared" si="7"/>
        <v>92.82511210762331</v>
      </c>
      <c r="S38" s="35">
        <v>38.9</v>
      </c>
      <c r="T38" s="35">
        <v>44.9</v>
      </c>
      <c r="U38" s="10">
        <f t="shared" si="8"/>
        <v>115.42416452442158</v>
      </c>
      <c r="V38" s="35">
        <v>39.3</v>
      </c>
      <c r="W38" s="35">
        <v>46</v>
      </c>
      <c r="X38" s="10">
        <f t="shared" si="30"/>
        <v>117.04834605597965</v>
      </c>
      <c r="Y38" s="71">
        <f t="shared" si="31"/>
        <v>122.8</v>
      </c>
      <c r="Z38" s="71">
        <f t="shared" si="32"/>
        <v>132.3</v>
      </c>
      <c r="AA38" s="10">
        <f t="shared" si="33"/>
        <v>107.73615635179155</v>
      </c>
      <c r="AB38" s="35">
        <v>54.3</v>
      </c>
      <c r="AC38" s="35">
        <v>4</v>
      </c>
      <c r="AD38" s="10">
        <f t="shared" si="2"/>
        <v>7.366482504604052</v>
      </c>
      <c r="AE38" s="35">
        <v>47</v>
      </c>
      <c r="AF38" s="35">
        <v>85.6</v>
      </c>
      <c r="AG38" s="10">
        <f t="shared" si="3"/>
        <v>182.12765957446808</v>
      </c>
      <c r="AH38" s="35">
        <v>41.2</v>
      </c>
      <c r="AI38" s="35">
        <v>34.2</v>
      </c>
      <c r="AJ38" s="10">
        <f t="shared" si="4"/>
        <v>83.00970873786407</v>
      </c>
      <c r="AK38" s="71">
        <f t="shared" si="15"/>
        <v>142.5</v>
      </c>
      <c r="AL38" s="71">
        <f t="shared" si="16"/>
        <v>123.8</v>
      </c>
      <c r="AM38" s="10">
        <f t="shared" si="34"/>
        <v>86.87719298245614</v>
      </c>
      <c r="AN38" s="35"/>
      <c r="AO38" s="35"/>
      <c r="AP38" s="35"/>
      <c r="AQ38" s="35"/>
      <c r="AR38" s="35"/>
      <c r="AS38" s="35"/>
      <c r="AT38" s="58">
        <f t="shared" si="36"/>
        <v>375.8</v>
      </c>
      <c r="AU38" s="58">
        <f t="shared" si="37"/>
        <v>311.90000000000003</v>
      </c>
      <c r="AV38" s="10">
        <f>AU38/AT38*100</f>
        <v>82.99627461415648</v>
      </c>
      <c r="AW38" s="58">
        <f t="shared" si="38"/>
        <v>63.89999999999998</v>
      </c>
      <c r="AX38" s="16">
        <f t="shared" si="39"/>
        <v>40.799999999999955</v>
      </c>
      <c r="AY38" s="20">
        <f t="shared" si="9"/>
        <v>375.8</v>
      </c>
      <c r="AZ38" s="20">
        <f t="shared" si="10"/>
        <v>311.9</v>
      </c>
      <c r="BA38" s="39">
        <f t="shared" si="11"/>
        <v>40.80000000000001</v>
      </c>
    </row>
    <row r="39" spans="1:53" ht="34.5" customHeight="1">
      <c r="A39" s="12" t="s">
        <v>34</v>
      </c>
      <c r="B39" s="115" t="s">
        <v>4</v>
      </c>
      <c r="C39" s="84">
        <v>-2</v>
      </c>
      <c r="D39" s="35">
        <v>52.9</v>
      </c>
      <c r="E39" s="35">
        <v>0</v>
      </c>
      <c r="F39" s="10">
        <f t="shared" si="40"/>
        <v>0</v>
      </c>
      <c r="G39" s="35">
        <v>40</v>
      </c>
      <c r="H39" s="35">
        <v>40.6</v>
      </c>
      <c r="I39" s="10">
        <f t="shared" si="6"/>
        <v>101.50000000000001</v>
      </c>
      <c r="J39" s="35">
        <v>47.1</v>
      </c>
      <c r="K39" s="35">
        <v>38.5</v>
      </c>
      <c r="L39" s="10">
        <f t="shared" si="28"/>
        <v>81.74097664543524</v>
      </c>
      <c r="M39" s="71">
        <f t="shared" si="13"/>
        <v>140</v>
      </c>
      <c r="N39" s="71">
        <f t="shared" si="14"/>
        <v>79.1</v>
      </c>
      <c r="O39" s="10">
        <f t="shared" si="1"/>
        <v>56.49999999999999</v>
      </c>
      <c r="P39" s="35">
        <v>41.2</v>
      </c>
      <c r="Q39" s="35">
        <v>36.6</v>
      </c>
      <c r="R39" s="10">
        <f t="shared" si="7"/>
        <v>88.83495145631068</v>
      </c>
      <c r="S39" s="35">
        <v>34.3</v>
      </c>
      <c r="T39" s="35">
        <v>43.1</v>
      </c>
      <c r="U39" s="10">
        <f t="shared" si="8"/>
        <v>125.65597667638487</v>
      </c>
      <c r="V39" s="35">
        <v>43</v>
      </c>
      <c r="W39" s="35">
        <v>39.4</v>
      </c>
      <c r="X39" s="102">
        <f t="shared" si="30"/>
        <v>91.62790697674417</v>
      </c>
      <c r="Y39" s="71">
        <f t="shared" si="31"/>
        <v>118.5</v>
      </c>
      <c r="Z39" s="71">
        <f t="shared" si="32"/>
        <v>119.1</v>
      </c>
      <c r="AA39" s="10">
        <f t="shared" si="33"/>
        <v>100.50632911392405</v>
      </c>
      <c r="AB39" s="35">
        <v>33.4</v>
      </c>
      <c r="AC39" s="35">
        <v>47.6</v>
      </c>
      <c r="AD39" s="10">
        <f t="shared" si="2"/>
        <v>142.51497005988026</v>
      </c>
      <c r="AE39" s="35">
        <v>32.1</v>
      </c>
      <c r="AF39" s="35">
        <v>29.3</v>
      </c>
      <c r="AG39" s="10">
        <f t="shared" si="3"/>
        <v>91.27725856697819</v>
      </c>
      <c r="AH39" s="35">
        <v>31.1</v>
      </c>
      <c r="AI39" s="35">
        <v>56.2</v>
      </c>
      <c r="AJ39" s="10">
        <f t="shared" si="4"/>
        <v>180.7073954983923</v>
      </c>
      <c r="AK39" s="71">
        <f t="shared" si="15"/>
        <v>96.6</v>
      </c>
      <c r="AL39" s="71">
        <f t="shared" si="16"/>
        <v>133.10000000000002</v>
      </c>
      <c r="AM39" s="10">
        <f t="shared" si="34"/>
        <v>137.78467908902695</v>
      </c>
      <c r="AN39" s="35"/>
      <c r="AO39" s="35"/>
      <c r="AP39" s="35"/>
      <c r="AQ39" s="35"/>
      <c r="AR39" s="35"/>
      <c r="AS39" s="35"/>
      <c r="AT39" s="58">
        <f t="shared" si="36"/>
        <v>355.1</v>
      </c>
      <c r="AU39" s="58">
        <f t="shared" si="37"/>
        <v>331.3</v>
      </c>
      <c r="AV39" s="10">
        <f t="shared" si="5"/>
        <v>93.297662630245</v>
      </c>
      <c r="AW39" s="58">
        <f t="shared" si="38"/>
        <v>23.80000000000001</v>
      </c>
      <c r="AX39" s="16">
        <f t="shared" si="39"/>
        <v>21.80000000000001</v>
      </c>
      <c r="AY39" s="20">
        <f t="shared" si="9"/>
        <v>355.1</v>
      </c>
      <c r="AZ39" s="20">
        <f t="shared" si="10"/>
        <v>331.29999999999995</v>
      </c>
      <c r="BA39" s="39">
        <f t="shared" si="11"/>
        <v>21.800000000000068</v>
      </c>
    </row>
    <row r="40" spans="1:53" ht="34.5" customHeight="1">
      <c r="A40" s="12" t="s">
        <v>35</v>
      </c>
      <c r="B40" s="115" t="s">
        <v>63</v>
      </c>
      <c r="C40" s="84">
        <v>-7.3</v>
      </c>
      <c r="D40" s="35">
        <v>12.1</v>
      </c>
      <c r="E40" s="35">
        <v>5.4</v>
      </c>
      <c r="F40" s="10">
        <f t="shared" si="40"/>
        <v>44.62809917355373</v>
      </c>
      <c r="G40" s="35">
        <v>17.1</v>
      </c>
      <c r="H40" s="35">
        <v>8.7</v>
      </c>
      <c r="I40" s="10">
        <f t="shared" si="6"/>
        <v>50.87719298245613</v>
      </c>
      <c r="J40" s="35">
        <v>13.7</v>
      </c>
      <c r="K40" s="35">
        <v>8.4</v>
      </c>
      <c r="L40" s="10">
        <f t="shared" si="28"/>
        <v>61.31386861313869</v>
      </c>
      <c r="M40" s="71">
        <f t="shared" si="13"/>
        <v>42.900000000000006</v>
      </c>
      <c r="N40" s="71">
        <f t="shared" si="14"/>
        <v>22.5</v>
      </c>
      <c r="O40" s="10">
        <f t="shared" si="1"/>
        <v>52.44755244755244</v>
      </c>
      <c r="P40" s="35">
        <v>15.8</v>
      </c>
      <c r="Q40" s="35">
        <v>9.3</v>
      </c>
      <c r="R40" s="10">
        <f t="shared" si="7"/>
        <v>58.86075949367089</v>
      </c>
      <c r="S40" s="35">
        <v>10.9</v>
      </c>
      <c r="T40" s="35">
        <v>14.3</v>
      </c>
      <c r="U40" s="10">
        <f t="shared" si="8"/>
        <v>131.19266055045873</v>
      </c>
      <c r="V40" s="35">
        <v>10.4</v>
      </c>
      <c r="W40" s="35">
        <v>11</v>
      </c>
      <c r="X40" s="10">
        <f t="shared" si="30"/>
        <v>105.76923076923077</v>
      </c>
      <c r="Y40" s="71">
        <f t="shared" si="31"/>
        <v>37.1</v>
      </c>
      <c r="Z40" s="71">
        <f t="shared" si="32"/>
        <v>34.6</v>
      </c>
      <c r="AA40" s="10">
        <f t="shared" si="33"/>
        <v>93.26145552560648</v>
      </c>
      <c r="AB40" s="35">
        <v>7.7</v>
      </c>
      <c r="AC40" s="35">
        <v>10</v>
      </c>
      <c r="AD40" s="10">
        <f t="shared" si="2"/>
        <v>129.87012987012986</v>
      </c>
      <c r="AE40" s="35">
        <v>6.6</v>
      </c>
      <c r="AF40" s="35">
        <v>7.6</v>
      </c>
      <c r="AG40" s="10">
        <f t="shared" si="3"/>
        <v>115.15151515151516</v>
      </c>
      <c r="AH40" s="35">
        <v>8.7</v>
      </c>
      <c r="AI40" s="35">
        <v>5.2</v>
      </c>
      <c r="AJ40" s="10">
        <f t="shared" si="4"/>
        <v>59.77011494252874</v>
      </c>
      <c r="AK40" s="71">
        <f t="shared" si="15"/>
        <v>23</v>
      </c>
      <c r="AL40" s="71">
        <f t="shared" si="16"/>
        <v>22.8</v>
      </c>
      <c r="AM40" s="10">
        <f t="shared" si="34"/>
        <v>99.1304347826087</v>
      </c>
      <c r="AN40" s="35"/>
      <c r="AO40" s="35"/>
      <c r="AP40" s="35"/>
      <c r="AQ40" s="35"/>
      <c r="AR40" s="35"/>
      <c r="AS40" s="35"/>
      <c r="AT40" s="58">
        <f t="shared" si="36"/>
        <v>103</v>
      </c>
      <c r="AU40" s="58">
        <f t="shared" si="37"/>
        <v>79.9</v>
      </c>
      <c r="AV40" s="10">
        <f t="shared" si="5"/>
        <v>77.57281553398059</v>
      </c>
      <c r="AW40" s="58">
        <f t="shared" si="38"/>
        <v>23.099999999999994</v>
      </c>
      <c r="AX40" s="16">
        <f t="shared" si="39"/>
        <v>15.799999999999997</v>
      </c>
      <c r="AY40" s="20">
        <f t="shared" si="9"/>
        <v>103.00000000000001</v>
      </c>
      <c r="AZ40" s="20">
        <f t="shared" si="10"/>
        <v>79.89999999999999</v>
      </c>
      <c r="BA40" s="39">
        <f t="shared" si="11"/>
        <v>15.800000000000026</v>
      </c>
    </row>
    <row r="41" spans="1:53" ht="34.5" customHeight="1">
      <c r="A41" s="12" t="s">
        <v>36</v>
      </c>
      <c r="B41" s="59" t="s">
        <v>64</v>
      </c>
      <c r="C41" s="90">
        <v>-6.5</v>
      </c>
      <c r="D41" s="35">
        <v>11.7</v>
      </c>
      <c r="E41" s="35">
        <v>4.3</v>
      </c>
      <c r="F41" s="10">
        <f t="shared" si="40"/>
        <v>36.75213675213676</v>
      </c>
      <c r="G41" s="35">
        <v>14.1</v>
      </c>
      <c r="H41" s="35">
        <v>6.8</v>
      </c>
      <c r="I41" s="10">
        <f t="shared" si="6"/>
        <v>48.226950354609926</v>
      </c>
      <c r="J41" s="35">
        <v>14.9</v>
      </c>
      <c r="K41" s="35">
        <v>16.5</v>
      </c>
      <c r="L41" s="60">
        <f t="shared" si="28"/>
        <v>110.73825503355705</v>
      </c>
      <c r="M41" s="71">
        <f t="shared" si="13"/>
        <v>40.699999999999996</v>
      </c>
      <c r="N41" s="71">
        <f t="shared" si="14"/>
        <v>27.6</v>
      </c>
      <c r="O41" s="10">
        <f t="shared" si="1"/>
        <v>67.81326781326781</v>
      </c>
      <c r="P41" s="35">
        <v>16.9</v>
      </c>
      <c r="Q41" s="35">
        <v>14.5</v>
      </c>
      <c r="R41" s="10">
        <f t="shared" si="7"/>
        <v>85.79881656804734</v>
      </c>
      <c r="S41" s="35">
        <v>14.7</v>
      </c>
      <c r="T41" s="35">
        <v>17.6</v>
      </c>
      <c r="U41" s="10">
        <f t="shared" si="8"/>
        <v>119.7278911564626</v>
      </c>
      <c r="V41" s="35">
        <v>10.7</v>
      </c>
      <c r="W41" s="35">
        <v>8.4</v>
      </c>
      <c r="X41" s="102">
        <f t="shared" si="30"/>
        <v>78.50467289719627</v>
      </c>
      <c r="Y41" s="71">
        <f t="shared" si="31"/>
        <v>42.3</v>
      </c>
      <c r="Z41" s="71">
        <f t="shared" si="32"/>
        <v>40.5</v>
      </c>
      <c r="AA41" s="10">
        <f t="shared" si="33"/>
        <v>95.74468085106383</v>
      </c>
      <c r="AB41" s="35">
        <v>11.9</v>
      </c>
      <c r="AC41" s="35">
        <v>13.8</v>
      </c>
      <c r="AD41" s="10">
        <f t="shared" si="2"/>
        <v>115.96638655462186</v>
      </c>
      <c r="AE41" s="35">
        <v>11.5</v>
      </c>
      <c r="AF41" s="35">
        <v>12.9</v>
      </c>
      <c r="AG41" s="10">
        <f t="shared" si="3"/>
        <v>112.17391304347825</v>
      </c>
      <c r="AH41" s="35">
        <v>12.2</v>
      </c>
      <c r="AI41" s="35">
        <v>14.3</v>
      </c>
      <c r="AJ41" s="10">
        <f t="shared" si="4"/>
        <v>117.21311475409837</v>
      </c>
      <c r="AK41" s="71">
        <f t="shared" si="15"/>
        <v>35.599999999999994</v>
      </c>
      <c r="AL41" s="71">
        <f t="shared" si="16"/>
        <v>41</v>
      </c>
      <c r="AM41" s="10">
        <f t="shared" si="34"/>
        <v>115.16853932584272</v>
      </c>
      <c r="AN41" s="35"/>
      <c r="AO41" s="35"/>
      <c r="AP41" s="35"/>
      <c r="AQ41" s="35"/>
      <c r="AR41" s="35"/>
      <c r="AS41" s="35"/>
      <c r="AT41" s="58">
        <f t="shared" si="36"/>
        <v>118.6</v>
      </c>
      <c r="AU41" s="58">
        <f t="shared" si="37"/>
        <v>109.1</v>
      </c>
      <c r="AV41" s="10">
        <f t="shared" si="5"/>
        <v>91.98988195615514</v>
      </c>
      <c r="AW41" s="58">
        <f t="shared" si="38"/>
        <v>9.5</v>
      </c>
      <c r="AX41" s="16">
        <f t="shared" si="39"/>
        <v>3</v>
      </c>
      <c r="AY41" s="20">
        <f t="shared" si="9"/>
        <v>118.60000000000001</v>
      </c>
      <c r="AZ41" s="20">
        <f t="shared" si="10"/>
        <v>109.10000000000001</v>
      </c>
      <c r="BA41" s="39">
        <f t="shared" si="11"/>
        <v>3</v>
      </c>
    </row>
    <row r="42" spans="1:53" ht="34.5" customHeight="1">
      <c r="A42" s="12" t="s">
        <v>37</v>
      </c>
      <c r="B42" s="115" t="s">
        <v>48</v>
      </c>
      <c r="C42" s="84">
        <v>-3.4</v>
      </c>
      <c r="D42" s="35">
        <v>100.1</v>
      </c>
      <c r="E42" s="35">
        <v>2.9</v>
      </c>
      <c r="F42" s="10">
        <f t="shared" si="40"/>
        <v>2.897102897102897</v>
      </c>
      <c r="G42" s="35">
        <v>126.3</v>
      </c>
      <c r="H42" s="35">
        <v>39</v>
      </c>
      <c r="I42" s="10">
        <f t="shared" si="6"/>
        <v>30.878859857482187</v>
      </c>
      <c r="J42" s="35">
        <v>115.7</v>
      </c>
      <c r="K42" s="35">
        <v>45</v>
      </c>
      <c r="L42" s="60">
        <f t="shared" si="28"/>
        <v>38.89369057908383</v>
      </c>
      <c r="M42" s="71">
        <f t="shared" si="13"/>
        <v>342.09999999999997</v>
      </c>
      <c r="N42" s="71">
        <f t="shared" si="14"/>
        <v>86.9</v>
      </c>
      <c r="O42" s="10">
        <f t="shared" si="1"/>
        <v>25.401929260450164</v>
      </c>
      <c r="P42" s="35">
        <v>106.8</v>
      </c>
      <c r="Q42" s="35">
        <v>217.3</v>
      </c>
      <c r="R42" s="10">
        <f t="shared" si="7"/>
        <v>203.46441947565546</v>
      </c>
      <c r="S42" s="35">
        <v>82.7</v>
      </c>
      <c r="T42" s="35">
        <v>86.1</v>
      </c>
      <c r="U42" s="10">
        <f t="shared" si="8"/>
        <v>104.11124546553808</v>
      </c>
      <c r="V42" s="35">
        <v>130.5</v>
      </c>
      <c r="W42" s="35">
        <v>107.1</v>
      </c>
      <c r="X42" s="102">
        <f t="shared" si="30"/>
        <v>82.06896551724138</v>
      </c>
      <c r="Y42" s="71">
        <f t="shared" si="31"/>
        <v>320</v>
      </c>
      <c r="Z42" s="71">
        <f t="shared" si="32"/>
        <v>410.5</v>
      </c>
      <c r="AA42" s="10">
        <f t="shared" si="33"/>
        <v>128.28125</v>
      </c>
      <c r="AB42" s="35">
        <v>122.3</v>
      </c>
      <c r="AC42" s="35">
        <v>79.8</v>
      </c>
      <c r="AD42" s="10">
        <f t="shared" si="2"/>
        <v>65.24938675388388</v>
      </c>
      <c r="AE42" s="35">
        <v>131.5</v>
      </c>
      <c r="AF42" s="35">
        <v>173.1</v>
      </c>
      <c r="AG42" s="10">
        <f t="shared" si="3"/>
        <v>131.63498098859316</v>
      </c>
      <c r="AH42" s="35">
        <v>90.1</v>
      </c>
      <c r="AI42" s="35">
        <v>155.4</v>
      </c>
      <c r="AJ42" s="10">
        <f t="shared" si="4"/>
        <v>172.47502774694786</v>
      </c>
      <c r="AK42" s="71">
        <f t="shared" si="15"/>
        <v>343.9</v>
      </c>
      <c r="AL42" s="71">
        <f t="shared" si="16"/>
        <v>408.29999999999995</v>
      </c>
      <c r="AM42" s="10">
        <f t="shared" si="34"/>
        <v>118.7263739459145</v>
      </c>
      <c r="AN42" s="35"/>
      <c r="AO42" s="35"/>
      <c r="AP42" s="35"/>
      <c r="AQ42" s="35"/>
      <c r="AR42" s="35"/>
      <c r="AS42" s="35"/>
      <c r="AT42" s="58">
        <f t="shared" si="36"/>
        <v>1005.9999999999999</v>
      </c>
      <c r="AU42" s="58">
        <f t="shared" si="37"/>
        <v>905.6999999999999</v>
      </c>
      <c r="AV42" s="10">
        <f t="shared" si="5"/>
        <v>90.02982107355865</v>
      </c>
      <c r="AW42" s="58">
        <f t="shared" si="38"/>
        <v>100.29999999999995</v>
      </c>
      <c r="AX42" s="16">
        <f t="shared" si="39"/>
        <v>96.89999999999998</v>
      </c>
      <c r="AY42" s="20">
        <f t="shared" si="9"/>
        <v>1006</v>
      </c>
      <c r="AZ42" s="20">
        <f t="shared" si="10"/>
        <v>905.7</v>
      </c>
      <c r="BA42" s="39">
        <f t="shared" si="11"/>
        <v>96.89999999999998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671.1999999999999</v>
      </c>
      <c r="D43" s="16">
        <f>SUM(D44:D44)</f>
        <v>6330.1</v>
      </c>
      <c r="E43" s="16">
        <f>SUM(E44:E44)</f>
        <v>399.3</v>
      </c>
      <c r="F43" s="10">
        <f t="shared" si="40"/>
        <v>6.307957220265083</v>
      </c>
      <c r="G43" s="16">
        <f>SUM(G44:G44)</f>
        <v>6739.7</v>
      </c>
      <c r="H43" s="16">
        <f>SUM(H44:H44)</f>
        <v>5770.4</v>
      </c>
      <c r="I43" s="10">
        <f t="shared" si="6"/>
        <v>85.61805421606302</v>
      </c>
      <c r="J43" s="16">
        <f>SUM(J44:J44)</f>
        <v>6768.5</v>
      </c>
      <c r="K43" s="16">
        <f>SUM(K44:K44)</f>
        <v>7689.7</v>
      </c>
      <c r="L43" s="60">
        <f t="shared" si="28"/>
        <v>113.61010563640393</v>
      </c>
      <c r="M43" s="16">
        <f>SUM(M44:M44)</f>
        <v>19838.3</v>
      </c>
      <c r="N43" s="16">
        <f>SUM(N44:N44)</f>
        <v>13859.4</v>
      </c>
      <c r="O43" s="10">
        <f t="shared" si="1"/>
        <v>69.86183291915134</v>
      </c>
      <c r="P43" s="16">
        <f>SUM(P44:P44)</f>
        <v>7190.6</v>
      </c>
      <c r="Q43" s="16">
        <f>SUM(Q44:Q44)</f>
        <v>5958.3</v>
      </c>
      <c r="R43" s="10">
        <f t="shared" si="7"/>
        <v>82.86234806553</v>
      </c>
      <c r="S43" s="16">
        <f>SUM(S44:S44)</f>
        <v>7673.9</v>
      </c>
      <c r="T43" s="16">
        <f>SUM(T44:T44)</f>
        <v>6769.3</v>
      </c>
      <c r="U43" s="10">
        <f t="shared" si="8"/>
        <v>88.21199129516934</v>
      </c>
      <c r="V43" s="16">
        <f>SUM(V44:V44)</f>
        <v>7209.4</v>
      </c>
      <c r="W43" s="16">
        <f>SUM(W44:W44)</f>
        <v>7280.6</v>
      </c>
      <c r="X43" s="10">
        <f t="shared" si="30"/>
        <v>100.9875995228452</v>
      </c>
      <c r="Y43" s="16">
        <f>SUM(Y44:Y44)</f>
        <v>22073.9</v>
      </c>
      <c r="Z43" s="16">
        <f>SUM(Z44:Z44)</f>
        <v>20008.2</v>
      </c>
      <c r="AA43" s="10">
        <f t="shared" si="33"/>
        <v>90.64188929006654</v>
      </c>
      <c r="AB43" s="16">
        <f>SUM(AB44:AB44)</f>
        <v>6496.2</v>
      </c>
      <c r="AC43" s="16">
        <f>SUM(AC44:AC44)</f>
        <v>6970.6</v>
      </c>
      <c r="AD43" s="10">
        <f t="shared" si="2"/>
        <v>107.30273082725286</v>
      </c>
      <c r="AE43" s="16">
        <f>SUM(AE44:AE44)</f>
        <v>5162.3</v>
      </c>
      <c r="AF43" s="16">
        <f>SUM(AF44:AF44)</f>
        <v>6653.1</v>
      </c>
      <c r="AG43" s="10">
        <f t="shared" si="3"/>
        <v>128.878600623753</v>
      </c>
      <c r="AH43" s="16">
        <f>SUM(AH44:AH44)</f>
        <v>6846.7</v>
      </c>
      <c r="AI43" s="16">
        <f>SUM(AI44:AI44)</f>
        <v>5548.7</v>
      </c>
      <c r="AJ43" s="10">
        <f t="shared" si="4"/>
        <v>81.04196182102326</v>
      </c>
      <c r="AK43" s="16">
        <f>SUM(AK44:AK44)</f>
        <v>18505.2</v>
      </c>
      <c r="AL43" s="16">
        <f>SUM(AL44:AL44)</f>
        <v>19172.4</v>
      </c>
      <c r="AM43" s="10">
        <f t="shared" si="34"/>
        <v>103.60547305622202</v>
      </c>
      <c r="AN43" s="16">
        <f aca="true" t="shared" si="41" ref="AN43:AS43">SUM(AN44:AN44)</f>
        <v>0</v>
      </c>
      <c r="AO43" s="16">
        <f t="shared" si="41"/>
        <v>0</v>
      </c>
      <c r="AP43" s="16">
        <f t="shared" si="41"/>
        <v>0</v>
      </c>
      <c r="AQ43" s="16">
        <f t="shared" si="41"/>
        <v>0</v>
      </c>
      <c r="AR43" s="16">
        <f t="shared" si="41"/>
        <v>0</v>
      </c>
      <c r="AS43" s="16">
        <f t="shared" si="41"/>
        <v>0</v>
      </c>
      <c r="AT43" s="102">
        <f>AT44</f>
        <v>60417.399999999994</v>
      </c>
      <c r="AU43" s="102">
        <f>AU44</f>
        <v>53040</v>
      </c>
      <c r="AV43" s="10">
        <f t="shared" si="5"/>
        <v>87.78927924736915</v>
      </c>
      <c r="AW43" s="16">
        <f>SUM(AW44:AW44)</f>
        <v>7377.399999999994</v>
      </c>
      <c r="AX43" s="16">
        <f>SUM(AX44:AX44)</f>
        <v>8048.599999999991</v>
      </c>
      <c r="AY43" s="20">
        <f t="shared" si="9"/>
        <v>60417.4</v>
      </c>
      <c r="AZ43" s="20">
        <f t="shared" si="10"/>
        <v>53039.99999999999</v>
      </c>
      <c r="BA43" s="39">
        <f t="shared" si="11"/>
        <v>8048.600000000006</v>
      </c>
    </row>
    <row r="44" spans="1:53" s="11" customFormat="1" ht="34.5" customHeight="1">
      <c r="A44" s="8"/>
      <c r="B44" s="38" t="s">
        <v>67</v>
      </c>
      <c r="C44" s="84">
        <f>774.8-103.6</f>
        <v>671.1999999999999</v>
      </c>
      <c r="D44" s="35">
        <v>6330.1</v>
      </c>
      <c r="E44" s="66">
        <v>399.3</v>
      </c>
      <c r="F44" s="10">
        <f t="shared" si="40"/>
        <v>6.307957220265083</v>
      </c>
      <c r="G44" s="35">
        <v>6739.7</v>
      </c>
      <c r="H44" s="35">
        <v>5770.4</v>
      </c>
      <c r="I44" s="10">
        <f t="shared" si="6"/>
        <v>85.61805421606302</v>
      </c>
      <c r="J44" s="35">
        <v>6768.5</v>
      </c>
      <c r="K44" s="35">
        <v>7689.7</v>
      </c>
      <c r="L44" s="10">
        <f t="shared" si="28"/>
        <v>113.61010563640393</v>
      </c>
      <c r="M44" s="71">
        <f t="shared" si="13"/>
        <v>19838.3</v>
      </c>
      <c r="N44" s="71">
        <f t="shared" si="14"/>
        <v>13859.4</v>
      </c>
      <c r="O44" s="10">
        <f t="shared" si="1"/>
        <v>69.86183291915134</v>
      </c>
      <c r="P44" s="35">
        <v>7190.6</v>
      </c>
      <c r="Q44" s="35">
        <v>5958.3</v>
      </c>
      <c r="R44" s="10">
        <f t="shared" si="7"/>
        <v>82.86234806553</v>
      </c>
      <c r="S44" s="35">
        <v>7673.9</v>
      </c>
      <c r="T44" s="35">
        <v>6769.3</v>
      </c>
      <c r="U44" s="10">
        <f t="shared" si="8"/>
        <v>88.21199129516934</v>
      </c>
      <c r="V44" s="35">
        <v>7209.4</v>
      </c>
      <c r="W44" s="35">
        <v>7280.6</v>
      </c>
      <c r="X44" s="10">
        <f t="shared" si="30"/>
        <v>100.9875995228452</v>
      </c>
      <c r="Y44" s="71">
        <f>P44+S44+V44</f>
        <v>22073.9</v>
      </c>
      <c r="Z44" s="71">
        <f>Q44+T44+W44</f>
        <v>20008.2</v>
      </c>
      <c r="AA44" s="10">
        <f t="shared" si="33"/>
        <v>90.64188929006654</v>
      </c>
      <c r="AB44" s="35">
        <v>6496.2</v>
      </c>
      <c r="AC44" s="35">
        <v>6970.6</v>
      </c>
      <c r="AD44" s="10">
        <f t="shared" si="2"/>
        <v>107.30273082725286</v>
      </c>
      <c r="AE44" s="35">
        <v>5162.3</v>
      </c>
      <c r="AF44" s="35">
        <v>6653.1</v>
      </c>
      <c r="AG44" s="10">
        <f t="shared" si="3"/>
        <v>128.878600623753</v>
      </c>
      <c r="AH44" s="35">
        <v>6846.7</v>
      </c>
      <c r="AI44" s="35">
        <v>5548.7</v>
      </c>
      <c r="AJ44" s="10">
        <f t="shared" si="4"/>
        <v>81.04196182102326</v>
      </c>
      <c r="AK44" s="71">
        <f>AB44+AE44+AH44</f>
        <v>18505.2</v>
      </c>
      <c r="AL44" s="71">
        <f>AC44+AF44+AI44</f>
        <v>19172.4</v>
      </c>
      <c r="AM44" s="10">
        <f t="shared" si="34"/>
        <v>103.60547305622202</v>
      </c>
      <c r="AN44" s="35"/>
      <c r="AO44" s="35"/>
      <c r="AP44" s="35"/>
      <c r="AQ44" s="35"/>
      <c r="AR44" s="35"/>
      <c r="AS44" s="35"/>
      <c r="AT44" s="58">
        <f>M44+Y44+AK44+AN44+AP44+AR44</f>
        <v>60417.399999999994</v>
      </c>
      <c r="AU44" s="58">
        <f>N44+Z44+AL44+AO44+AQ44+AS44</f>
        <v>53040</v>
      </c>
      <c r="AV44" s="10">
        <f t="shared" si="5"/>
        <v>87.78927924736915</v>
      </c>
      <c r="AW44" s="58">
        <f>AT44-AU44</f>
        <v>7377.399999999994</v>
      </c>
      <c r="AX44" s="13">
        <f>C44+AT44-AU44</f>
        <v>8048.599999999991</v>
      </c>
      <c r="AY44" s="20">
        <f t="shared" si="9"/>
        <v>60417.4</v>
      </c>
      <c r="AZ44" s="20">
        <f t="shared" si="10"/>
        <v>53039.99999999999</v>
      </c>
      <c r="BA44" s="39">
        <f t="shared" si="11"/>
        <v>8048.600000000006</v>
      </c>
    </row>
    <row r="45" spans="1:53" ht="34.5" customHeight="1">
      <c r="A45" s="12"/>
      <c r="B45" s="14" t="s">
        <v>96</v>
      </c>
      <c r="C45" s="67">
        <f>C43+C7</f>
        <v>544.1999999999999</v>
      </c>
      <c r="D45" s="16">
        <f>D43+D7</f>
        <v>6956.6</v>
      </c>
      <c r="E45" s="16">
        <f>E43+E7</f>
        <v>453.5</v>
      </c>
      <c r="F45" s="10">
        <f>E45/D45*100</f>
        <v>6.518989161371934</v>
      </c>
      <c r="G45" s="16">
        <f>G7+G43</f>
        <v>7322.1</v>
      </c>
      <c r="H45" s="16">
        <f>H7+H43</f>
        <v>6062.4</v>
      </c>
      <c r="I45" s="10">
        <f t="shared" si="6"/>
        <v>82.79591920350718</v>
      </c>
      <c r="J45" s="16">
        <f>J7+J43</f>
        <v>7342.3</v>
      </c>
      <c r="K45" s="16">
        <f>K7+K43</f>
        <v>8434.8</v>
      </c>
      <c r="L45" s="10">
        <f t="shared" si="28"/>
        <v>114.87953366111434</v>
      </c>
      <c r="M45" s="16">
        <f>M7+M43</f>
        <v>21621</v>
      </c>
      <c r="N45" s="16">
        <f>N7+N43</f>
        <v>14950.7</v>
      </c>
      <c r="O45" s="10">
        <f t="shared" si="1"/>
        <v>69.14897553304658</v>
      </c>
      <c r="P45" s="16">
        <f>P7+P43</f>
        <v>7743.8</v>
      </c>
      <c r="Q45" s="16">
        <f>Q7+Q43</f>
        <v>6400.2</v>
      </c>
      <c r="R45" s="10">
        <f t="shared" si="7"/>
        <v>82.64934528267776</v>
      </c>
      <c r="S45" s="16">
        <f>S7+S43</f>
        <v>8224.9</v>
      </c>
      <c r="T45" s="16">
        <f>T7+T43</f>
        <v>7377.200000000001</v>
      </c>
      <c r="U45" s="10">
        <f t="shared" si="8"/>
        <v>89.69349171418499</v>
      </c>
      <c r="V45" s="16">
        <f>V7+V43</f>
        <v>7804</v>
      </c>
      <c r="W45" s="16">
        <f>W7+W43</f>
        <v>7984.3</v>
      </c>
      <c r="X45" s="10">
        <f t="shared" si="30"/>
        <v>102.31035366478729</v>
      </c>
      <c r="Y45" s="16">
        <f>Y7+Y43</f>
        <v>23772.7</v>
      </c>
      <c r="Z45" s="16">
        <f>Z7+Z43</f>
        <v>21761.7</v>
      </c>
      <c r="AA45" s="10">
        <f t="shared" si="33"/>
        <v>91.54071687271535</v>
      </c>
      <c r="AB45" s="16">
        <f>AB7+AB43</f>
        <v>7114.599999999999</v>
      </c>
      <c r="AC45" s="16">
        <f>AC7+AC43</f>
        <v>7473.2</v>
      </c>
      <c r="AD45" s="10">
        <f t="shared" si="2"/>
        <v>105.0403395833919</v>
      </c>
      <c r="AE45" s="16">
        <f>AE43+AE7</f>
        <v>5758.900000000001</v>
      </c>
      <c r="AF45" s="16">
        <f>AF43+AF7</f>
        <v>7345.400000000001</v>
      </c>
      <c r="AG45" s="10">
        <f t="shared" si="3"/>
        <v>127.5486638073243</v>
      </c>
      <c r="AH45" s="16">
        <f>AH43+AH7</f>
        <v>7502.7</v>
      </c>
      <c r="AI45" s="16">
        <f>AI43+AI7</f>
        <v>6231</v>
      </c>
      <c r="AJ45" s="10">
        <f t="shared" si="4"/>
        <v>83.05010196329322</v>
      </c>
      <c r="AK45" s="16">
        <f>AK7+AK43</f>
        <v>20376.2</v>
      </c>
      <c r="AL45" s="16">
        <f>AL7+AL43</f>
        <v>21049.600000000002</v>
      </c>
      <c r="AM45" s="10">
        <f t="shared" si="34"/>
        <v>103.30483603419675</v>
      </c>
      <c r="AN45" s="16">
        <f aca="true" t="shared" si="42" ref="AN45:AS45">AN43+AN7</f>
        <v>0</v>
      </c>
      <c r="AO45" s="16">
        <f t="shared" si="42"/>
        <v>0</v>
      </c>
      <c r="AP45" s="16">
        <f t="shared" si="42"/>
        <v>0</v>
      </c>
      <c r="AQ45" s="16">
        <f t="shared" si="42"/>
        <v>0</v>
      </c>
      <c r="AR45" s="16">
        <f t="shared" si="42"/>
        <v>0</v>
      </c>
      <c r="AS45" s="16">
        <f t="shared" si="42"/>
        <v>0</v>
      </c>
      <c r="AT45" s="67">
        <f>AT7+AT43</f>
        <v>65769.9</v>
      </c>
      <c r="AU45" s="67">
        <f>AU7+AU43</f>
        <v>57762</v>
      </c>
      <c r="AV45" s="10">
        <f>AU45/AT45*100</f>
        <v>87.82436950641555</v>
      </c>
      <c r="AW45" s="16">
        <f>AW7+AW43</f>
        <v>8007.899999999994</v>
      </c>
      <c r="AX45" s="16">
        <f>AX7+AX43</f>
        <v>8552.099999999991</v>
      </c>
      <c r="AY45" s="20">
        <f t="shared" si="9"/>
        <v>65769.9</v>
      </c>
      <c r="AZ45" s="20">
        <f t="shared" si="10"/>
        <v>57762</v>
      </c>
      <c r="BA45" s="39">
        <f t="shared" si="11"/>
        <v>8552.099999999991</v>
      </c>
    </row>
    <row r="46" spans="1:62" s="111" customFormat="1" ht="87" customHeight="1">
      <c r="A46" s="160" t="s">
        <v>101</v>
      </c>
      <c r="B46" s="160"/>
      <c r="C46" s="160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6"/>
      <c r="AU46" s="126"/>
      <c r="AV46" s="127"/>
      <c r="AW46" s="127"/>
      <c r="AX46" s="128" t="s">
        <v>100</v>
      </c>
      <c r="AY46" s="126"/>
      <c r="AZ46" s="126"/>
      <c r="BA46" s="126"/>
      <c r="BB46" s="126"/>
      <c r="BC46" s="126"/>
      <c r="BD46" s="126"/>
      <c r="BE46" s="126"/>
      <c r="BF46" s="126"/>
      <c r="BG46" s="129"/>
      <c r="BH46" s="129"/>
      <c r="BI46" s="129"/>
      <c r="BJ46" s="129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80" t="s">
        <v>75</v>
      </c>
      <c r="AX47" s="181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7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0" s="29" customFormat="1" ht="58.5" customHeight="1">
      <c r="A51" s="26"/>
      <c r="B51" s="173" t="s">
        <v>76</v>
      </c>
      <c r="C51" s="173"/>
      <c r="D51" s="173"/>
      <c r="E51" s="173"/>
      <c r="F51" s="173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</row>
    <row r="52" spans="1:50" ht="73.5" customHeight="1" hidden="1">
      <c r="A52" s="172" t="s">
        <v>72</v>
      </c>
      <c r="B52" s="172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24.75" customHeight="1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2:50" ht="24.75" customHeight="1">
      <c r="B54" s="94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7:50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24.75" customHeight="1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24.75" customHeight="1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7:50" ht="24.75" customHeight="1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24.75" customHeight="1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24.75" customHeight="1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24.75" customHeight="1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24.75" customHeight="1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24.75" customHeight="1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24.75" customHeight="1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24.75" customHeight="1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24.75" customHeight="1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24.75" customHeight="1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24.75" customHeight="1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24.75" customHeight="1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24.75" customHeight="1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24.75" customHeight="1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24.75" customHeight="1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24.75" customHeight="1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24.75" customHeight="1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24.75" customHeight="1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24.75" customHeight="1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24.75" customHeight="1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24.75" customHeight="1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24.75" customHeight="1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24.75" customHeight="1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24.75" customHeight="1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24.75" customHeight="1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24.75" customHeight="1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24.75" customHeight="1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24.75" customHeight="1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24.75" customHeight="1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24.75" customHeight="1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24.75" customHeight="1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24.75" customHeight="1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24.75" customHeight="1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24.75" customHeight="1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24.75" customHeight="1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24.75" customHeight="1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24.75" customHeight="1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24.75" customHeight="1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24.75" customHeight="1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24.75" customHeight="1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52:B52"/>
    <mergeCell ref="S5:U5"/>
    <mergeCell ref="B4:F4"/>
    <mergeCell ref="B51:F51"/>
    <mergeCell ref="J5:L5"/>
    <mergeCell ref="M5:O5"/>
    <mergeCell ref="A46:C46"/>
    <mergeCell ref="AK5:AM5"/>
    <mergeCell ref="AW47:AX47"/>
    <mergeCell ref="V5:X5"/>
    <mergeCell ref="Y5:AA5"/>
    <mergeCell ref="AB5:AD5"/>
    <mergeCell ref="AP5:AQ5"/>
    <mergeCell ref="AR5:AS5"/>
    <mergeCell ref="AH5:AJ5"/>
    <mergeCell ref="A2:AX3"/>
    <mergeCell ref="I1:AX1"/>
    <mergeCell ref="D5:F5"/>
    <mergeCell ref="G5:I5"/>
    <mergeCell ref="P5:R5"/>
    <mergeCell ref="AE5:AG5"/>
    <mergeCell ref="AW5:AW6"/>
    <mergeCell ref="AX5:AX6"/>
    <mergeCell ref="AT5:AV5"/>
    <mergeCell ref="AN5:AO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AH4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Y4" sqref="AY4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3" customWidth="1"/>
    <col min="4" max="4" width="21.125" style="2" hidden="1" customWidth="1"/>
    <col min="5" max="5" width="21.00390625" style="2" hidden="1" customWidth="1"/>
    <col min="6" max="6" width="14.00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4.00390625" style="11" customWidth="1"/>
    <col min="14" max="14" width="12.7539062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00390625" style="11" hidden="1" customWidth="1"/>
    <col min="23" max="23" width="14.25390625" style="11" hidden="1" customWidth="1"/>
    <col min="24" max="24" width="11.125" style="11" hidden="1" customWidth="1"/>
    <col min="25" max="25" width="14.00390625" style="11" customWidth="1"/>
    <col min="26" max="26" width="12.75390625" style="11" customWidth="1"/>
    <col min="27" max="27" width="11.125" style="11" customWidth="1"/>
    <col min="28" max="28" width="14.00390625" style="11" customWidth="1"/>
    <col min="29" max="29" width="14.25390625" style="11" customWidth="1"/>
    <col min="30" max="30" width="11.125" style="11" customWidth="1"/>
    <col min="31" max="31" width="14.75390625" style="11" customWidth="1"/>
    <col min="32" max="32" width="12.125" style="11" customWidth="1"/>
    <col min="33" max="33" width="11.00390625" style="11" customWidth="1"/>
    <col min="34" max="34" width="13.125" style="11" customWidth="1"/>
    <col min="35" max="36" width="11.00390625" style="11" customWidth="1"/>
    <col min="37" max="37" width="14.00390625" style="11" hidden="1" customWidth="1"/>
    <col min="38" max="38" width="12.75390625" style="11" hidden="1" customWidth="1"/>
    <col min="39" max="39" width="11.125" style="11" hidden="1" customWidth="1"/>
    <col min="40" max="40" width="13.125" style="11" hidden="1" customWidth="1"/>
    <col min="41" max="41" width="11.00390625" style="11" hidden="1" customWidth="1"/>
    <col min="42" max="42" width="13.125" style="11" hidden="1" customWidth="1"/>
    <col min="43" max="43" width="11.00390625" style="11" hidden="1" customWidth="1"/>
    <col min="44" max="44" width="13.125" style="11" hidden="1" customWidth="1"/>
    <col min="45" max="45" width="11.00390625" style="11" hidden="1" customWidth="1"/>
    <col min="46" max="47" width="14.75390625" style="2" customWidth="1"/>
    <col min="48" max="48" width="11.125" style="11" customWidth="1"/>
    <col min="49" max="49" width="20.00390625" style="2" customWidth="1"/>
    <col min="50" max="50" width="27.125" style="2" customWidth="1"/>
    <col min="51" max="51" width="13.625" style="2" customWidth="1"/>
    <col min="52" max="52" width="11.125" style="2" customWidth="1"/>
    <col min="53" max="53" width="10.375" style="2" customWidth="1"/>
    <col min="54" max="54" width="7.625" style="2" customWidth="1"/>
    <col min="55" max="16384" width="6.75390625" style="2" customWidth="1"/>
  </cols>
  <sheetData>
    <row r="1" spans="9:50" ht="19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1" customFormat="1" ht="60" customHeight="1">
      <c r="A2" s="183" t="s">
        <v>120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</row>
    <row r="3" spans="1:50" s="51" customFormat="1" ht="60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</row>
    <row r="4" spans="2:50" ht="49.5" customHeight="1">
      <c r="B4" s="163"/>
      <c r="C4" s="163"/>
      <c r="D4" s="163"/>
      <c r="E4" s="163"/>
      <c r="F4" s="163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86</v>
      </c>
    </row>
    <row r="5" spans="1:50" ht="58.5" customHeight="1">
      <c r="A5" s="41" t="s">
        <v>46</v>
      </c>
      <c r="B5" s="42"/>
      <c r="C5" s="43" t="s">
        <v>1</v>
      </c>
      <c r="D5" s="169" t="s">
        <v>102</v>
      </c>
      <c r="E5" s="170"/>
      <c r="F5" s="171"/>
      <c r="G5" s="164" t="s">
        <v>105</v>
      </c>
      <c r="H5" s="165"/>
      <c r="I5" s="166"/>
      <c r="J5" s="164" t="s">
        <v>106</v>
      </c>
      <c r="K5" s="165"/>
      <c r="L5" s="166"/>
      <c r="M5" s="164" t="s">
        <v>107</v>
      </c>
      <c r="N5" s="165"/>
      <c r="O5" s="166"/>
      <c r="P5" s="164" t="s">
        <v>108</v>
      </c>
      <c r="Q5" s="165"/>
      <c r="R5" s="166"/>
      <c r="S5" s="176" t="s">
        <v>110</v>
      </c>
      <c r="T5" s="177"/>
      <c r="U5" s="178"/>
      <c r="V5" s="176" t="s">
        <v>111</v>
      </c>
      <c r="W5" s="177"/>
      <c r="X5" s="178"/>
      <c r="Y5" s="164" t="s">
        <v>112</v>
      </c>
      <c r="Z5" s="165"/>
      <c r="AA5" s="166"/>
      <c r="AB5" s="164" t="s">
        <v>113</v>
      </c>
      <c r="AC5" s="165"/>
      <c r="AD5" s="166"/>
      <c r="AE5" s="164" t="s">
        <v>114</v>
      </c>
      <c r="AF5" s="165"/>
      <c r="AG5" s="166"/>
      <c r="AH5" s="164" t="s">
        <v>123</v>
      </c>
      <c r="AI5" s="165"/>
      <c r="AJ5" s="166"/>
      <c r="AK5" s="164" t="s">
        <v>84</v>
      </c>
      <c r="AL5" s="165"/>
      <c r="AM5" s="166"/>
      <c r="AN5" s="164" t="s">
        <v>79</v>
      </c>
      <c r="AO5" s="166"/>
      <c r="AP5" s="164" t="s">
        <v>80</v>
      </c>
      <c r="AQ5" s="166"/>
      <c r="AR5" s="164" t="s">
        <v>81</v>
      </c>
      <c r="AS5" s="166"/>
      <c r="AT5" s="169" t="s">
        <v>103</v>
      </c>
      <c r="AU5" s="170"/>
      <c r="AV5" s="171"/>
      <c r="AW5" s="167" t="s">
        <v>124</v>
      </c>
      <c r="AX5" s="167" t="s">
        <v>125</v>
      </c>
    </row>
    <row r="6" spans="1:50" ht="57" customHeight="1">
      <c r="A6" s="44" t="s">
        <v>47</v>
      </c>
      <c r="B6" s="45" t="s">
        <v>97</v>
      </c>
      <c r="C6" s="40" t="s">
        <v>104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106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85</v>
      </c>
      <c r="AU6" s="45" t="s">
        <v>69</v>
      </c>
      <c r="AV6" s="47" t="s">
        <v>0</v>
      </c>
      <c r="AW6" s="168"/>
      <c r="AX6" s="168"/>
    </row>
    <row r="7" spans="1:53" s="11" customFormat="1" ht="36" customHeight="1">
      <c r="A7" s="8"/>
      <c r="B7" s="112" t="s">
        <v>98</v>
      </c>
      <c r="C7" s="54">
        <f>SUM(C8:C42)-C33-C34</f>
        <v>10.699999999999989</v>
      </c>
      <c r="D7" s="54">
        <f aca="true" t="shared" si="0" ref="D7:AI7">SUM(D8:D42)-D33-D34</f>
        <v>2444</v>
      </c>
      <c r="E7" s="54">
        <f t="shared" si="0"/>
        <v>1235.1</v>
      </c>
      <c r="F7" s="54">
        <f t="shared" si="0"/>
        <v>1745.0978536357215</v>
      </c>
      <c r="G7" s="54">
        <f t="shared" si="0"/>
        <v>2741.7000000000003</v>
      </c>
      <c r="H7" s="54">
        <f t="shared" si="0"/>
        <v>2791.0000000000005</v>
      </c>
      <c r="I7" s="54" t="e">
        <f t="shared" si="0"/>
        <v>#DIV/0!</v>
      </c>
      <c r="J7" s="54">
        <f t="shared" si="0"/>
        <v>2722</v>
      </c>
      <c r="K7" s="54">
        <f t="shared" si="0"/>
        <v>3361.1</v>
      </c>
      <c r="L7" s="54">
        <f t="shared" si="0"/>
        <v>3718.0035675029776</v>
      </c>
      <c r="M7" s="54">
        <f t="shared" si="0"/>
        <v>7907.700000000002</v>
      </c>
      <c r="N7" s="54">
        <f t="shared" si="0"/>
        <v>7387.2</v>
      </c>
      <c r="O7" s="10">
        <f aca="true" t="shared" si="1" ref="O7:O45">N7/M7*100</f>
        <v>93.41780795933076</v>
      </c>
      <c r="P7" s="54">
        <f t="shared" si="0"/>
        <v>2820</v>
      </c>
      <c r="Q7" s="54">
        <f t="shared" si="0"/>
        <v>2685.0000000000005</v>
      </c>
      <c r="R7" s="54" t="e">
        <f t="shared" si="0"/>
        <v>#DIV/0!</v>
      </c>
      <c r="S7" s="54">
        <f t="shared" si="0"/>
        <v>2456.6000000000004</v>
      </c>
      <c r="T7" s="54">
        <f t="shared" si="0"/>
        <v>2465</v>
      </c>
      <c r="U7" s="54" t="e">
        <f t="shared" si="0"/>
        <v>#DIV/0!</v>
      </c>
      <c r="V7" s="54">
        <f t="shared" si="0"/>
        <v>2559.5000000000005</v>
      </c>
      <c r="W7" s="54">
        <f t="shared" si="0"/>
        <v>2248.6999999999994</v>
      </c>
      <c r="X7" s="54">
        <f t="shared" si="0"/>
        <v>3059.9265079910583</v>
      </c>
      <c r="Y7" s="54">
        <f t="shared" si="0"/>
        <v>7836.1</v>
      </c>
      <c r="Z7" s="54">
        <f t="shared" si="0"/>
        <v>7398.7</v>
      </c>
      <c r="AA7" s="10">
        <f aca="true" t="shared" si="2" ref="AA7:AA28">Z7/Y7*100</f>
        <v>94.41814167762024</v>
      </c>
      <c r="AB7" s="54">
        <f t="shared" si="0"/>
        <v>2260.7000000000007</v>
      </c>
      <c r="AC7" s="54">
        <f t="shared" si="0"/>
        <v>2511.1999999999994</v>
      </c>
      <c r="AD7" s="10">
        <f aca="true" t="shared" si="3" ref="AD7:AD45">AC7/AB7*100</f>
        <v>111.08063874021315</v>
      </c>
      <c r="AE7" s="54">
        <f t="shared" si="0"/>
        <v>2275.8</v>
      </c>
      <c r="AF7" s="54">
        <f t="shared" si="0"/>
        <v>2201.9999999999995</v>
      </c>
      <c r="AG7" s="10">
        <f aca="true" t="shared" si="4" ref="AG7:AG45">AF7/AE7*100</f>
        <v>96.75718428684415</v>
      </c>
      <c r="AH7" s="54">
        <f t="shared" si="0"/>
        <v>2566.400000000001</v>
      </c>
      <c r="AI7" s="54">
        <f t="shared" si="0"/>
        <v>2638.8999999999996</v>
      </c>
      <c r="AJ7" s="10">
        <f>AI7/AH7*100</f>
        <v>102.82496882793014</v>
      </c>
      <c r="AK7" s="10">
        <f>SUM(AK8:AK42)</f>
        <v>7102.9</v>
      </c>
      <c r="AL7" s="10">
        <f>SUM(AL8:AL42)</f>
        <v>7352.099999999999</v>
      </c>
      <c r="AM7" s="10">
        <f>AL7/AK7*100</f>
        <v>103.50842613580369</v>
      </c>
      <c r="AN7" s="10">
        <f aca="true" t="shared" si="5" ref="AN7:AS7">SUM(AN8:AN42)</f>
        <v>0</v>
      </c>
      <c r="AO7" s="10">
        <f t="shared" si="5"/>
        <v>0</v>
      </c>
      <c r="AP7" s="10">
        <f t="shared" si="5"/>
        <v>0</v>
      </c>
      <c r="AQ7" s="10">
        <f t="shared" si="5"/>
        <v>0</v>
      </c>
      <c r="AR7" s="10">
        <f t="shared" si="5"/>
        <v>0</v>
      </c>
      <c r="AS7" s="10">
        <f t="shared" si="5"/>
        <v>0</v>
      </c>
      <c r="AT7" s="54">
        <f>SUM(AT8:AT42)-AT33-AT34</f>
        <v>22846.69999999999</v>
      </c>
      <c r="AU7" s="54">
        <f>SUM(AU8:AU42)-AU33-AU34</f>
        <v>22137.999999999996</v>
      </c>
      <c r="AV7" s="10">
        <f aca="true" t="shared" si="6" ref="AV7:AV44">AU7/AT7*100</f>
        <v>96.89802028301683</v>
      </c>
      <c r="AW7" s="54">
        <f>SUM(AW8:AW42)-AW33-AW34</f>
        <v>708.700000000001</v>
      </c>
      <c r="AX7" s="54">
        <f>SUM(AX8:AX42)-AX33-AX34</f>
        <v>719.4000000000008</v>
      </c>
      <c r="AY7" s="20">
        <f>M7+Y7+AB7+AE7+AH7</f>
        <v>22846.700000000004</v>
      </c>
      <c r="AZ7" s="20">
        <f>N7+Z7+AC7+AF7+AI7</f>
        <v>22138</v>
      </c>
      <c r="BA7" s="39">
        <f>C7+AY7-AZ7</f>
        <v>719.4000000000051</v>
      </c>
    </row>
    <row r="8" spans="1:53" ht="34.5" customHeight="1">
      <c r="A8" s="12" t="s">
        <v>5</v>
      </c>
      <c r="B8" s="57" t="s">
        <v>49</v>
      </c>
      <c r="C8" s="84">
        <f>-9.8+(-15.6)</f>
        <v>-25.4</v>
      </c>
      <c r="D8" s="35">
        <f>46+150.2</f>
        <v>196.2</v>
      </c>
      <c r="E8" s="35">
        <f>27.7+141.5</f>
        <v>169.2</v>
      </c>
      <c r="F8" s="10">
        <f>E8/D8*100</f>
        <v>86.23853211009174</v>
      </c>
      <c r="G8" s="35">
        <f>43.1+146.2</f>
        <v>189.29999999999998</v>
      </c>
      <c r="H8" s="35">
        <f>50.4+145.9</f>
        <v>196.3</v>
      </c>
      <c r="I8" s="10">
        <f aca="true" t="shared" si="7" ref="I8:I45">H8/G8*100</f>
        <v>103.69783412572637</v>
      </c>
      <c r="J8" s="35">
        <f>39.7+141.8</f>
        <v>181.5</v>
      </c>
      <c r="K8" s="35">
        <f>41.3+142.4</f>
        <v>183.7</v>
      </c>
      <c r="L8" s="10">
        <f aca="true" t="shared" si="8" ref="L8:L28">K8/J8*100</f>
        <v>101.2121212121212</v>
      </c>
      <c r="M8" s="71">
        <f>D8+G8+J8</f>
        <v>567</v>
      </c>
      <c r="N8" s="71">
        <f>E8+H8+K8</f>
        <v>549.2</v>
      </c>
      <c r="O8" s="10">
        <f t="shared" si="1"/>
        <v>96.86067019400355</v>
      </c>
      <c r="P8" s="35">
        <f>43.1+177.6</f>
        <v>220.7</v>
      </c>
      <c r="Q8" s="35">
        <f>40.9+177.7</f>
        <v>218.6</v>
      </c>
      <c r="R8" s="10">
        <f aca="true" t="shared" si="9" ref="R8:R45">Q8/P8*100</f>
        <v>99.04848210240145</v>
      </c>
      <c r="S8" s="35">
        <f>37.8+154.1</f>
        <v>191.89999999999998</v>
      </c>
      <c r="T8" s="35">
        <f>40+154.1</f>
        <v>194.1</v>
      </c>
      <c r="U8" s="10">
        <f aca="true" t="shared" si="10" ref="U8:U45">T8/S8*100</f>
        <v>101.14643043251694</v>
      </c>
      <c r="V8" s="35">
        <f>52+142.4</f>
        <v>194.4</v>
      </c>
      <c r="W8" s="35">
        <f>45.2+142.3</f>
        <v>187.5</v>
      </c>
      <c r="X8" s="10">
        <f aca="true" t="shared" si="11" ref="X8:X28">W8/V8*100</f>
        <v>96.4506172839506</v>
      </c>
      <c r="Y8" s="71">
        <f>P8+S8+V8</f>
        <v>607</v>
      </c>
      <c r="Z8" s="71">
        <f>Q8+T8+W8</f>
        <v>600.2</v>
      </c>
      <c r="AA8" s="10">
        <f t="shared" si="2"/>
        <v>98.87973640856673</v>
      </c>
      <c r="AB8" s="35">
        <f>43.5+128.6</f>
        <v>172.1</v>
      </c>
      <c r="AC8" s="35">
        <f>50.4+127.1</f>
        <v>177.5</v>
      </c>
      <c r="AD8" s="10">
        <f t="shared" si="3"/>
        <v>103.13771063335271</v>
      </c>
      <c r="AE8" s="35">
        <f>43.8+109</f>
        <v>152.8</v>
      </c>
      <c r="AF8" s="35">
        <f>43.7+108.5</f>
        <v>152.2</v>
      </c>
      <c r="AG8" s="10">
        <f t="shared" si="4"/>
        <v>99.60732984293192</v>
      </c>
      <c r="AH8" s="35">
        <f>43.2+130.4</f>
        <v>173.60000000000002</v>
      </c>
      <c r="AI8" s="35">
        <f>43.2+135.2</f>
        <v>178.39999999999998</v>
      </c>
      <c r="AJ8" s="10">
        <f aca="true" t="shared" si="12" ref="AJ8:AJ45">AI8/AH8*100</f>
        <v>102.76497695852531</v>
      </c>
      <c r="AK8" s="71">
        <f>AB8+AE8+AH8</f>
        <v>498.5</v>
      </c>
      <c r="AL8" s="71">
        <f>AC8+AF8+AI8</f>
        <v>508.09999999999997</v>
      </c>
      <c r="AM8" s="10">
        <f>AL8/AK8*100</f>
        <v>101.92577733199597</v>
      </c>
      <c r="AN8" s="35"/>
      <c r="AO8" s="35"/>
      <c r="AP8" s="35"/>
      <c r="AQ8" s="35"/>
      <c r="AR8" s="35"/>
      <c r="AS8" s="35"/>
      <c r="AT8" s="58">
        <f>M8+Y8+AK8+AN8+AP8+AR8</f>
        <v>1672.5</v>
      </c>
      <c r="AU8" s="58">
        <f>N8+Z8+AL8+AO8+AQ8+AS8</f>
        <v>1657.5</v>
      </c>
      <c r="AV8" s="10">
        <f t="shared" si="6"/>
        <v>99.10313901345292</v>
      </c>
      <c r="AW8" s="58">
        <f>AT8-AU8</f>
        <v>15</v>
      </c>
      <c r="AX8" s="16">
        <f aca="true" t="shared" si="13" ref="AX8:AX28">C8+AT8-AU8</f>
        <v>-10.400000000000091</v>
      </c>
      <c r="AY8" s="20">
        <f aca="true" t="shared" si="14" ref="AY8:AY45">M8+Y8+AB8+AE8+AH8</f>
        <v>1672.5</v>
      </c>
      <c r="AZ8" s="20">
        <f aca="true" t="shared" si="15" ref="AZ8:AZ45">N8+Z8+AC8+AF8+AI8</f>
        <v>1657.5</v>
      </c>
      <c r="BA8" s="39">
        <f aca="true" t="shared" si="16" ref="BA8:BA45">C8+AY8-AZ8</f>
        <v>-10.400000000000091</v>
      </c>
    </row>
    <row r="9" spans="1:53" ht="34.5" customHeight="1">
      <c r="A9" s="12" t="s">
        <v>6</v>
      </c>
      <c r="B9" s="59" t="s">
        <v>65</v>
      </c>
      <c r="C9" s="84">
        <v>-0.3</v>
      </c>
      <c r="D9" s="35">
        <v>29.6</v>
      </c>
      <c r="E9" s="35">
        <v>29.4</v>
      </c>
      <c r="F9" s="10">
        <f>E9/D9*100</f>
        <v>99.32432432432432</v>
      </c>
      <c r="G9" s="35">
        <v>55.8</v>
      </c>
      <c r="H9" s="35">
        <v>55.8</v>
      </c>
      <c r="I9" s="10">
        <f t="shared" si="7"/>
        <v>100</v>
      </c>
      <c r="J9" s="35">
        <v>49.6</v>
      </c>
      <c r="K9" s="35">
        <v>49.7</v>
      </c>
      <c r="L9" s="10">
        <f t="shared" si="8"/>
        <v>100.2016129032258</v>
      </c>
      <c r="M9" s="71">
        <f aca="true" t="shared" si="17" ref="M9:M44">D9+G9+J9</f>
        <v>135</v>
      </c>
      <c r="N9" s="71">
        <f aca="true" t="shared" si="18" ref="N9:N44">E9+H9+K9</f>
        <v>134.89999999999998</v>
      </c>
      <c r="O9" s="10">
        <f t="shared" si="1"/>
        <v>99.92592592592591</v>
      </c>
      <c r="P9" s="35">
        <v>59.9</v>
      </c>
      <c r="Q9" s="35">
        <v>45.5</v>
      </c>
      <c r="R9" s="10">
        <f t="shared" si="9"/>
        <v>75.95993322203674</v>
      </c>
      <c r="S9" s="35">
        <v>55.1</v>
      </c>
      <c r="T9" s="35">
        <v>22.7</v>
      </c>
      <c r="U9" s="10">
        <f t="shared" si="10"/>
        <v>41.1978221415608</v>
      </c>
      <c r="V9" s="35">
        <v>69.6</v>
      </c>
      <c r="W9" s="35">
        <v>58.2</v>
      </c>
      <c r="X9" s="10">
        <f t="shared" si="11"/>
        <v>83.62068965517241</v>
      </c>
      <c r="Y9" s="71">
        <f aca="true" t="shared" si="19" ref="Y9:Y28">P9+S9+V9</f>
        <v>184.6</v>
      </c>
      <c r="Z9" s="71">
        <f aca="true" t="shared" si="20" ref="Z9:Z28">Q9+T9+W9</f>
        <v>126.4</v>
      </c>
      <c r="AA9" s="10">
        <f t="shared" si="2"/>
        <v>68.47237269772481</v>
      </c>
      <c r="AB9" s="35">
        <v>55.8</v>
      </c>
      <c r="AC9" s="35">
        <v>68.5</v>
      </c>
      <c r="AD9" s="10">
        <f t="shared" si="3"/>
        <v>122.75985663082439</v>
      </c>
      <c r="AE9" s="35">
        <v>53.1</v>
      </c>
      <c r="AF9" s="35">
        <v>54.5</v>
      </c>
      <c r="AG9" s="10">
        <f t="shared" si="4"/>
        <v>102.63653483992468</v>
      </c>
      <c r="AH9" s="35">
        <v>38.1</v>
      </c>
      <c r="AI9" s="35">
        <v>54.5</v>
      </c>
      <c r="AJ9" s="10">
        <f t="shared" si="12"/>
        <v>143.0446194225722</v>
      </c>
      <c r="AK9" s="71">
        <f aca="true" t="shared" si="21" ref="AK9:AK42">AB9+AE9+AH9</f>
        <v>147</v>
      </c>
      <c r="AL9" s="71">
        <f aca="true" t="shared" si="22" ref="AL9:AL42">AC9+AF9+AI9</f>
        <v>177.5</v>
      </c>
      <c r="AM9" s="10">
        <f>AL9/AK9*100</f>
        <v>120.74829931972788</v>
      </c>
      <c r="AN9" s="35"/>
      <c r="AO9" s="35"/>
      <c r="AP9" s="35"/>
      <c r="AQ9" s="35"/>
      <c r="AR9" s="35"/>
      <c r="AS9" s="35"/>
      <c r="AT9" s="58">
        <f aca="true" t="shared" si="23" ref="AT9:AT42">M9+Y9+AK9+AN9+AP9+AR9</f>
        <v>466.6</v>
      </c>
      <c r="AU9" s="58">
        <f aca="true" t="shared" si="24" ref="AU9:AU42">N9+Z9+AL9+AO9+AQ9+AS9</f>
        <v>438.79999999999995</v>
      </c>
      <c r="AV9" s="10">
        <f t="shared" si="6"/>
        <v>94.04200600085724</v>
      </c>
      <c r="AW9" s="58">
        <f aca="true" t="shared" si="25" ref="AW9:AW44">AT9-AU9</f>
        <v>27.800000000000068</v>
      </c>
      <c r="AX9" s="16">
        <f t="shared" si="13"/>
        <v>27.500000000000057</v>
      </c>
      <c r="AY9" s="20">
        <f t="shared" si="14"/>
        <v>466.6000000000001</v>
      </c>
      <c r="AZ9" s="20">
        <f t="shared" si="15"/>
        <v>438.79999999999995</v>
      </c>
      <c r="BA9" s="39">
        <f t="shared" si="16"/>
        <v>27.500000000000114</v>
      </c>
    </row>
    <row r="10" spans="1:53" ht="34.5" customHeight="1">
      <c r="A10" s="12" t="s">
        <v>7</v>
      </c>
      <c r="B10" s="61" t="s">
        <v>87</v>
      </c>
      <c r="C10" s="84">
        <v>0</v>
      </c>
      <c r="D10" s="35">
        <v>333.7</v>
      </c>
      <c r="E10" s="35">
        <v>333.7</v>
      </c>
      <c r="F10" s="102">
        <f>E10/D10*100</f>
        <v>100</v>
      </c>
      <c r="G10" s="35">
        <v>325.9</v>
      </c>
      <c r="H10" s="35">
        <v>325.9</v>
      </c>
      <c r="I10" s="10">
        <f t="shared" si="7"/>
        <v>100</v>
      </c>
      <c r="J10" s="35">
        <v>339.2</v>
      </c>
      <c r="K10" s="35">
        <v>339.2</v>
      </c>
      <c r="L10" s="10">
        <f t="shared" si="8"/>
        <v>100</v>
      </c>
      <c r="M10" s="71">
        <f t="shared" si="17"/>
        <v>998.8</v>
      </c>
      <c r="N10" s="71">
        <f t="shared" si="18"/>
        <v>998.8</v>
      </c>
      <c r="O10" s="10">
        <f t="shared" si="1"/>
        <v>100</v>
      </c>
      <c r="P10" s="35">
        <v>339.2</v>
      </c>
      <c r="Q10" s="35">
        <v>339.2</v>
      </c>
      <c r="R10" s="10">
        <f t="shared" si="9"/>
        <v>100</v>
      </c>
      <c r="S10" s="35">
        <v>58.2</v>
      </c>
      <c r="T10" s="35">
        <v>58.2</v>
      </c>
      <c r="U10" s="10">
        <f t="shared" si="10"/>
        <v>100</v>
      </c>
      <c r="V10" s="35">
        <v>93.2</v>
      </c>
      <c r="W10" s="35">
        <v>93.2</v>
      </c>
      <c r="X10" s="10">
        <f t="shared" si="11"/>
        <v>100</v>
      </c>
      <c r="Y10" s="71">
        <f t="shared" si="19"/>
        <v>490.59999999999997</v>
      </c>
      <c r="Z10" s="71">
        <f t="shared" si="20"/>
        <v>490.59999999999997</v>
      </c>
      <c r="AA10" s="10">
        <f t="shared" si="2"/>
        <v>100</v>
      </c>
      <c r="AB10" s="35">
        <v>58.2</v>
      </c>
      <c r="AC10" s="35">
        <v>58.2</v>
      </c>
      <c r="AD10" s="10">
        <f t="shared" si="3"/>
        <v>100</v>
      </c>
      <c r="AE10" s="35">
        <v>58.2</v>
      </c>
      <c r="AF10" s="35">
        <v>58.2</v>
      </c>
      <c r="AG10" s="10">
        <f t="shared" si="4"/>
        <v>100</v>
      </c>
      <c r="AH10" s="35">
        <v>58.2</v>
      </c>
      <c r="AI10" s="35">
        <v>58.2</v>
      </c>
      <c r="AJ10" s="10">
        <f t="shared" si="12"/>
        <v>100</v>
      </c>
      <c r="AK10" s="71">
        <f t="shared" si="21"/>
        <v>174.60000000000002</v>
      </c>
      <c r="AL10" s="71">
        <f t="shared" si="22"/>
        <v>174.60000000000002</v>
      </c>
      <c r="AM10" s="107">
        <v>0</v>
      </c>
      <c r="AN10" s="35"/>
      <c r="AO10" s="35"/>
      <c r="AP10" s="35"/>
      <c r="AQ10" s="35"/>
      <c r="AR10" s="35"/>
      <c r="AS10" s="35"/>
      <c r="AT10" s="58">
        <f t="shared" si="23"/>
        <v>1664</v>
      </c>
      <c r="AU10" s="58">
        <f t="shared" si="24"/>
        <v>1664</v>
      </c>
      <c r="AV10" s="102">
        <f t="shared" si="6"/>
        <v>100</v>
      </c>
      <c r="AW10" s="58">
        <f t="shared" si="25"/>
        <v>0</v>
      </c>
      <c r="AX10" s="16">
        <f t="shared" si="13"/>
        <v>0</v>
      </c>
      <c r="AY10" s="20">
        <f t="shared" si="14"/>
        <v>1664</v>
      </c>
      <c r="AZ10" s="20">
        <f t="shared" si="15"/>
        <v>1664</v>
      </c>
      <c r="BA10" s="39">
        <f t="shared" si="16"/>
        <v>0</v>
      </c>
    </row>
    <row r="11" spans="1:53" ht="34.5" customHeight="1">
      <c r="A11" s="12" t="s">
        <v>8</v>
      </c>
      <c r="B11" s="57" t="s">
        <v>50</v>
      </c>
      <c r="C11" s="84">
        <v>-27.5</v>
      </c>
      <c r="D11" s="35">
        <v>66.6</v>
      </c>
      <c r="E11" s="35">
        <v>16.9</v>
      </c>
      <c r="F11" s="10">
        <f>E11/D11*100</f>
        <v>25.375375375375377</v>
      </c>
      <c r="G11" s="35">
        <v>87.2</v>
      </c>
      <c r="H11" s="35">
        <v>81.3</v>
      </c>
      <c r="I11" s="10">
        <f t="shared" si="7"/>
        <v>93.23394495412843</v>
      </c>
      <c r="J11" s="35">
        <v>79.7</v>
      </c>
      <c r="K11" s="35">
        <v>109.3</v>
      </c>
      <c r="L11" s="10">
        <f t="shared" si="8"/>
        <v>137.1392722710163</v>
      </c>
      <c r="M11" s="71">
        <f t="shared" si="17"/>
        <v>233.5</v>
      </c>
      <c r="N11" s="71">
        <f t="shared" si="18"/>
        <v>207.5</v>
      </c>
      <c r="O11" s="10">
        <f t="shared" si="1"/>
        <v>88.86509635974305</v>
      </c>
      <c r="P11" s="35">
        <v>78.5</v>
      </c>
      <c r="Q11" s="35">
        <v>79.6</v>
      </c>
      <c r="R11" s="10">
        <f t="shared" si="9"/>
        <v>101.40127388535032</v>
      </c>
      <c r="S11" s="35">
        <v>92.4</v>
      </c>
      <c r="T11" s="35">
        <v>92.8</v>
      </c>
      <c r="U11" s="10">
        <f t="shared" si="10"/>
        <v>100.43290043290042</v>
      </c>
      <c r="V11" s="35">
        <f>18.1+60.9</f>
        <v>79</v>
      </c>
      <c r="W11" s="35">
        <f>11.5+13.3</f>
        <v>24.8</v>
      </c>
      <c r="X11" s="10">
        <f t="shared" si="11"/>
        <v>31.39240506329114</v>
      </c>
      <c r="Y11" s="71">
        <f t="shared" si="19"/>
        <v>249.9</v>
      </c>
      <c r="Z11" s="71">
        <f t="shared" si="20"/>
        <v>197.2</v>
      </c>
      <c r="AA11" s="10">
        <f t="shared" si="2"/>
        <v>78.91156462585033</v>
      </c>
      <c r="AB11" s="35">
        <f>17.9+53.9</f>
        <v>71.8</v>
      </c>
      <c r="AC11" s="35">
        <f>16.1+100.6</f>
        <v>116.69999999999999</v>
      </c>
      <c r="AD11" s="10">
        <f t="shared" si="3"/>
        <v>162.53481894150417</v>
      </c>
      <c r="AE11" s="35">
        <f>18.3+83.3</f>
        <v>101.6</v>
      </c>
      <c r="AF11" s="35">
        <f>33.8+75.2</f>
        <v>109</v>
      </c>
      <c r="AG11" s="10">
        <f t="shared" si="4"/>
        <v>107.28346456692914</v>
      </c>
      <c r="AH11" s="35">
        <f>20.8+87.5</f>
        <v>108.3</v>
      </c>
      <c r="AI11" s="35">
        <f>20+88.6</f>
        <v>108.6</v>
      </c>
      <c r="AJ11" s="10">
        <f t="shared" si="12"/>
        <v>100.2770083102493</v>
      </c>
      <c r="AK11" s="71">
        <f t="shared" si="21"/>
        <v>281.7</v>
      </c>
      <c r="AL11" s="71">
        <f t="shared" si="22"/>
        <v>334.29999999999995</v>
      </c>
      <c r="AM11" s="10">
        <f aca="true" t="shared" si="26" ref="AM11:AM28">AL11/AK11*100</f>
        <v>118.67234646787361</v>
      </c>
      <c r="AN11" s="35"/>
      <c r="AO11" s="35"/>
      <c r="AP11" s="35"/>
      <c r="AQ11" s="35"/>
      <c r="AR11" s="35"/>
      <c r="AS11" s="35"/>
      <c r="AT11" s="58">
        <f t="shared" si="23"/>
        <v>765.0999999999999</v>
      </c>
      <c r="AU11" s="58">
        <f t="shared" si="24"/>
        <v>739</v>
      </c>
      <c r="AV11" s="10">
        <f t="shared" si="6"/>
        <v>96.58868121814143</v>
      </c>
      <c r="AW11" s="58">
        <f t="shared" si="25"/>
        <v>26.09999999999991</v>
      </c>
      <c r="AX11" s="16">
        <f t="shared" si="13"/>
        <v>-1.400000000000091</v>
      </c>
      <c r="AY11" s="20">
        <f t="shared" si="14"/>
        <v>765.0999999999999</v>
      </c>
      <c r="AZ11" s="20">
        <f t="shared" si="15"/>
        <v>739</v>
      </c>
      <c r="BA11" s="39">
        <f t="shared" si="16"/>
        <v>-1.400000000000091</v>
      </c>
    </row>
    <row r="12" spans="1:53" ht="34.5" customHeight="1">
      <c r="A12" s="12" t="s">
        <v>9</v>
      </c>
      <c r="B12" s="57" t="s">
        <v>51</v>
      </c>
      <c r="C12" s="84">
        <v>-8.8</v>
      </c>
      <c r="D12" s="35">
        <v>28</v>
      </c>
      <c r="E12" s="35">
        <v>26</v>
      </c>
      <c r="F12" s="54">
        <f>E12/D12*100</f>
        <v>92.85714285714286</v>
      </c>
      <c r="G12" s="35">
        <v>99.9</v>
      </c>
      <c r="H12" s="35">
        <v>100.1</v>
      </c>
      <c r="I12" s="10">
        <f t="shared" si="7"/>
        <v>100.2002002002002</v>
      </c>
      <c r="J12" s="35">
        <v>93.3</v>
      </c>
      <c r="K12" s="35">
        <v>92.8</v>
      </c>
      <c r="L12" s="10">
        <f t="shared" si="8"/>
        <v>99.46409431939979</v>
      </c>
      <c r="M12" s="71">
        <f t="shared" si="17"/>
        <v>221.2</v>
      </c>
      <c r="N12" s="71">
        <f t="shared" si="18"/>
        <v>218.89999999999998</v>
      </c>
      <c r="O12" s="10">
        <f t="shared" si="1"/>
        <v>98.96021699819167</v>
      </c>
      <c r="P12" s="35">
        <v>112.1</v>
      </c>
      <c r="Q12" s="35">
        <v>122.6</v>
      </c>
      <c r="R12" s="10">
        <f t="shared" si="9"/>
        <v>109.36663693131132</v>
      </c>
      <c r="S12" s="35">
        <v>96</v>
      </c>
      <c r="T12" s="35">
        <v>95.8</v>
      </c>
      <c r="U12" s="10">
        <f t="shared" si="10"/>
        <v>99.79166666666667</v>
      </c>
      <c r="V12" s="35">
        <v>101.3</v>
      </c>
      <c r="W12" s="35">
        <v>101.3</v>
      </c>
      <c r="X12" s="10">
        <f t="shared" si="11"/>
        <v>100</v>
      </c>
      <c r="Y12" s="71">
        <f t="shared" si="19"/>
        <v>309.4</v>
      </c>
      <c r="Z12" s="71">
        <f t="shared" si="20"/>
        <v>319.7</v>
      </c>
      <c r="AA12" s="10">
        <f t="shared" si="2"/>
        <v>103.32902391725922</v>
      </c>
      <c r="AB12" s="35">
        <v>106.5</v>
      </c>
      <c r="AC12" s="35">
        <v>92.3</v>
      </c>
      <c r="AD12" s="10">
        <f t="shared" si="3"/>
        <v>86.66666666666666</v>
      </c>
      <c r="AE12" s="35">
        <v>97.9</v>
      </c>
      <c r="AF12" s="35">
        <v>110.1</v>
      </c>
      <c r="AG12" s="10">
        <f t="shared" si="4"/>
        <v>112.461695607763</v>
      </c>
      <c r="AH12" s="35">
        <v>116.8</v>
      </c>
      <c r="AI12" s="35">
        <v>116.8</v>
      </c>
      <c r="AJ12" s="10">
        <f t="shared" si="12"/>
        <v>100</v>
      </c>
      <c r="AK12" s="71">
        <f t="shared" si="21"/>
        <v>321.2</v>
      </c>
      <c r="AL12" s="71">
        <f t="shared" si="22"/>
        <v>319.2</v>
      </c>
      <c r="AM12" s="10">
        <f t="shared" si="26"/>
        <v>99.37733499377335</v>
      </c>
      <c r="AN12" s="35"/>
      <c r="AO12" s="35"/>
      <c r="AP12" s="35"/>
      <c r="AQ12" s="35"/>
      <c r="AR12" s="35"/>
      <c r="AS12" s="35"/>
      <c r="AT12" s="58">
        <f t="shared" si="23"/>
        <v>851.8</v>
      </c>
      <c r="AU12" s="58">
        <f t="shared" si="24"/>
        <v>857.8</v>
      </c>
      <c r="AV12" s="10">
        <f t="shared" si="6"/>
        <v>100.70439070204273</v>
      </c>
      <c r="AW12" s="58">
        <f t="shared" si="25"/>
        <v>-6</v>
      </c>
      <c r="AX12" s="16">
        <f t="shared" si="13"/>
        <v>-14.799999999999955</v>
      </c>
      <c r="AY12" s="20">
        <f t="shared" si="14"/>
        <v>851.7999999999998</v>
      </c>
      <c r="AZ12" s="20">
        <f t="shared" si="15"/>
        <v>857.7999999999998</v>
      </c>
      <c r="BA12" s="39">
        <f t="shared" si="16"/>
        <v>-14.799999999999955</v>
      </c>
    </row>
    <row r="13" spans="1:53" ht="34.5" customHeight="1">
      <c r="A13" s="12" t="s">
        <v>10</v>
      </c>
      <c r="B13" s="57" t="s">
        <v>52</v>
      </c>
      <c r="C13" s="84">
        <v>3.2</v>
      </c>
      <c r="D13" s="35">
        <v>60.1</v>
      </c>
      <c r="E13" s="35">
        <v>54.5</v>
      </c>
      <c r="F13" s="10">
        <f aca="true" t="shared" si="27" ref="F13:F23">E13/D13*100</f>
        <v>90.68219633943427</v>
      </c>
      <c r="G13" s="35">
        <v>61.7</v>
      </c>
      <c r="H13" s="35">
        <v>66.3</v>
      </c>
      <c r="I13" s="10">
        <f t="shared" si="7"/>
        <v>107.45542949756887</v>
      </c>
      <c r="J13" s="35">
        <v>67.7</v>
      </c>
      <c r="K13" s="35">
        <v>71.8</v>
      </c>
      <c r="L13" s="10">
        <f t="shared" si="8"/>
        <v>106.05612998522895</v>
      </c>
      <c r="M13" s="71">
        <f t="shared" si="17"/>
        <v>189.5</v>
      </c>
      <c r="N13" s="71">
        <f t="shared" si="18"/>
        <v>192.6</v>
      </c>
      <c r="O13" s="10">
        <f t="shared" si="1"/>
        <v>101.63588390501319</v>
      </c>
      <c r="P13" s="35">
        <v>64.5</v>
      </c>
      <c r="Q13" s="35">
        <v>63.7</v>
      </c>
      <c r="R13" s="10">
        <f t="shared" si="9"/>
        <v>98.75968992248062</v>
      </c>
      <c r="S13" s="35">
        <v>63.4</v>
      </c>
      <c r="T13" s="35">
        <v>63.2</v>
      </c>
      <c r="U13" s="10">
        <f t="shared" si="10"/>
        <v>99.6845425867508</v>
      </c>
      <c r="V13" s="35">
        <v>51.7</v>
      </c>
      <c r="W13" s="35">
        <v>51.4</v>
      </c>
      <c r="X13" s="10">
        <f t="shared" si="11"/>
        <v>99.41972920696324</v>
      </c>
      <c r="Y13" s="71">
        <f t="shared" si="19"/>
        <v>179.60000000000002</v>
      </c>
      <c r="Z13" s="71">
        <f t="shared" si="20"/>
        <v>178.3</v>
      </c>
      <c r="AA13" s="10">
        <f t="shared" si="2"/>
        <v>99.2761692650334</v>
      </c>
      <c r="AB13" s="35">
        <v>58.7</v>
      </c>
      <c r="AC13" s="35">
        <v>59.5</v>
      </c>
      <c r="AD13" s="10">
        <f t="shared" si="3"/>
        <v>101.36286201022146</v>
      </c>
      <c r="AE13" s="35">
        <v>90.1</v>
      </c>
      <c r="AF13" s="35">
        <v>90</v>
      </c>
      <c r="AG13" s="10">
        <f t="shared" si="4"/>
        <v>99.88901220865706</v>
      </c>
      <c r="AH13" s="35">
        <v>97.9</v>
      </c>
      <c r="AI13" s="35">
        <v>28.7</v>
      </c>
      <c r="AJ13" s="10">
        <f t="shared" si="12"/>
        <v>29.315628192032683</v>
      </c>
      <c r="AK13" s="71">
        <f t="shared" si="21"/>
        <v>246.70000000000002</v>
      </c>
      <c r="AL13" s="71">
        <f t="shared" si="22"/>
        <v>178.2</v>
      </c>
      <c r="AM13" s="10">
        <f t="shared" si="26"/>
        <v>72.23348196189703</v>
      </c>
      <c r="AN13" s="35"/>
      <c r="AO13" s="35"/>
      <c r="AP13" s="35"/>
      <c r="AQ13" s="35"/>
      <c r="AR13" s="35"/>
      <c r="AS13" s="35"/>
      <c r="AT13" s="58">
        <f t="shared" si="23"/>
        <v>615.8000000000001</v>
      </c>
      <c r="AU13" s="58">
        <f t="shared" si="24"/>
        <v>549.0999999999999</v>
      </c>
      <c r="AV13" s="10">
        <f t="shared" si="6"/>
        <v>89.16856122117568</v>
      </c>
      <c r="AW13" s="58">
        <f t="shared" si="25"/>
        <v>66.70000000000016</v>
      </c>
      <c r="AX13" s="16">
        <f t="shared" si="13"/>
        <v>69.9000000000002</v>
      </c>
      <c r="AY13" s="20">
        <f t="shared" si="14"/>
        <v>615.8</v>
      </c>
      <c r="AZ13" s="20">
        <f t="shared" si="15"/>
        <v>549.1</v>
      </c>
      <c r="BA13" s="39">
        <f t="shared" si="16"/>
        <v>69.89999999999998</v>
      </c>
    </row>
    <row r="14" spans="1:53" ht="34.5" customHeight="1">
      <c r="A14" s="12" t="s">
        <v>11</v>
      </c>
      <c r="B14" s="57" t="s">
        <v>88</v>
      </c>
      <c r="C14" s="84">
        <v>-31.6</v>
      </c>
      <c r="D14" s="35">
        <v>25.2</v>
      </c>
      <c r="E14" s="35">
        <v>9.3</v>
      </c>
      <c r="F14" s="10">
        <f t="shared" si="27"/>
        <v>36.904761904761905</v>
      </c>
      <c r="G14" s="35">
        <v>30.8</v>
      </c>
      <c r="H14" s="35">
        <v>15.5</v>
      </c>
      <c r="I14" s="10">
        <f t="shared" si="7"/>
        <v>50.324675324675326</v>
      </c>
      <c r="J14" s="35">
        <v>32.3</v>
      </c>
      <c r="K14" s="35">
        <v>40.1</v>
      </c>
      <c r="L14" s="10">
        <f t="shared" si="8"/>
        <v>124.14860681114553</v>
      </c>
      <c r="M14" s="71">
        <f t="shared" si="17"/>
        <v>88.3</v>
      </c>
      <c r="N14" s="71">
        <f t="shared" si="18"/>
        <v>64.9</v>
      </c>
      <c r="O14" s="10">
        <f t="shared" si="1"/>
        <v>73.49943374858438</v>
      </c>
      <c r="P14" s="35">
        <v>22.3</v>
      </c>
      <c r="Q14" s="35">
        <v>25.1</v>
      </c>
      <c r="R14" s="10">
        <f t="shared" si="9"/>
        <v>112.55605381165918</v>
      </c>
      <c r="S14" s="35">
        <v>19.8</v>
      </c>
      <c r="T14" s="35">
        <v>17.7</v>
      </c>
      <c r="U14" s="10">
        <f t="shared" si="10"/>
        <v>89.39393939393939</v>
      </c>
      <c r="V14" s="35">
        <v>17.6</v>
      </c>
      <c r="W14" s="35">
        <v>9.4</v>
      </c>
      <c r="X14" s="10">
        <f t="shared" si="11"/>
        <v>53.40909090909091</v>
      </c>
      <c r="Y14" s="71">
        <f t="shared" si="19"/>
        <v>59.7</v>
      </c>
      <c r="Z14" s="71">
        <f t="shared" si="20"/>
        <v>52.199999999999996</v>
      </c>
      <c r="AA14" s="10">
        <f t="shared" si="2"/>
        <v>87.43718592964824</v>
      </c>
      <c r="AB14" s="35">
        <v>18.6</v>
      </c>
      <c r="AC14" s="35">
        <v>20.9</v>
      </c>
      <c r="AD14" s="10">
        <f t="shared" si="3"/>
        <v>112.36559139784946</v>
      </c>
      <c r="AE14" s="35">
        <v>19.4</v>
      </c>
      <c r="AF14" s="35">
        <v>19.2</v>
      </c>
      <c r="AG14" s="10">
        <f t="shared" si="4"/>
        <v>98.96907216494846</v>
      </c>
      <c r="AH14" s="35">
        <v>24.4</v>
      </c>
      <c r="AI14" s="35">
        <v>22</v>
      </c>
      <c r="AJ14" s="10">
        <f t="shared" si="12"/>
        <v>90.1639344262295</v>
      </c>
      <c r="AK14" s="71">
        <f t="shared" si="21"/>
        <v>62.4</v>
      </c>
      <c r="AL14" s="71">
        <f t="shared" si="22"/>
        <v>62.099999999999994</v>
      </c>
      <c r="AM14" s="10">
        <f t="shared" si="26"/>
        <v>99.51923076923076</v>
      </c>
      <c r="AN14" s="35"/>
      <c r="AO14" s="35"/>
      <c r="AP14" s="35"/>
      <c r="AQ14" s="35"/>
      <c r="AR14" s="35"/>
      <c r="AS14" s="35"/>
      <c r="AT14" s="58">
        <f t="shared" si="23"/>
        <v>210.4</v>
      </c>
      <c r="AU14" s="58">
        <f t="shared" si="24"/>
        <v>179.2</v>
      </c>
      <c r="AV14" s="10">
        <f t="shared" si="6"/>
        <v>85.17110266159695</v>
      </c>
      <c r="AW14" s="58">
        <f t="shared" si="25"/>
        <v>31.200000000000017</v>
      </c>
      <c r="AX14" s="16">
        <f t="shared" si="13"/>
        <v>-0.39999999999997726</v>
      </c>
      <c r="AY14" s="20">
        <f t="shared" si="14"/>
        <v>210.4</v>
      </c>
      <c r="AZ14" s="20">
        <f t="shared" si="15"/>
        <v>179.2</v>
      </c>
      <c r="BA14" s="39">
        <f t="shared" si="16"/>
        <v>-0.39999999999997726</v>
      </c>
    </row>
    <row r="15" spans="1:53" ht="34.5" customHeight="1">
      <c r="A15" s="12" t="s">
        <v>12</v>
      </c>
      <c r="B15" s="57" t="s">
        <v>53</v>
      </c>
      <c r="C15" s="84">
        <f>-14.1+(-2.2)</f>
        <v>-16.3</v>
      </c>
      <c r="D15" s="35">
        <f>56.1+57.7</f>
        <v>113.80000000000001</v>
      </c>
      <c r="E15" s="35">
        <f>17+56.2</f>
        <v>73.2</v>
      </c>
      <c r="F15" s="10">
        <f t="shared" si="27"/>
        <v>64.32337434094903</v>
      </c>
      <c r="G15" s="35">
        <f>37.2+58.6</f>
        <v>95.80000000000001</v>
      </c>
      <c r="H15" s="35">
        <f>54.7+58.2</f>
        <v>112.9</v>
      </c>
      <c r="I15" s="10">
        <f t="shared" si="7"/>
        <v>117.84968684759916</v>
      </c>
      <c r="J15" s="35">
        <f>73.2+49.7</f>
        <v>122.9</v>
      </c>
      <c r="K15" s="35">
        <f>75.2+52</f>
        <v>127.2</v>
      </c>
      <c r="L15" s="10">
        <f t="shared" si="8"/>
        <v>103.49877949552481</v>
      </c>
      <c r="M15" s="71">
        <f t="shared" si="17"/>
        <v>332.5</v>
      </c>
      <c r="N15" s="71">
        <f t="shared" si="18"/>
        <v>313.3</v>
      </c>
      <c r="O15" s="10">
        <f t="shared" si="1"/>
        <v>94.22556390977444</v>
      </c>
      <c r="P15" s="35">
        <f>42.6+50.1</f>
        <v>92.7</v>
      </c>
      <c r="Q15" s="35">
        <f>38.7+47.2</f>
        <v>85.9</v>
      </c>
      <c r="R15" s="10">
        <f t="shared" si="9"/>
        <v>92.66450916936354</v>
      </c>
      <c r="S15" s="35">
        <f>33.7+42.7</f>
        <v>76.4</v>
      </c>
      <c r="T15" s="35">
        <f>34+44.5</f>
        <v>78.5</v>
      </c>
      <c r="U15" s="10">
        <f t="shared" si="10"/>
        <v>102.74869109947645</v>
      </c>
      <c r="V15" s="35">
        <f>37+53.8</f>
        <v>90.8</v>
      </c>
      <c r="W15" s="35">
        <f>37.4+52.5</f>
        <v>89.9</v>
      </c>
      <c r="X15" s="10">
        <f t="shared" si="11"/>
        <v>99.00881057268724</v>
      </c>
      <c r="Y15" s="71">
        <f t="shared" si="19"/>
        <v>259.90000000000003</v>
      </c>
      <c r="Z15" s="71">
        <f t="shared" si="20"/>
        <v>254.3</v>
      </c>
      <c r="AA15" s="10">
        <f t="shared" si="2"/>
        <v>97.84532512504809</v>
      </c>
      <c r="AB15" s="35">
        <f>17.6+45.1</f>
        <v>62.7</v>
      </c>
      <c r="AC15" s="35">
        <f>13.3+44.6</f>
        <v>57.900000000000006</v>
      </c>
      <c r="AD15" s="10">
        <f t="shared" si="3"/>
        <v>92.34449760765551</v>
      </c>
      <c r="AE15" s="35">
        <f>16.8+46</f>
        <v>62.8</v>
      </c>
      <c r="AF15" s="35">
        <f>18.7+47.5</f>
        <v>66.2</v>
      </c>
      <c r="AG15" s="10">
        <f t="shared" si="4"/>
        <v>105.41401273885351</v>
      </c>
      <c r="AH15" s="35">
        <f>35.2+53.4</f>
        <v>88.6</v>
      </c>
      <c r="AI15" s="35">
        <f>35.4+50.2</f>
        <v>85.6</v>
      </c>
      <c r="AJ15" s="10">
        <f t="shared" si="12"/>
        <v>96.61399548532731</v>
      </c>
      <c r="AK15" s="71">
        <f t="shared" si="21"/>
        <v>214.1</v>
      </c>
      <c r="AL15" s="71">
        <f t="shared" si="22"/>
        <v>209.7</v>
      </c>
      <c r="AM15" s="10">
        <f t="shared" si="26"/>
        <v>97.94488556749182</v>
      </c>
      <c r="AN15" s="35"/>
      <c r="AO15" s="35"/>
      <c r="AP15" s="35"/>
      <c r="AQ15" s="35"/>
      <c r="AR15" s="35"/>
      <c r="AS15" s="35"/>
      <c r="AT15" s="58">
        <f t="shared" si="23"/>
        <v>806.5000000000001</v>
      </c>
      <c r="AU15" s="58">
        <f t="shared" si="24"/>
        <v>777.3</v>
      </c>
      <c r="AV15" s="10">
        <f t="shared" si="6"/>
        <v>96.37941723496589</v>
      </c>
      <c r="AW15" s="58">
        <f t="shared" si="25"/>
        <v>29.20000000000016</v>
      </c>
      <c r="AX15" s="16">
        <f t="shared" si="13"/>
        <v>12.900000000000205</v>
      </c>
      <c r="AY15" s="20">
        <f t="shared" si="14"/>
        <v>806.5000000000001</v>
      </c>
      <c r="AZ15" s="20">
        <f t="shared" si="15"/>
        <v>777.3000000000001</v>
      </c>
      <c r="BA15" s="39">
        <f t="shared" si="16"/>
        <v>12.900000000000091</v>
      </c>
    </row>
    <row r="16" spans="1:53" ht="34.5" customHeight="1">
      <c r="A16" s="12" t="s">
        <v>13</v>
      </c>
      <c r="B16" s="57" t="s">
        <v>54</v>
      </c>
      <c r="C16" s="90">
        <v>-7.7</v>
      </c>
      <c r="D16" s="35">
        <v>4.4</v>
      </c>
      <c r="E16" s="35">
        <v>3.4</v>
      </c>
      <c r="F16" s="10">
        <f t="shared" si="27"/>
        <v>77.27272727272727</v>
      </c>
      <c r="G16" s="35">
        <v>5.1</v>
      </c>
      <c r="H16" s="35">
        <v>5.9</v>
      </c>
      <c r="I16" s="10">
        <f t="shared" si="7"/>
        <v>115.68627450980394</v>
      </c>
      <c r="J16" s="35">
        <v>4.9</v>
      </c>
      <c r="K16" s="35">
        <v>3.7</v>
      </c>
      <c r="L16" s="10">
        <f t="shared" si="8"/>
        <v>75.51020408163265</v>
      </c>
      <c r="M16" s="71">
        <f t="shared" si="17"/>
        <v>14.4</v>
      </c>
      <c r="N16" s="71">
        <f t="shared" si="18"/>
        <v>13</v>
      </c>
      <c r="O16" s="10">
        <f t="shared" si="1"/>
        <v>90.27777777777779</v>
      </c>
      <c r="P16" s="35">
        <v>5.6</v>
      </c>
      <c r="Q16" s="35">
        <v>3.4</v>
      </c>
      <c r="R16" s="10">
        <f t="shared" si="9"/>
        <v>60.71428571428572</v>
      </c>
      <c r="S16" s="35">
        <v>4.7</v>
      </c>
      <c r="T16" s="35">
        <v>5.9</v>
      </c>
      <c r="U16" s="10">
        <f t="shared" si="10"/>
        <v>125.53191489361701</v>
      </c>
      <c r="V16" s="35">
        <v>5</v>
      </c>
      <c r="W16" s="35">
        <v>6.1</v>
      </c>
      <c r="X16" s="10">
        <f t="shared" si="11"/>
        <v>122</v>
      </c>
      <c r="Y16" s="71">
        <f t="shared" si="19"/>
        <v>15.3</v>
      </c>
      <c r="Z16" s="71">
        <f t="shared" si="20"/>
        <v>15.4</v>
      </c>
      <c r="AA16" s="10">
        <f t="shared" si="2"/>
        <v>100.65359477124183</v>
      </c>
      <c r="AB16" s="35">
        <v>4.1</v>
      </c>
      <c r="AC16" s="35">
        <v>3.9</v>
      </c>
      <c r="AD16" s="10">
        <f t="shared" si="3"/>
        <v>95.1219512195122</v>
      </c>
      <c r="AE16" s="35">
        <v>9.7</v>
      </c>
      <c r="AF16" s="35">
        <v>3.7</v>
      </c>
      <c r="AG16" s="10">
        <f t="shared" si="4"/>
        <v>38.14432989690722</v>
      </c>
      <c r="AH16" s="35">
        <v>11.2</v>
      </c>
      <c r="AI16" s="35">
        <v>17.9</v>
      </c>
      <c r="AJ16" s="10">
        <f t="shared" si="12"/>
        <v>159.82142857142856</v>
      </c>
      <c r="AK16" s="71">
        <f t="shared" si="21"/>
        <v>25</v>
      </c>
      <c r="AL16" s="71">
        <f t="shared" si="22"/>
        <v>25.5</v>
      </c>
      <c r="AM16" s="10">
        <f t="shared" si="26"/>
        <v>102</v>
      </c>
      <c r="AN16" s="35"/>
      <c r="AO16" s="35"/>
      <c r="AP16" s="35"/>
      <c r="AQ16" s="35"/>
      <c r="AR16" s="35"/>
      <c r="AS16" s="35"/>
      <c r="AT16" s="58">
        <f t="shared" si="23"/>
        <v>54.7</v>
      </c>
      <c r="AU16" s="58">
        <f t="shared" si="24"/>
        <v>53.9</v>
      </c>
      <c r="AV16" s="10">
        <f t="shared" si="6"/>
        <v>98.53747714808043</v>
      </c>
      <c r="AW16" s="58">
        <f t="shared" si="25"/>
        <v>0.8000000000000043</v>
      </c>
      <c r="AX16" s="16">
        <f t="shared" si="13"/>
        <v>-6.899999999999999</v>
      </c>
      <c r="AY16" s="20">
        <f t="shared" si="14"/>
        <v>54.7</v>
      </c>
      <c r="AZ16" s="20">
        <f t="shared" si="15"/>
        <v>53.9</v>
      </c>
      <c r="BA16" s="39">
        <f t="shared" si="16"/>
        <v>-6.899999999999999</v>
      </c>
    </row>
    <row r="17" spans="1:53" ht="34.5" customHeight="1">
      <c r="A17" s="12" t="s">
        <v>14</v>
      </c>
      <c r="B17" s="61" t="s">
        <v>89</v>
      </c>
      <c r="C17" s="90">
        <v>-0.5</v>
      </c>
      <c r="D17" s="35">
        <f>11.5+0.7</f>
        <v>12.2</v>
      </c>
      <c r="E17" s="35">
        <v>0.7</v>
      </c>
      <c r="F17" s="10">
        <f t="shared" si="27"/>
        <v>5.737704918032787</v>
      </c>
      <c r="G17" s="35">
        <f>9.9+42.2</f>
        <v>52.1</v>
      </c>
      <c r="H17" s="35">
        <f>17.8+42.2</f>
        <v>60</v>
      </c>
      <c r="I17" s="10">
        <f t="shared" si="7"/>
        <v>115.16314779270633</v>
      </c>
      <c r="J17" s="35">
        <f>9.6+33.9</f>
        <v>43.5</v>
      </c>
      <c r="K17" s="35">
        <f>8.1+33.9</f>
        <v>42</v>
      </c>
      <c r="L17" s="10">
        <f t="shared" si="8"/>
        <v>96.55172413793103</v>
      </c>
      <c r="M17" s="71">
        <f t="shared" si="17"/>
        <v>107.8</v>
      </c>
      <c r="N17" s="71">
        <f t="shared" si="18"/>
        <v>102.7</v>
      </c>
      <c r="O17" s="10">
        <f t="shared" si="1"/>
        <v>95.26901669758813</v>
      </c>
      <c r="P17" s="35">
        <f>12.7+42.6</f>
        <v>55.3</v>
      </c>
      <c r="Q17" s="35">
        <f>8+42.6</f>
        <v>50.6</v>
      </c>
      <c r="R17" s="10">
        <f t="shared" si="9"/>
        <v>91.500904159132</v>
      </c>
      <c r="S17" s="35">
        <v>55.9</v>
      </c>
      <c r="T17" s="35">
        <v>54.8</v>
      </c>
      <c r="U17" s="10">
        <f t="shared" si="10"/>
        <v>98.03220035778175</v>
      </c>
      <c r="V17" s="35">
        <f>42.9+12.1</f>
        <v>55</v>
      </c>
      <c r="W17" s="35">
        <f>42.9+11.1</f>
        <v>54</v>
      </c>
      <c r="X17" s="10">
        <f t="shared" si="11"/>
        <v>98.18181818181819</v>
      </c>
      <c r="Y17" s="71">
        <f t="shared" si="19"/>
        <v>166.2</v>
      </c>
      <c r="Z17" s="71">
        <f t="shared" si="20"/>
        <v>159.4</v>
      </c>
      <c r="AA17" s="10">
        <f t="shared" si="2"/>
        <v>95.90854392298436</v>
      </c>
      <c r="AB17" s="35">
        <f>7.5+35.9</f>
        <v>43.4</v>
      </c>
      <c r="AC17" s="35">
        <f>5.9+35.9</f>
        <v>41.8</v>
      </c>
      <c r="AD17" s="10">
        <f t="shared" si="3"/>
        <v>96.31336405529953</v>
      </c>
      <c r="AE17" s="35">
        <f>8.7+37.9</f>
        <v>46.599999999999994</v>
      </c>
      <c r="AF17" s="35">
        <f>7.3+37.9</f>
        <v>45.199999999999996</v>
      </c>
      <c r="AG17" s="10">
        <f t="shared" si="4"/>
        <v>96.99570815450645</v>
      </c>
      <c r="AH17" s="35">
        <f>38.9+20.1</f>
        <v>59</v>
      </c>
      <c r="AI17" s="35">
        <f>38.9+8.5</f>
        <v>47.4</v>
      </c>
      <c r="AJ17" s="10">
        <f t="shared" si="12"/>
        <v>80.33898305084746</v>
      </c>
      <c r="AK17" s="71">
        <f t="shared" si="21"/>
        <v>149</v>
      </c>
      <c r="AL17" s="71">
        <f t="shared" si="22"/>
        <v>134.4</v>
      </c>
      <c r="AM17" s="10">
        <f t="shared" si="26"/>
        <v>90.20134228187919</v>
      </c>
      <c r="AN17" s="35"/>
      <c r="AO17" s="35"/>
      <c r="AP17" s="35"/>
      <c r="AQ17" s="35"/>
      <c r="AR17" s="35"/>
      <c r="AS17" s="35"/>
      <c r="AT17" s="58">
        <f>M17+Y17+AK17+AN17+AP17+AR17</f>
        <v>423</v>
      </c>
      <c r="AU17" s="58">
        <f t="shared" si="24"/>
        <v>396.5</v>
      </c>
      <c r="AV17" s="10">
        <f t="shared" si="6"/>
        <v>93.73522458628841</v>
      </c>
      <c r="AW17" s="58">
        <f t="shared" si="25"/>
        <v>26.5</v>
      </c>
      <c r="AX17" s="16">
        <f t="shared" si="13"/>
        <v>26</v>
      </c>
      <c r="AY17" s="20">
        <f t="shared" si="14"/>
        <v>423</v>
      </c>
      <c r="AZ17" s="20">
        <f t="shared" si="15"/>
        <v>396.5</v>
      </c>
      <c r="BA17" s="39">
        <f t="shared" si="16"/>
        <v>26</v>
      </c>
    </row>
    <row r="18" spans="1:53" ht="34.5" customHeight="1">
      <c r="A18" s="12" t="s">
        <v>15</v>
      </c>
      <c r="B18" s="61" t="s">
        <v>55</v>
      </c>
      <c r="C18" s="84">
        <v>0</v>
      </c>
      <c r="D18" s="35">
        <v>27.9</v>
      </c>
      <c r="E18" s="35">
        <v>27.5</v>
      </c>
      <c r="F18" s="10">
        <f t="shared" si="27"/>
        <v>98.5663082437276</v>
      </c>
      <c r="G18" s="35">
        <v>24.4</v>
      </c>
      <c r="H18" s="35">
        <v>24.8</v>
      </c>
      <c r="I18" s="10">
        <f t="shared" si="7"/>
        <v>101.63934426229508</v>
      </c>
      <c r="J18" s="35">
        <v>21.3</v>
      </c>
      <c r="K18" s="35">
        <v>21.3</v>
      </c>
      <c r="L18" s="10">
        <f t="shared" si="8"/>
        <v>100</v>
      </c>
      <c r="M18" s="71">
        <f t="shared" si="17"/>
        <v>73.6</v>
      </c>
      <c r="N18" s="71">
        <f t="shared" si="18"/>
        <v>73.6</v>
      </c>
      <c r="O18" s="10">
        <f t="shared" si="1"/>
        <v>100</v>
      </c>
      <c r="P18" s="35">
        <v>27.1</v>
      </c>
      <c r="Q18" s="35">
        <v>27</v>
      </c>
      <c r="R18" s="10">
        <f t="shared" si="9"/>
        <v>99.6309963099631</v>
      </c>
      <c r="S18" s="35">
        <v>27.6</v>
      </c>
      <c r="T18" s="35">
        <v>27.7</v>
      </c>
      <c r="U18" s="10">
        <f t="shared" si="10"/>
        <v>100.36231884057972</v>
      </c>
      <c r="V18" s="35">
        <v>32.7</v>
      </c>
      <c r="W18" s="35">
        <v>22.3</v>
      </c>
      <c r="X18" s="10">
        <f t="shared" si="11"/>
        <v>68.19571865443424</v>
      </c>
      <c r="Y18" s="71">
        <f t="shared" si="19"/>
        <v>87.4</v>
      </c>
      <c r="Z18" s="71">
        <f t="shared" si="20"/>
        <v>77</v>
      </c>
      <c r="AA18" s="10">
        <f t="shared" si="2"/>
        <v>88.10068649885582</v>
      </c>
      <c r="AB18" s="35">
        <v>25.8</v>
      </c>
      <c r="AC18" s="35">
        <v>36.2</v>
      </c>
      <c r="AD18" s="10">
        <f t="shared" si="3"/>
        <v>140.31007751937986</v>
      </c>
      <c r="AE18" s="35">
        <v>0</v>
      </c>
      <c r="AF18" s="35">
        <v>0</v>
      </c>
      <c r="AG18" s="85" t="e">
        <f t="shared" si="4"/>
        <v>#DIV/0!</v>
      </c>
      <c r="AH18" s="35">
        <v>36.2</v>
      </c>
      <c r="AI18" s="35">
        <v>36.2</v>
      </c>
      <c r="AJ18" s="10">
        <f t="shared" si="12"/>
        <v>100</v>
      </c>
      <c r="AK18" s="71">
        <f t="shared" si="21"/>
        <v>62</v>
      </c>
      <c r="AL18" s="71">
        <f t="shared" si="22"/>
        <v>72.4</v>
      </c>
      <c r="AM18" s="10">
        <f t="shared" si="26"/>
        <v>116.77419354838709</v>
      </c>
      <c r="AN18" s="35"/>
      <c r="AO18" s="35"/>
      <c r="AP18" s="35"/>
      <c r="AQ18" s="35"/>
      <c r="AR18" s="35"/>
      <c r="AS18" s="35"/>
      <c r="AT18" s="58">
        <f t="shared" si="23"/>
        <v>223</v>
      </c>
      <c r="AU18" s="58">
        <f t="shared" si="24"/>
        <v>223</v>
      </c>
      <c r="AV18" s="10">
        <f t="shared" si="6"/>
        <v>100</v>
      </c>
      <c r="AW18" s="58">
        <f t="shared" si="25"/>
        <v>0</v>
      </c>
      <c r="AX18" s="16">
        <f t="shared" si="13"/>
        <v>0</v>
      </c>
      <c r="AY18" s="20">
        <f t="shared" si="14"/>
        <v>223</v>
      </c>
      <c r="AZ18" s="20">
        <f t="shared" si="15"/>
        <v>223</v>
      </c>
      <c r="BA18" s="39">
        <f t="shared" si="16"/>
        <v>0</v>
      </c>
    </row>
    <row r="19" spans="1:53" ht="34.5" customHeight="1">
      <c r="A19" s="12" t="s">
        <v>16</v>
      </c>
      <c r="B19" s="57" t="s">
        <v>56</v>
      </c>
      <c r="C19" s="84">
        <v>20.9</v>
      </c>
      <c r="D19" s="35">
        <v>116.2</v>
      </c>
      <c r="E19" s="35">
        <v>101.7</v>
      </c>
      <c r="F19" s="54">
        <f t="shared" si="27"/>
        <v>87.52151462994836</v>
      </c>
      <c r="G19" s="35">
        <v>120.6</v>
      </c>
      <c r="H19" s="35">
        <v>154.5</v>
      </c>
      <c r="I19" s="10">
        <f t="shared" si="7"/>
        <v>128.10945273631842</v>
      </c>
      <c r="J19" s="35">
        <v>109.1</v>
      </c>
      <c r="K19" s="35">
        <v>93.2</v>
      </c>
      <c r="L19" s="10">
        <f t="shared" si="8"/>
        <v>85.4262144821265</v>
      </c>
      <c r="M19" s="71">
        <f t="shared" si="17"/>
        <v>345.9</v>
      </c>
      <c r="N19" s="71">
        <f t="shared" si="18"/>
        <v>349.4</v>
      </c>
      <c r="O19" s="10">
        <f t="shared" si="1"/>
        <v>101.01185313674472</v>
      </c>
      <c r="P19" s="35">
        <v>108.1</v>
      </c>
      <c r="Q19" s="35">
        <v>125.3</v>
      </c>
      <c r="R19" s="10">
        <f t="shared" si="9"/>
        <v>115.91119333950046</v>
      </c>
      <c r="S19" s="35">
        <v>134.3</v>
      </c>
      <c r="T19" s="35">
        <v>126.4</v>
      </c>
      <c r="U19" s="10">
        <f t="shared" si="10"/>
        <v>94.11764705882352</v>
      </c>
      <c r="V19" s="35">
        <v>136.3</v>
      </c>
      <c r="W19" s="35">
        <v>107.7</v>
      </c>
      <c r="X19" s="10">
        <f t="shared" si="11"/>
        <v>79.01687454145268</v>
      </c>
      <c r="Y19" s="71">
        <f t="shared" si="19"/>
        <v>378.70000000000005</v>
      </c>
      <c r="Z19" s="71">
        <f t="shared" si="20"/>
        <v>359.4</v>
      </c>
      <c r="AA19" s="10">
        <f t="shared" si="2"/>
        <v>94.9036176392923</v>
      </c>
      <c r="AB19" s="35">
        <v>126.1</v>
      </c>
      <c r="AC19" s="35">
        <v>155.1</v>
      </c>
      <c r="AD19" s="10">
        <f t="shared" si="3"/>
        <v>122.99762093576527</v>
      </c>
      <c r="AE19" s="35">
        <v>123.7</v>
      </c>
      <c r="AF19" s="35">
        <v>116.6</v>
      </c>
      <c r="AG19" s="10">
        <f t="shared" si="4"/>
        <v>94.26030719482618</v>
      </c>
      <c r="AH19" s="35">
        <v>138.1</v>
      </c>
      <c r="AI19" s="35">
        <v>132</v>
      </c>
      <c r="AJ19" s="10">
        <f t="shared" si="12"/>
        <v>95.58291093410573</v>
      </c>
      <c r="AK19" s="71">
        <f t="shared" si="21"/>
        <v>387.9</v>
      </c>
      <c r="AL19" s="71">
        <f t="shared" si="22"/>
        <v>403.7</v>
      </c>
      <c r="AM19" s="10">
        <f t="shared" si="26"/>
        <v>104.07321474606859</v>
      </c>
      <c r="AN19" s="35"/>
      <c r="AO19" s="35"/>
      <c r="AP19" s="35"/>
      <c r="AQ19" s="35"/>
      <c r="AR19" s="35"/>
      <c r="AS19" s="35"/>
      <c r="AT19" s="58">
        <f t="shared" si="23"/>
        <v>1112.5</v>
      </c>
      <c r="AU19" s="58">
        <f t="shared" si="24"/>
        <v>1112.5</v>
      </c>
      <c r="AV19" s="10">
        <f t="shared" si="6"/>
        <v>100</v>
      </c>
      <c r="AW19" s="58">
        <f t="shared" si="25"/>
        <v>0</v>
      </c>
      <c r="AX19" s="16">
        <f t="shared" si="13"/>
        <v>20.90000000000009</v>
      </c>
      <c r="AY19" s="20">
        <f t="shared" si="14"/>
        <v>1112.5</v>
      </c>
      <c r="AZ19" s="20">
        <f t="shared" si="15"/>
        <v>1112.5</v>
      </c>
      <c r="BA19" s="39">
        <f t="shared" si="16"/>
        <v>20.90000000000009</v>
      </c>
    </row>
    <row r="20" spans="1:53" ht="34.5" customHeight="1">
      <c r="A20" s="12" t="s">
        <v>17</v>
      </c>
      <c r="B20" s="61" t="s">
        <v>57</v>
      </c>
      <c r="C20" s="91">
        <v>4.5</v>
      </c>
      <c r="D20" s="35">
        <v>16.5</v>
      </c>
      <c r="E20" s="35">
        <v>11.2</v>
      </c>
      <c r="F20" s="10">
        <f t="shared" si="27"/>
        <v>67.87878787878788</v>
      </c>
      <c r="G20" s="35">
        <v>19.2</v>
      </c>
      <c r="H20" s="35">
        <v>12.9</v>
      </c>
      <c r="I20" s="10">
        <f t="shared" si="7"/>
        <v>67.1875</v>
      </c>
      <c r="J20" s="35">
        <v>32.3</v>
      </c>
      <c r="K20" s="35">
        <v>42.3</v>
      </c>
      <c r="L20" s="10">
        <f t="shared" si="8"/>
        <v>130.95975232198143</v>
      </c>
      <c r="M20" s="71">
        <f t="shared" si="17"/>
        <v>68</v>
      </c>
      <c r="N20" s="71">
        <f t="shared" si="18"/>
        <v>66.4</v>
      </c>
      <c r="O20" s="10">
        <f t="shared" si="1"/>
        <v>97.64705882352942</v>
      </c>
      <c r="P20" s="35">
        <v>24.4</v>
      </c>
      <c r="Q20" s="35">
        <v>22.4</v>
      </c>
      <c r="R20" s="10">
        <f t="shared" si="9"/>
        <v>91.80327868852459</v>
      </c>
      <c r="S20" s="35">
        <v>24.3</v>
      </c>
      <c r="T20" s="35">
        <v>19.1</v>
      </c>
      <c r="U20" s="10">
        <f t="shared" si="10"/>
        <v>78.6008230452675</v>
      </c>
      <c r="V20" s="35">
        <v>26.5</v>
      </c>
      <c r="W20" s="35">
        <v>27.5</v>
      </c>
      <c r="X20" s="10">
        <f t="shared" si="11"/>
        <v>103.77358490566037</v>
      </c>
      <c r="Y20" s="71">
        <f t="shared" si="19"/>
        <v>75.2</v>
      </c>
      <c r="Z20" s="71">
        <f t="shared" si="20"/>
        <v>69</v>
      </c>
      <c r="AA20" s="10">
        <f t="shared" si="2"/>
        <v>91.75531914893617</v>
      </c>
      <c r="AB20" s="35">
        <v>17.8</v>
      </c>
      <c r="AC20" s="35">
        <v>15.9</v>
      </c>
      <c r="AD20" s="10">
        <f t="shared" si="3"/>
        <v>89.32584269662921</v>
      </c>
      <c r="AE20" s="35">
        <v>21.7</v>
      </c>
      <c r="AF20" s="35">
        <v>18.6</v>
      </c>
      <c r="AG20" s="10">
        <f t="shared" si="4"/>
        <v>85.71428571428572</v>
      </c>
      <c r="AH20" s="35">
        <v>25.1</v>
      </c>
      <c r="AI20" s="35">
        <v>33.6</v>
      </c>
      <c r="AJ20" s="10">
        <f t="shared" si="12"/>
        <v>133.86454183266932</v>
      </c>
      <c r="AK20" s="71">
        <f t="shared" si="21"/>
        <v>64.6</v>
      </c>
      <c r="AL20" s="71">
        <f t="shared" si="22"/>
        <v>68.1</v>
      </c>
      <c r="AM20" s="10">
        <f t="shared" si="26"/>
        <v>105.41795665634675</v>
      </c>
      <c r="AN20" s="35"/>
      <c r="AO20" s="35"/>
      <c r="AP20" s="35"/>
      <c r="AQ20" s="35"/>
      <c r="AR20" s="35"/>
      <c r="AS20" s="35"/>
      <c r="AT20" s="58">
        <f t="shared" si="23"/>
        <v>207.79999999999998</v>
      </c>
      <c r="AU20" s="58">
        <f t="shared" si="24"/>
        <v>203.5</v>
      </c>
      <c r="AV20" s="10">
        <f t="shared" si="6"/>
        <v>97.93070259865256</v>
      </c>
      <c r="AW20" s="58">
        <f t="shared" si="25"/>
        <v>4.299999999999983</v>
      </c>
      <c r="AX20" s="16">
        <f t="shared" si="13"/>
        <v>8.799999999999983</v>
      </c>
      <c r="AY20" s="20">
        <f t="shared" si="14"/>
        <v>207.79999999999998</v>
      </c>
      <c r="AZ20" s="20">
        <f t="shared" si="15"/>
        <v>203.5</v>
      </c>
      <c r="BA20" s="39">
        <f t="shared" si="16"/>
        <v>8.799999999999983</v>
      </c>
    </row>
    <row r="21" spans="1:53" ht="34.5" customHeight="1">
      <c r="A21" s="12" t="s">
        <v>18</v>
      </c>
      <c r="B21" s="61" t="s">
        <v>58</v>
      </c>
      <c r="C21" s="88">
        <v>0</v>
      </c>
      <c r="D21" s="35">
        <v>1.4</v>
      </c>
      <c r="E21" s="35">
        <v>1.4</v>
      </c>
      <c r="F21" s="75">
        <f t="shared" si="27"/>
        <v>100</v>
      </c>
      <c r="G21" s="35">
        <v>1.4</v>
      </c>
      <c r="H21" s="35">
        <v>1.4</v>
      </c>
      <c r="I21" s="10">
        <f t="shared" si="7"/>
        <v>100</v>
      </c>
      <c r="J21" s="35">
        <v>1.6</v>
      </c>
      <c r="K21" s="35">
        <v>1.6</v>
      </c>
      <c r="L21" s="10">
        <f t="shared" si="8"/>
        <v>100</v>
      </c>
      <c r="M21" s="71">
        <f t="shared" si="17"/>
        <v>4.4</v>
      </c>
      <c r="N21" s="71">
        <f t="shared" si="18"/>
        <v>4.4</v>
      </c>
      <c r="O21" s="10">
        <f t="shared" si="1"/>
        <v>100</v>
      </c>
      <c r="P21" s="35">
        <v>1.4</v>
      </c>
      <c r="Q21" s="35">
        <v>1.4</v>
      </c>
      <c r="R21" s="10">
        <f t="shared" si="9"/>
        <v>100</v>
      </c>
      <c r="S21" s="35">
        <v>1.4</v>
      </c>
      <c r="T21" s="35">
        <v>1.4</v>
      </c>
      <c r="U21" s="10">
        <f t="shared" si="10"/>
        <v>100</v>
      </c>
      <c r="V21" s="35">
        <v>1.2</v>
      </c>
      <c r="W21" s="35">
        <v>1.2</v>
      </c>
      <c r="X21" s="10">
        <f t="shared" si="11"/>
        <v>100</v>
      </c>
      <c r="Y21" s="71">
        <f t="shared" si="19"/>
        <v>4</v>
      </c>
      <c r="Z21" s="71">
        <f t="shared" si="20"/>
        <v>4</v>
      </c>
      <c r="AA21" s="10">
        <f t="shared" si="2"/>
        <v>100</v>
      </c>
      <c r="AB21" s="35">
        <v>1.1</v>
      </c>
      <c r="AC21" s="35">
        <v>1.1</v>
      </c>
      <c r="AD21" s="10">
        <f t="shared" si="3"/>
        <v>100</v>
      </c>
      <c r="AE21" s="35">
        <v>1.1</v>
      </c>
      <c r="AF21" s="35">
        <v>1.1</v>
      </c>
      <c r="AG21" s="10">
        <f t="shared" si="4"/>
        <v>100</v>
      </c>
      <c r="AH21" s="35">
        <v>1.2</v>
      </c>
      <c r="AI21" s="35">
        <v>1.2</v>
      </c>
      <c r="AJ21" s="10">
        <f t="shared" si="12"/>
        <v>100</v>
      </c>
      <c r="AK21" s="71">
        <f t="shared" si="21"/>
        <v>3.4000000000000004</v>
      </c>
      <c r="AL21" s="71">
        <f t="shared" si="22"/>
        <v>3.4000000000000004</v>
      </c>
      <c r="AM21" s="10">
        <f t="shared" si="26"/>
        <v>100</v>
      </c>
      <c r="AN21" s="35"/>
      <c r="AO21" s="35"/>
      <c r="AP21" s="35"/>
      <c r="AQ21" s="35"/>
      <c r="AR21" s="35"/>
      <c r="AS21" s="35"/>
      <c r="AT21" s="58">
        <f t="shared" si="23"/>
        <v>11.8</v>
      </c>
      <c r="AU21" s="58">
        <f t="shared" si="24"/>
        <v>11.8</v>
      </c>
      <c r="AV21" s="10">
        <f t="shared" si="6"/>
        <v>100</v>
      </c>
      <c r="AW21" s="58">
        <f t="shared" si="25"/>
        <v>0</v>
      </c>
      <c r="AX21" s="16">
        <f t="shared" si="13"/>
        <v>0</v>
      </c>
      <c r="AY21" s="20">
        <f t="shared" si="14"/>
        <v>11.799999999999999</v>
      </c>
      <c r="AZ21" s="20">
        <f t="shared" si="15"/>
        <v>11.799999999999999</v>
      </c>
      <c r="BA21" s="39">
        <f t="shared" si="16"/>
        <v>0</v>
      </c>
    </row>
    <row r="22" spans="1:53" ht="34.5" customHeight="1">
      <c r="A22" s="12" t="s">
        <v>19</v>
      </c>
      <c r="B22" s="61" t="s">
        <v>41</v>
      </c>
      <c r="C22" s="92">
        <v>-1.9</v>
      </c>
      <c r="D22" s="35">
        <v>13.4</v>
      </c>
      <c r="E22" s="35">
        <v>11.4</v>
      </c>
      <c r="F22" s="10">
        <f t="shared" si="27"/>
        <v>85.07462686567165</v>
      </c>
      <c r="G22" s="35">
        <v>15.3</v>
      </c>
      <c r="H22" s="35">
        <v>15.4</v>
      </c>
      <c r="I22" s="10">
        <f t="shared" si="7"/>
        <v>100.65359477124183</v>
      </c>
      <c r="J22" s="35">
        <v>12</v>
      </c>
      <c r="K22" s="35">
        <v>10.8</v>
      </c>
      <c r="L22" s="10">
        <f t="shared" si="8"/>
        <v>90</v>
      </c>
      <c r="M22" s="71">
        <f t="shared" si="17"/>
        <v>40.7</v>
      </c>
      <c r="N22" s="71">
        <f t="shared" si="18"/>
        <v>37.6</v>
      </c>
      <c r="O22" s="10">
        <f t="shared" si="1"/>
        <v>92.38329238329239</v>
      </c>
      <c r="P22" s="35">
        <v>12.7</v>
      </c>
      <c r="Q22" s="35">
        <v>13.4</v>
      </c>
      <c r="R22" s="10">
        <f t="shared" si="9"/>
        <v>105.51181102362206</v>
      </c>
      <c r="S22" s="35">
        <v>10.3</v>
      </c>
      <c r="T22" s="35">
        <v>12</v>
      </c>
      <c r="U22" s="10">
        <f t="shared" si="10"/>
        <v>116.50485436893203</v>
      </c>
      <c r="V22" s="35">
        <v>15.8</v>
      </c>
      <c r="W22" s="35">
        <v>24.7</v>
      </c>
      <c r="X22" s="10">
        <f t="shared" si="11"/>
        <v>156.32911392405063</v>
      </c>
      <c r="Y22" s="71">
        <f t="shared" si="19"/>
        <v>38.8</v>
      </c>
      <c r="Z22" s="71">
        <f t="shared" si="20"/>
        <v>50.099999999999994</v>
      </c>
      <c r="AA22" s="10">
        <f t="shared" si="2"/>
        <v>129.12371134020617</v>
      </c>
      <c r="AB22" s="35">
        <v>10.7</v>
      </c>
      <c r="AC22" s="35">
        <v>3.2</v>
      </c>
      <c r="AD22" s="10">
        <f t="shared" si="3"/>
        <v>29.90654205607477</v>
      </c>
      <c r="AE22" s="35">
        <v>11.4</v>
      </c>
      <c r="AF22" s="35">
        <v>11.1</v>
      </c>
      <c r="AG22" s="10">
        <f t="shared" si="4"/>
        <v>97.36842105263158</v>
      </c>
      <c r="AH22" s="35">
        <v>16.2</v>
      </c>
      <c r="AI22" s="35">
        <v>12.8</v>
      </c>
      <c r="AJ22" s="10">
        <f t="shared" si="12"/>
        <v>79.01234567901236</v>
      </c>
      <c r="AK22" s="71">
        <f t="shared" si="21"/>
        <v>38.3</v>
      </c>
      <c r="AL22" s="71">
        <f t="shared" si="22"/>
        <v>27.1</v>
      </c>
      <c r="AM22" s="10">
        <f t="shared" si="26"/>
        <v>70.75718015665797</v>
      </c>
      <c r="AN22" s="35"/>
      <c r="AO22" s="35"/>
      <c r="AP22" s="35"/>
      <c r="AQ22" s="35"/>
      <c r="AR22" s="35"/>
      <c r="AS22" s="35"/>
      <c r="AT22" s="58">
        <f t="shared" si="23"/>
        <v>117.8</v>
      </c>
      <c r="AU22" s="58">
        <f t="shared" si="24"/>
        <v>114.79999999999998</v>
      </c>
      <c r="AV22" s="10">
        <f t="shared" si="6"/>
        <v>97.45331069609506</v>
      </c>
      <c r="AW22" s="58">
        <f t="shared" si="25"/>
        <v>3.000000000000014</v>
      </c>
      <c r="AX22" s="16">
        <f t="shared" si="13"/>
        <v>1.1000000000000085</v>
      </c>
      <c r="AY22" s="20">
        <f t="shared" si="14"/>
        <v>117.80000000000001</v>
      </c>
      <c r="AZ22" s="20">
        <f t="shared" si="15"/>
        <v>114.79999999999998</v>
      </c>
      <c r="BA22" s="39">
        <f t="shared" si="16"/>
        <v>1.1000000000000227</v>
      </c>
    </row>
    <row r="23" spans="1:53" ht="34.5" customHeight="1">
      <c r="A23" s="12" t="s">
        <v>20</v>
      </c>
      <c r="B23" s="61" t="s">
        <v>90</v>
      </c>
      <c r="C23" s="84">
        <v>0</v>
      </c>
      <c r="D23" s="35">
        <v>2</v>
      </c>
      <c r="E23" s="35">
        <v>0</v>
      </c>
      <c r="F23" s="10">
        <f t="shared" si="27"/>
        <v>0</v>
      </c>
      <c r="G23" s="35">
        <v>2.3</v>
      </c>
      <c r="H23" s="35">
        <v>2.5</v>
      </c>
      <c r="I23" s="10">
        <f t="shared" si="7"/>
        <v>108.69565217391306</v>
      </c>
      <c r="J23" s="35">
        <v>2.4</v>
      </c>
      <c r="K23" s="35">
        <v>2.5</v>
      </c>
      <c r="L23" s="10">
        <f t="shared" si="8"/>
        <v>104.16666666666667</v>
      </c>
      <c r="M23" s="71">
        <f t="shared" si="17"/>
        <v>6.699999999999999</v>
      </c>
      <c r="N23" s="71">
        <f t="shared" si="18"/>
        <v>5</v>
      </c>
      <c r="O23" s="10">
        <f t="shared" si="1"/>
        <v>74.6268656716418</v>
      </c>
      <c r="P23" s="35">
        <v>2.7</v>
      </c>
      <c r="Q23" s="35">
        <v>2.5</v>
      </c>
      <c r="R23" s="10">
        <f t="shared" si="9"/>
        <v>92.59259259259258</v>
      </c>
      <c r="S23" s="35">
        <v>2.6</v>
      </c>
      <c r="T23" s="35">
        <v>4.5</v>
      </c>
      <c r="U23" s="10">
        <f t="shared" si="10"/>
        <v>173.07692307692307</v>
      </c>
      <c r="V23" s="35">
        <v>3.2</v>
      </c>
      <c r="W23" s="35">
        <v>0.8</v>
      </c>
      <c r="X23" s="10">
        <f t="shared" si="11"/>
        <v>25</v>
      </c>
      <c r="Y23" s="71">
        <f t="shared" si="19"/>
        <v>8.5</v>
      </c>
      <c r="Z23" s="71">
        <f t="shared" si="20"/>
        <v>7.8</v>
      </c>
      <c r="AA23" s="10">
        <f t="shared" si="2"/>
        <v>91.76470588235294</v>
      </c>
      <c r="AB23" s="35">
        <v>2.7</v>
      </c>
      <c r="AC23" s="35">
        <v>3.5</v>
      </c>
      <c r="AD23" s="10">
        <f t="shared" si="3"/>
        <v>129.62962962962962</v>
      </c>
      <c r="AE23" s="35">
        <v>3.4</v>
      </c>
      <c r="AF23" s="35">
        <v>2.6</v>
      </c>
      <c r="AG23" s="10">
        <f t="shared" si="4"/>
        <v>76.47058823529413</v>
      </c>
      <c r="AH23" s="35">
        <v>3.1</v>
      </c>
      <c r="AI23" s="35">
        <v>3.6</v>
      </c>
      <c r="AJ23" s="10">
        <f t="shared" si="12"/>
        <v>116.12903225806453</v>
      </c>
      <c r="AK23" s="71">
        <f t="shared" si="21"/>
        <v>9.2</v>
      </c>
      <c r="AL23" s="71">
        <f t="shared" si="22"/>
        <v>9.7</v>
      </c>
      <c r="AM23" s="10">
        <f t="shared" si="26"/>
        <v>105.43478260869566</v>
      </c>
      <c r="AN23" s="35"/>
      <c r="AO23" s="35"/>
      <c r="AP23" s="35"/>
      <c r="AQ23" s="35"/>
      <c r="AR23" s="35"/>
      <c r="AS23" s="35"/>
      <c r="AT23" s="58">
        <f t="shared" si="23"/>
        <v>24.4</v>
      </c>
      <c r="AU23" s="58">
        <f t="shared" si="24"/>
        <v>22.5</v>
      </c>
      <c r="AV23" s="10">
        <f t="shared" si="6"/>
        <v>92.21311475409837</v>
      </c>
      <c r="AW23" s="58">
        <f t="shared" si="25"/>
        <v>1.8999999999999986</v>
      </c>
      <c r="AX23" s="16">
        <f t="shared" si="13"/>
        <v>1.8999999999999986</v>
      </c>
      <c r="AY23" s="20">
        <f t="shared" si="14"/>
        <v>24.4</v>
      </c>
      <c r="AZ23" s="20">
        <f t="shared" si="15"/>
        <v>22.500000000000004</v>
      </c>
      <c r="BA23" s="39">
        <f t="shared" si="16"/>
        <v>1.899999999999995</v>
      </c>
    </row>
    <row r="24" spans="1:53" ht="34.5" customHeight="1">
      <c r="A24" s="12" t="s">
        <v>21</v>
      </c>
      <c r="B24" s="61" t="s">
        <v>40</v>
      </c>
      <c r="C24" s="84">
        <v>0</v>
      </c>
      <c r="D24" s="35">
        <v>59.1</v>
      </c>
      <c r="E24" s="35">
        <v>33.5</v>
      </c>
      <c r="F24" s="10">
        <f>E24/D24*100</f>
        <v>56.683587140439926</v>
      </c>
      <c r="G24" s="35">
        <v>73.8</v>
      </c>
      <c r="H24" s="35">
        <v>99.4</v>
      </c>
      <c r="I24" s="10">
        <f t="shared" si="7"/>
        <v>134.68834688346885</v>
      </c>
      <c r="J24" s="35">
        <v>69.6</v>
      </c>
      <c r="K24" s="35">
        <v>69.6</v>
      </c>
      <c r="L24" s="10">
        <f t="shared" si="8"/>
        <v>100</v>
      </c>
      <c r="M24" s="71">
        <f t="shared" si="17"/>
        <v>202.5</v>
      </c>
      <c r="N24" s="71">
        <f t="shared" si="18"/>
        <v>202.5</v>
      </c>
      <c r="O24" s="10">
        <f t="shared" si="1"/>
        <v>100</v>
      </c>
      <c r="P24" s="35">
        <v>64.5</v>
      </c>
      <c r="Q24" s="35">
        <v>64.6</v>
      </c>
      <c r="R24" s="10">
        <f t="shared" si="9"/>
        <v>100.15503875968992</v>
      </c>
      <c r="S24" s="35">
        <v>80.7</v>
      </c>
      <c r="T24" s="35">
        <v>80.2</v>
      </c>
      <c r="U24" s="10">
        <f t="shared" si="10"/>
        <v>99.38042131350682</v>
      </c>
      <c r="V24" s="35">
        <v>118.7</v>
      </c>
      <c r="W24" s="35">
        <v>118.4</v>
      </c>
      <c r="X24" s="10">
        <f t="shared" si="11"/>
        <v>99.74726200505476</v>
      </c>
      <c r="Y24" s="71">
        <f t="shared" si="19"/>
        <v>263.9</v>
      </c>
      <c r="Z24" s="71">
        <f t="shared" si="20"/>
        <v>263.20000000000005</v>
      </c>
      <c r="AA24" s="10">
        <f t="shared" si="2"/>
        <v>99.7347480106101</v>
      </c>
      <c r="AB24" s="35">
        <v>85.1</v>
      </c>
      <c r="AC24" s="35">
        <v>85.1</v>
      </c>
      <c r="AD24" s="10">
        <f t="shared" si="3"/>
        <v>100</v>
      </c>
      <c r="AE24" s="35">
        <v>81.6</v>
      </c>
      <c r="AF24" s="35">
        <v>81.7</v>
      </c>
      <c r="AG24" s="10">
        <f t="shared" si="4"/>
        <v>100.12254901960785</v>
      </c>
      <c r="AH24" s="35">
        <v>121.2</v>
      </c>
      <c r="AI24" s="35">
        <v>118.2</v>
      </c>
      <c r="AJ24" s="10">
        <f t="shared" si="12"/>
        <v>97.52475247524752</v>
      </c>
      <c r="AK24" s="71">
        <f t="shared" si="21"/>
        <v>287.9</v>
      </c>
      <c r="AL24" s="71">
        <f t="shared" si="22"/>
        <v>285</v>
      </c>
      <c r="AM24" s="10">
        <f t="shared" si="26"/>
        <v>98.99270580062523</v>
      </c>
      <c r="AN24" s="35"/>
      <c r="AO24" s="35"/>
      <c r="AP24" s="35"/>
      <c r="AQ24" s="35"/>
      <c r="AR24" s="35"/>
      <c r="AS24" s="35"/>
      <c r="AT24" s="58">
        <f t="shared" si="23"/>
        <v>754.3</v>
      </c>
      <c r="AU24" s="58">
        <f t="shared" si="24"/>
        <v>750.7</v>
      </c>
      <c r="AV24" s="10">
        <f t="shared" si="6"/>
        <v>99.52273631181228</v>
      </c>
      <c r="AW24" s="58">
        <f t="shared" si="25"/>
        <v>3.599999999999909</v>
      </c>
      <c r="AX24" s="16">
        <f t="shared" si="13"/>
        <v>3.599999999999909</v>
      </c>
      <c r="AY24" s="20">
        <f t="shared" si="14"/>
        <v>754.3000000000001</v>
      </c>
      <c r="AZ24" s="20">
        <f t="shared" si="15"/>
        <v>750.7000000000002</v>
      </c>
      <c r="BA24" s="39">
        <f t="shared" si="16"/>
        <v>3.599999999999909</v>
      </c>
    </row>
    <row r="25" spans="1:53" ht="34.5" customHeight="1">
      <c r="A25" s="12" t="s">
        <v>22</v>
      </c>
      <c r="B25" s="57" t="s">
        <v>43</v>
      </c>
      <c r="C25" s="84">
        <v>18.8</v>
      </c>
      <c r="D25" s="35">
        <v>89.3</v>
      </c>
      <c r="E25" s="35">
        <v>11.6</v>
      </c>
      <c r="F25" s="10">
        <f>E25/D25*100</f>
        <v>12.989921612541993</v>
      </c>
      <c r="G25" s="35">
        <v>74.7</v>
      </c>
      <c r="H25" s="35">
        <v>88.2</v>
      </c>
      <c r="I25" s="10">
        <f t="shared" si="7"/>
        <v>118.07228915662651</v>
      </c>
      <c r="J25" s="35">
        <v>80</v>
      </c>
      <c r="K25" s="35">
        <v>91.5</v>
      </c>
      <c r="L25" s="10">
        <f t="shared" si="8"/>
        <v>114.375</v>
      </c>
      <c r="M25" s="71">
        <f t="shared" si="17"/>
        <v>244</v>
      </c>
      <c r="N25" s="71">
        <f t="shared" si="18"/>
        <v>191.3</v>
      </c>
      <c r="O25" s="10">
        <f t="shared" si="1"/>
        <v>78.40163934426229</v>
      </c>
      <c r="P25" s="35">
        <v>80.4</v>
      </c>
      <c r="Q25" s="35">
        <v>79.9</v>
      </c>
      <c r="R25" s="10">
        <f t="shared" si="9"/>
        <v>99.37810945273633</v>
      </c>
      <c r="S25" s="35">
        <v>78.2</v>
      </c>
      <c r="T25" s="35">
        <v>81</v>
      </c>
      <c r="U25" s="10">
        <f t="shared" si="10"/>
        <v>103.58056265984655</v>
      </c>
      <c r="V25" s="35">
        <v>82.4</v>
      </c>
      <c r="W25" s="35">
        <v>79.1</v>
      </c>
      <c r="X25" s="10">
        <f t="shared" si="11"/>
        <v>95.99514563106794</v>
      </c>
      <c r="Y25" s="71">
        <f t="shared" si="19"/>
        <v>241.00000000000003</v>
      </c>
      <c r="Z25" s="71">
        <f t="shared" si="20"/>
        <v>240</v>
      </c>
      <c r="AA25" s="10">
        <f t="shared" si="2"/>
        <v>99.58506224066389</v>
      </c>
      <c r="AB25" s="35">
        <v>88.7</v>
      </c>
      <c r="AC25" s="35">
        <v>88.9</v>
      </c>
      <c r="AD25" s="10">
        <f t="shared" si="3"/>
        <v>100.22547914317926</v>
      </c>
      <c r="AE25" s="35">
        <v>72.1</v>
      </c>
      <c r="AF25" s="35">
        <v>86.3</v>
      </c>
      <c r="AG25" s="10">
        <f t="shared" si="4"/>
        <v>119.69486823855758</v>
      </c>
      <c r="AH25" s="35">
        <v>83.9</v>
      </c>
      <c r="AI25" s="35">
        <v>75</v>
      </c>
      <c r="AJ25" s="10">
        <f t="shared" si="12"/>
        <v>89.39213349225268</v>
      </c>
      <c r="AK25" s="71">
        <f t="shared" si="21"/>
        <v>244.70000000000002</v>
      </c>
      <c r="AL25" s="71">
        <f t="shared" si="22"/>
        <v>250.2</v>
      </c>
      <c r="AM25" s="10">
        <f t="shared" si="26"/>
        <v>102.24765018389863</v>
      </c>
      <c r="AN25" s="35"/>
      <c r="AO25" s="35"/>
      <c r="AP25" s="35"/>
      <c r="AQ25" s="35"/>
      <c r="AR25" s="35"/>
      <c r="AS25" s="35"/>
      <c r="AT25" s="58">
        <f t="shared" si="23"/>
        <v>729.7</v>
      </c>
      <c r="AU25" s="58">
        <f t="shared" si="24"/>
        <v>681.5</v>
      </c>
      <c r="AV25" s="10">
        <f t="shared" si="6"/>
        <v>93.39454570371385</v>
      </c>
      <c r="AW25" s="58">
        <f t="shared" si="25"/>
        <v>48.200000000000045</v>
      </c>
      <c r="AX25" s="16">
        <f t="shared" si="13"/>
        <v>67</v>
      </c>
      <c r="AY25" s="20">
        <f t="shared" si="14"/>
        <v>729.7</v>
      </c>
      <c r="AZ25" s="20">
        <f t="shared" si="15"/>
        <v>681.5</v>
      </c>
      <c r="BA25" s="39">
        <f t="shared" si="16"/>
        <v>67</v>
      </c>
    </row>
    <row r="26" spans="1:53" ht="34.5" customHeight="1">
      <c r="A26" s="12" t="s">
        <v>23</v>
      </c>
      <c r="B26" s="61" t="s">
        <v>91</v>
      </c>
      <c r="C26" s="84">
        <v>0</v>
      </c>
      <c r="D26" s="35">
        <v>1.5</v>
      </c>
      <c r="E26" s="35">
        <v>1.5</v>
      </c>
      <c r="F26" s="10">
        <f>E26/D26*100</f>
        <v>100</v>
      </c>
      <c r="G26" s="35">
        <v>1.4</v>
      </c>
      <c r="H26" s="35">
        <v>1.4</v>
      </c>
      <c r="I26" s="10">
        <f t="shared" si="7"/>
        <v>100</v>
      </c>
      <c r="J26" s="35">
        <v>1.4</v>
      </c>
      <c r="K26" s="35">
        <v>1.4</v>
      </c>
      <c r="L26" s="10">
        <f t="shared" si="8"/>
        <v>100</v>
      </c>
      <c r="M26" s="71">
        <f t="shared" si="17"/>
        <v>4.3</v>
      </c>
      <c r="N26" s="71">
        <f t="shared" si="18"/>
        <v>4.3</v>
      </c>
      <c r="O26" s="10">
        <f t="shared" si="1"/>
        <v>100</v>
      </c>
      <c r="P26" s="35">
        <v>1.6</v>
      </c>
      <c r="Q26" s="35">
        <v>1.6</v>
      </c>
      <c r="R26" s="10">
        <f t="shared" si="9"/>
        <v>100</v>
      </c>
      <c r="S26" s="35">
        <v>1.3</v>
      </c>
      <c r="T26" s="35">
        <v>1.3</v>
      </c>
      <c r="U26" s="10">
        <f t="shared" si="10"/>
        <v>100</v>
      </c>
      <c r="V26" s="35">
        <v>0.8</v>
      </c>
      <c r="W26" s="35">
        <v>0.8</v>
      </c>
      <c r="X26" s="10">
        <f t="shared" si="11"/>
        <v>100</v>
      </c>
      <c r="Y26" s="71">
        <f t="shared" si="19"/>
        <v>3.7</v>
      </c>
      <c r="Z26" s="71">
        <f t="shared" si="20"/>
        <v>3.7</v>
      </c>
      <c r="AA26" s="10">
        <f t="shared" si="2"/>
        <v>100</v>
      </c>
      <c r="AB26" s="35">
        <v>0.7</v>
      </c>
      <c r="AC26" s="35">
        <v>0.7</v>
      </c>
      <c r="AD26" s="10">
        <f t="shared" si="3"/>
        <v>100</v>
      </c>
      <c r="AE26" s="35">
        <v>1</v>
      </c>
      <c r="AF26" s="35">
        <v>1</v>
      </c>
      <c r="AG26" s="10">
        <f t="shared" si="4"/>
        <v>100</v>
      </c>
      <c r="AH26" s="35">
        <v>1.5</v>
      </c>
      <c r="AI26" s="35">
        <v>1.5</v>
      </c>
      <c r="AJ26" s="10">
        <f t="shared" si="12"/>
        <v>100</v>
      </c>
      <c r="AK26" s="71">
        <f t="shared" si="21"/>
        <v>3.2</v>
      </c>
      <c r="AL26" s="71">
        <f t="shared" si="22"/>
        <v>3.2</v>
      </c>
      <c r="AM26" s="10">
        <f t="shared" si="26"/>
        <v>100</v>
      </c>
      <c r="AN26" s="35"/>
      <c r="AO26" s="35"/>
      <c r="AP26" s="35"/>
      <c r="AQ26" s="35"/>
      <c r="AR26" s="35"/>
      <c r="AS26" s="35"/>
      <c r="AT26" s="58">
        <f t="shared" si="23"/>
        <v>11.2</v>
      </c>
      <c r="AU26" s="58">
        <f t="shared" si="24"/>
        <v>11.2</v>
      </c>
      <c r="AV26" s="10">
        <f t="shared" si="6"/>
        <v>100</v>
      </c>
      <c r="AW26" s="58">
        <f t="shared" si="25"/>
        <v>0</v>
      </c>
      <c r="AX26" s="16">
        <f t="shared" si="13"/>
        <v>0</v>
      </c>
      <c r="AY26" s="20">
        <f t="shared" si="14"/>
        <v>11.2</v>
      </c>
      <c r="AZ26" s="20">
        <f t="shared" si="15"/>
        <v>11.2</v>
      </c>
      <c r="BA26" s="39">
        <f t="shared" si="16"/>
        <v>0</v>
      </c>
    </row>
    <row r="27" spans="1:53" ht="34.5" customHeight="1">
      <c r="A27" s="12" t="s">
        <v>24</v>
      </c>
      <c r="B27" s="61" t="s">
        <v>59</v>
      </c>
      <c r="C27" s="84">
        <v>0</v>
      </c>
      <c r="D27" s="35">
        <v>17.7</v>
      </c>
      <c r="E27" s="35">
        <v>1</v>
      </c>
      <c r="F27" s="52">
        <f>E27/D27*100</f>
        <v>5.649717514124294</v>
      </c>
      <c r="G27" s="35">
        <v>23.2</v>
      </c>
      <c r="H27" s="35">
        <v>17.2</v>
      </c>
      <c r="I27" s="10">
        <f t="shared" si="7"/>
        <v>74.13793103448276</v>
      </c>
      <c r="J27" s="35">
        <v>21.8</v>
      </c>
      <c r="K27" s="35">
        <v>23.5</v>
      </c>
      <c r="L27" s="10">
        <f t="shared" si="8"/>
        <v>107.79816513761466</v>
      </c>
      <c r="M27" s="71">
        <f t="shared" si="17"/>
        <v>62.7</v>
      </c>
      <c r="N27" s="71">
        <f t="shared" si="18"/>
        <v>41.7</v>
      </c>
      <c r="O27" s="10">
        <f t="shared" si="1"/>
        <v>66.50717703349282</v>
      </c>
      <c r="P27" s="35">
        <v>25.7</v>
      </c>
      <c r="Q27" s="35">
        <v>21.9</v>
      </c>
      <c r="R27" s="10">
        <f t="shared" si="9"/>
        <v>85.21400778210116</v>
      </c>
      <c r="S27" s="35">
        <v>20.7</v>
      </c>
      <c r="T27" s="35">
        <v>25.4</v>
      </c>
      <c r="U27" s="10">
        <f t="shared" si="10"/>
        <v>122.70531400966182</v>
      </c>
      <c r="V27" s="35">
        <v>22.5</v>
      </c>
      <c r="W27" s="35">
        <v>21</v>
      </c>
      <c r="X27" s="10">
        <f t="shared" si="11"/>
        <v>93.33333333333333</v>
      </c>
      <c r="Y27" s="71">
        <f t="shared" si="19"/>
        <v>68.9</v>
      </c>
      <c r="Z27" s="71">
        <f t="shared" si="20"/>
        <v>68.3</v>
      </c>
      <c r="AA27" s="10">
        <f t="shared" si="2"/>
        <v>99.12917271407836</v>
      </c>
      <c r="AB27" s="35">
        <v>8.7</v>
      </c>
      <c r="AC27" s="35">
        <v>23.9</v>
      </c>
      <c r="AD27" s="10">
        <f t="shared" si="3"/>
        <v>274.71264367816093</v>
      </c>
      <c r="AE27" s="35">
        <v>10</v>
      </c>
      <c r="AF27" s="35">
        <v>7.4</v>
      </c>
      <c r="AG27" s="10">
        <f t="shared" si="4"/>
        <v>74</v>
      </c>
      <c r="AH27" s="35">
        <v>15</v>
      </c>
      <c r="AI27" s="35">
        <v>21.6</v>
      </c>
      <c r="AJ27" s="10">
        <f t="shared" si="12"/>
        <v>144.00000000000003</v>
      </c>
      <c r="AK27" s="71">
        <f t="shared" si="21"/>
        <v>33.7</v>
      </c>
      <c r="AL27" s="71">
        <f t="shared" si="22"/>
        <v>52.9</v>
      </c>
      <c r="AM27" s="10">
        <f t="shared" si="26"/>
        <v>156.97329376854597</v>
      </c>
      <c r="AN27" s="35"/>
      <c r="AO27" s="35"/>
      <c r="AP27" s="35"/>
      <c r="AQ27" s="35"/>
      <c r="AR27" s="35"/>
      <c r="AS27" s="35"/>
      <c r="AT27" s="58">
        <f t="shared" si="23"/>
        <v>165.3</v>
      </c>
      <c r="AU27" s="58">
        <f t="shared" si="24"/>
        <v>162.9</v>
      </c>
      <c r="AV27" s="10">
        <f t="shared" si="6"/>
        <v>98.5480943738657</v>
      </c>
      <c r="AW27" s="58">
        <f t="shared" si="25"/>
        <v>2.4000000000000057</v>
      </c>
      <c r="AX27" s="16">
        <f t="shared" si="13"/>
        <v>2.4000000000000057</v>
      </c>
      <c r="AY27" s="20">
        <f t="shared" si="14"/>
        <v>165.3</v>
      </c>
      <c r="AZ27" s="20">
        <f t="shared" si="15"/>
        <v>162.9</v>
      </c>
      <c r="BA27" s="39">
        <f t="shared" si="16"/>
        <v>2.4000000000000057</v>
      </c>
    </row>
    <row r="28" spans="1:53" ht="34.5" customHeight="1">
      <c r="A28" s="12" t="s">
        <v>25</v>
      </c>
      <c r="B28" s="113" t="s">
        <v>92</v>
      </c>
      <c r="C28" s="91">
        <v>2.5</v>
      </c>
      <c r="D28" s="35">
        <v>40.5</v>
      </c>
      <c r="E28" s="35">
        <v>1</v>
      </c>
      <c r="F28" s="75">
        <f>E28/D28*100</f>
        <v>2.4691358024691357</v>
      </c>
      <c r="G28" s="35">
        <v>57.6</v>
      </c>
      <c r="H28" s="35">
        <v>37.4</v>
      </c>
      <c r="I28" s="10">
        <f t="shared" si="7"/>
        <v>64.93055555555554</v>
      </c>
      <c r="J28" s="35">
        <v>75.7</v>
      </c>
      <c r="K28" s="35">
        <v>106.6</v>
      </c>
      <c r="L28" s="10">
        <f t="shared" si="8"/>
        <v>140.81902245706738</v>
      </c>
      <c r="M28" s="71">
        <f t="shared" si="17"/>
        <v>173.8</v>
      </c>
      <c r="N28" s="71">
        <f t="shared" si="18"/>
        <v>145</v>
      </c>
      <c r="O28" s="10">
        <f t="shared" si="1"/>
        <v>83.42922899884925</v>
      </c>
      <c r="P28" s="35">
        <v>68</v>
      </c>
      <c r="Q28" s="35">
        <v>69.9</v>
      </c>
      <c r="R28" s="10">
        <f t="shared" si="9"/>
        <v>102.79411764705884</v>
      </c>
      <c r="S28" s="35">
        <v>72.3</v>
      </c>
      <c r="T28" s="35">
        <v>70.4</v>
      </c>
      <c r="U28" s="10">
        <f t="shared" si="10"/>
        <v>97.37206085753805</v>
      </c>
      <c r="V28" s="35">
        <v>67.2</v>
      </c>
      <c r="W28" s="35">
        <v>71.6</v>
      </c>
      <c r="X28" s="10">
        <f t="shared" si="11"/>
        <v>106.54761904761902</v>
      </c>
      <c r="Y28" s="71">
        <f t="shared" si="19"/>
        <v>207.5</v>
      </c>
      <c r="Z28" s="71">
        <f t="shared" si="20"/>
        <v>211.9</v>
      </c>
      <c r="AA28" s="10">
        <f t="shared" si="2"/>
        <v>102.12048192771084</v>
      </c>
      <c r="AB28" s="35">
        <v>53.4</v>
      </c>
      <c r="AC28" s="35">
        <v>60.8</v>
      </c>
      <c r="AD28" s="10">
        <f t="shared" si="3"/>
        <v>113.85767790262172</v>
      </c>
      <c r="AE28" s="35">
        <v>58.9</v>
      </c>
      <c r="AF28" s="79">
        <v>50.6</v>
      </c>
      <c r="AG28" s="10">
        <f t="shared" si="4"/>
        <v>85.90831918505943</v>
      </c>
      <c r="AH28" s="35">
        <v>69.7</v>
      </c>
      <c r="AI28" s="79">
        <v>60.5</v>
      </c>
      <c r="AJ28" s="10">
        <f t="shared" si="12"/>
        <v>86.80057388809182</v>
      </c>
      <c r="AK28" s="71">
        <f t="shared" si="21"/>
        <v>182</v>
      </c>
      <c r="AL28" s="71">
        <f t="shared" si="22"/>
        <v>171.9</v>
      </c>
      <c r="AM28" s="10">
        <f t="shared" si="26"/>
        <v>94.45054945054946</v>
      </c>
      <c r="AN28" s="35"/>
      <c r="AO28" s="79"/>
      <c r="AP28" s="35"/>
      <c r="AQ28" s="79"/>
      <c r="AR28" s="35"/>
      <c r="AS28" s="79"/>
      <c r="AT28" s="58">
        <f t="shared" si="23"/>
        <v>563.3</v>
      </c>
      <c r="AU28" s="58">
        <f t="shared" si="24"/>
        <v>528.8</v>
      </c>
      <c r="AV28" s="10">
        <f t="shared" si="6"/>
        <v>93.87537724125687</v>
      </c>
      <c r="AW28" s="58">
        <f t="shared" si="25"/>
        <v>34.5</v>
      </c>
      <c r="AX28" s="16">
        <f t="shared" si="13"/>
        <v>37</v>
      </c>
      <c r="AY28" s="20">
        <f t="shared" si="14"/>
        <v>563.3</v>
      </c>
      <c r="AZ28" s="20">
        <f t="shared" si="15"/>
        <v>528.8</v>
      </c>
      <c r="BA28" s="39">
        <f t="shared" si="16"/>
        <v>37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7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9"/>
        <v>#DIV/0!</v>
      </c>
      <c r="S29" s="62"/>
      <c r="T29" s="62"/>
      <c r="U29" s="85" t="e">
        <f t="shared" si="10"/>
        <v>#DIV/0!</v>
      </c>
      <c r="V29" s="62"/>
      <c r="W29" s="62"/>
      <c r="X29" s="62"/>
      <c r="Y29" s="71"/>
      <c r="Z29" s="71"/>
      <c r="AA29" s="10"/>
      <c r="AB29" s="62"/>
      <c r="AC29" s="62"/>
      <c r="AD29" s="85" t="e">
        <f t="shared" si="3"/>
        <v>#DIV/0!</v>
      </c>
      <c r="AE29" s="53"/>
      <c r="AF29" s="53"/>
      <c r="AG29" s="85" t="e">
        <f t="shared" si="4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4"/>
        <v>0</v>
      </c>
      <c r="AZ29" s="20">
        <f t="shared" si="15"/>
        <v>0</v>
      </c>
      <c r="BA29" s="39">
        <f t="shared" si="16"/>
        <v>0</v>
      </c>
    </row>
    <row r="30" spans="1:53" ht="34.5" customHeight="1">
      <c r="A30" s="12" t="s">
        <v>27</v>
      </c>
      <c r="B30" s="61" t="s">
        <v>39</v>
      </c>
      <c r="C30" s="93">
        <v>0</v>
      </c>
      <c r="D30" s="35">
        <v>26.1</v>
      </c>
      <c r="E30" s="35">
        <v>26.1</v>
      </c>
      <c r="F30" s="77">
        <f aca="true" t="shared" si="28" ref="F30:F36">E30/D30*100</f>
        <v>100</v>
      </c>
      <c r="G30" s="35">
        <v>51.8</v>
      </c>
      <c r="H30" s="35">
        <v>51.8</v>
      </c>
      <c r="I30" s="10">
        <f t="shared" si="7"/>
        <v>100</v>
      </c>
      <c r="J30" s="35">
        <v>53.9</v>
      </c>
      <c r="K30" s="35">
        <v>53.9</v>
      </c>
      <c r="L30" s="60">
        <f aca="true" t="shared" si="29" ref="L30:L45">K30/J30*100</f>
        <v>100</v>
      </c>
      <c r="M30" s="71">
        <f t="shared" si="17"/>
        <v>131.8</v>
      </c>
      <c r="N30" s="71">
        <f t="shared" si="18"/>
        <v>131.8</v>
      </c>
      <c r="O30" s="10">
        <f t="shared" si="1"/>
        <v>100</v>
      </c>
      <c r="P30" s="35">
        <v>50.1</v>
      </c>
      <c r="Q30" s="35">
        <v>50.1</v>
      </c>
      <c r="R30" s="10">
        <f t="shared" si="9"/>
        <v>100</v>
      </c>
      <c r="S30" s="35">
        <v>47.5</v>
      </c>
      <c r="T30" s="35">
        <v>47.5</v>
      </c>
      <c r="U30" s="10">
        <f t="shared" si="10"/>
        <v>100</v>
      </c>
      <c r="V30" s="35">
        <v>46.9</v>
      </c>
      <c r="W30" s="35">
        <v>46.9</v>
      </c>
      <c r="X30" s="102">
        <f aca="true" t="shared" si="30" ref="X30:X43">W30/V30*100</f>
        <v>100</v>
      </c>
      <c r="Y30" s="71">
        <f aca="true" t="shared" si="31" ref="Y30:Y42">P30+S30+V30</f>
        <v>144.5</v>
      </c>
      <c r="Z30" s="71">
        <f aca="true" t="shared" si="32" ref="Z30:Z42">Q30+T30+W30</f>
        <v>144.5</v>
      </c>
      <c r="AA30" s="10">
        <f aca="true" t="shared" si="33" ref="AA30:AA45">Z30/Y30*100</f>
        <v>100</v>
      </c>
      <c r="AB30" s="35">
        <v>34.2</v>
      </c>
      <c r="AC30" s="35">
        <v>34.2</v>
      </c>
      <c r="AD30" s="10">
        <f t="shared" si="3"/>
        <v>100</v>
      </c>
      <c r="AE30" s="35">
        <v>32.9</v>
      </c>
      <c r="AF30" s="35">
        <v>32.9</v>
      </c>
      <c r="AG30" s="10">
        <f t="shared" si="4"/>
        <v>100</v>
      </c>
      <c r="AH30" s="35">
        <v>36.6</v>
      </c>
      <c r="AI30" s="35">
        <v>36.6</v>
      </c>
      <c r="AJ30" s="10">
        <f t="shared" si="12"/>
        <v>100</v>
      </c>
      <c r="AK30" s="71">
        <f t="shared" si="21"/>
        <v>103.69999999999999</v>
      </c>
      <c r="AL30" s="71">
        <f t="shared" si="22"/>
        <v>103.69999999999999</v>
      </c>
      <c r="AM30" s="10">
        <f aca="true" t="shared" si="34" ref="AM30:AM45">AL30/AK30*100</f>
        <v>100</v>
      </c>
      <c r="AN30" s="35"/>
      <c r="AO30" s="35"/>
      <c r="AP30" s="35"/>
      <c r="AQ30" s="35"/>
      <c r="AR30" s="35"/>
      <c r="AS30" s="35"/>
      <c r="AT30" s="58">
        <f t="shared" si="23"/>
        <v>380</v>
      </c>
      <c r="AU30" s="58">
        <f t="shared" si="24"/>
        <v>380</v>
      </c>
      <c r="AV30" s="10">
        <f t="shared" si="6"/>
        <v>100</v>
      </c>
      <c r="AW30" s="58">
        <f t="shared" si="25"/>
        <v>0</v>
      </c>
      <c r="AX30" s="16">
        <f aca="true" t="shared" si="35" ref="AX30:AX42">C30+AT30-AU30</f>
        <v>0</v>
      </c>
      <c r="AY30" s="20">
        <f t="shared" si="14"/>
        <v>380</v>
      </c>
      <c r="AZ30" s="20">
        <f t="shared" si="15"/>
        <v>380</v>
      </c>
      <c r="BA30" s="39">
        <f t="shared" si="16"/>
        <v>0</v>
      </c>
    </row>
    <row r="31" spans="1:53" ht="34.5" customHeight="1">
      <c r="A31" s="12" t="s">
        <v>28</v>
      </c>
      <c r="B31" s="61" t="s">
        <v>3</v>
      </c>
      <c r="C31" s="84">
        <v>0.1</v>
      </c>
      <c r="D31" s="35">
        <v>28.8</v>
      </c>
      <c r="E31" s="35">
        <v>6.3</v>
      </c>
      <c r="F31" s="10">
        <f t="shared" si="28"/>
        <v>21.875</v>
      </c>
      <c r="G31" s="35">
        <v>27.4</v>
      </c>
      <c r="H31" s="35">
        <v>39.1</v>
      </c>
      <c r="I31" s="10">
        <f t="shared" si="7"/>
        <v>142.7007299270073</v>
      </c>
      <c r="J31" s="35">
        <v>24.1</v>
      </c>
      <c r="K31" s="35">
        <v>18.7</v>
      </c>
      <c r="L31" s="10">
        <f t="shared" si="29"/>
        <v>77.59336099585062</v>
      </c>
      <c r="M31" s="71">
        <f t="shared" si="17"/>
        <v>80.30000000000001</v>
      </c>
      <c r="N31" s="71">
        <f t="shared" si="18"/>
        <v>64.1</v>
      </c>
      <c r="O31" s="10">
        <f t="shared" si="1"/>
        <v>79.82565379825652</v>
      </c>
      <c r="P31" s="35">
        <v>27.4</v>
      </c>
      <c r="Q31" s="35">
        <v>1.5</v>
      </c>
      <c r="R31" s="10">
        <f t="shared" si="9"/>
        <v>5.474452554744526</v>
      </c>
      <c r="S31" s="35">
        <v>25.6</v>
      </c>
      <c r="T31" s="35">
        <v>41</v>
      </c>
      <c r="U31" s="10">
        <f t="shared" si="10"/>
        <v>160.15625</v>
      </c>
      <c r="V31" s="35">
        <v>19.2</v>
      </c>
      <c r="W31" s="35">
        <v>15.1</v>
      </c>
      <c r="X31" s="10">
        <f t="shared" si="30"/>
        <v>78.64583333333334</v>
      </c>
      <c r="Y31" s="71">
        <f t="shared" si="31"/>
        <v>72.2</v>
      </c>
      <c r="Z31" s="71">
        <f t="shared" si="32"/>
        <v>57.6</v>
      </c>
      <c r="AA31" s="10">
        <f t="shared" si="33"/>
        <v>79.77839335180056</v>
      </c>
      <c r="AB31" s="35">
        <v>32.8</v>
      </c>
      <c r="AC31" s="35">
        <v>30.1</v>
      </c>
      <c r="AD31" s="10">
        <f t="shared" si="3"/>
        <v>91.76829268292684</v>
      </c>
      <c r="AE31" s="35">
        <v>21.2</v>
      </c>
      <c r="AF31" s="35">
        <v>38.8</v>
      </c>
      <c r="AG31" s="10">
        <f t="shared" si="4"/>
        <v>183.0188679245283</v>
      </c>
      <c r="AH31" s="35">
        <v>26.3</v>
      </c>
      <c r="AI31" s="35">
        <v>18.7</v>
      </c>
      <c r="AJ31" s="10">
        <f t="shared" si="12"/>
        <v>71.10266159695817</v>
      </c>
      <c r="AK31" s="71">
        <f t="shared" si="21"/>
        <v>80.3</v>
      </c>
      <c r="AL31" s="71">
        <f t="shared" si="22"/>
        <v>87.60000000000001</v>
      </c>
      <c r="AM31" s="10">
        <f t="shared" si="34"/>
        <v>109.09090909090911</v>
      </c>
      <c r="AN31" s="35"/>
      <c r="AO31" s="35"/>
      <c r="AP31" s="35"/>
      <c r="AQ31" s="35"/>
      <c r="AR31" s="35"/>
      <c r="AS31" s="35"/>
      <c r="AT31" s="58">
        <f t="shared" si="23"/>
        <v>232.8</v>
      </c>
      <c r="AU31" s="58">
        <f t="shared" si="24"/>
        <v>209.3</v>
      </c>
      <c r="AV31" s="10">
        <f t="shared" si="6"/>
        <v>89.90549828178695</v>
      </c>
      <c r="AW31" s="58">
        <f t="shared" si="25"/>
        <v>23.5</v>
      </c>
      <c r="AX31" s="16">
        <f t="shared" si="35"/>
        <v>23.599999999999994</v>
      </c>
      <c r="AY31" s="20">
        <f t="shared" si="14"/>
        <v>232.8</v>
      </c>
      <c r="AZ31" s="20">
        <f t="shared" si="15"/>
        <v>209.29999999999995</v>
      </c>
      <c r="BA31" s="39">
        <f t="shared" si="16"/>
        <v>23.60000000000005</v>
      </c>
    </row>
    <row r="32" spans="1:53" ht="34.5" customHeight="1">
      <c r="A32" s="12" t="s">
        <v>29</v>
      </c>
      <c r="B32" s="61" t="s">
        <v>93</v>
      </c>
      <c r="C32" s="67">
        <f>SUM(C33:C34)</f>
        <v>32.5</v>
      </c>
      <c r="D32" s="67">
        <f aca="true" t="shared" si="36" ref="D32:AI32">SUM(D33:D34)</f>
        <v>113.69999999999999</v>
      </c>
      <c r="E32" s="67">
        <f t="shared" si="36"/>
        <v>4</v>
      </c>
      <c r="F32" s="67">
        <f t="shared" si="36"/>
        <v>4.162330905306972</v>
      </c>
      <c r="G32" s="67">
        <f t="shared" si="36"/>
        <v>132.4</v>
      </c>
      <c r="H32" s="67">
        <f t="shared" si="36"/>
        <v>131.60000000000002</v>
      </c>
      <c r="I32" s="67">
        <f t="shared" si="36"/>
        <v>204.12832522444097</v>
      </c>
      <c r="J32" s="67">
        <f t="shared" si="36"/>
        <v>130.70000000000002</v>
      </c>
      <c r="K32" s="67">
        <f t="shared" si="36"/>
        <v>129.6</v>
      </c>
      <c r="L32" s="67">
        <f t="shared" si="36"/>
        <v>213.04874844750168</v>
      </c>
      <c r="M32" s="67">
        <f t="shared" si="36"/>
        <v>376.80000000000007</v>
      </c>
      <c r="N32" s="67">
        <f t="shared" si="36"/>
        <v>265.2</v>
      </c>
      <c r="O32" s="10">
        <f t="shared" si="1"/>
        <v>70.38216560509552</v>
      </c>
      <c r="P32" s="67">
        <f t="shared" si="36"/>
        <v>128.4</v>
      </c>
      <c r="Q32" s="67">
        <f t="shared" si="36"/>
        <v>94.9</v>
      </c>
      <c r="R32" s="67">
        <f t="shared" si="36"/>
        <v>173.90279915805345</v>
      </c>
      <c r="S32" s="67">
        <f t="shared" si="36"/>
        <v>112.7</v>
      </c>
      <c r="T32" s="67">
        <f t="shared" si="36"/>
        <v>126.9</v>
      </c>
      <c r="U32" s="67">
        <f t="shared" si="36"/>
        <v>200.09192743211983</v>
      </c>
      <c r="V32" s="67">
        <f t="shared" si="36"/>
        <v>93.3</v>
      </c>
      <c r="W32" s="67">
        <f t="shared" si="36"/>
        <v>92.9</v>
      </c>
      <c r="X32" s="67">
        <f t="shared" si="36"/>
        <v>223.81308229813666</v>
      </c>
      <c r="Y32" s="67">
        <f t="shared" si="36"/>
        <v>334.4</v>
      </c>
      <c r="Z32" s="67">
        <f t="shared" si="36"/>
        <v>314.70000000000005</v>
      </c>
      <c r="AA32" s="10">
        <f t="shared" si="33"/>
        <v>94.10885167464117</v>
      </c>
      <c r="AB32" s="67">
        <f t="shared" si="36"/>
        <v>107.89999999999999</v>
      </c>
      <c r="AC32" s="67">
        <f t="shared" si="36"/>
        <v>155.3</v>
      </c>
      <c r="AD32" s="10">
        <f t="shared" si="3"/>
        <v>143.92956441149215</v>
      </c>
      <c r="AE32" s="67">
        <f t="shared" si="36"/>
        <v>86.2</v>
      </c>
      <c r="AF32" s="67">
        <f t="shared" si="36"/>
        <v>106.1</v>
      </c>
      <c r="AG32" s="10">
        <f t="shared" si="4"/>
        <v>123.08584686774941</v>
      </c>
      <c r="AH32" s="67">
        <f t="shared" si="36"/>
        <v>128.39999999999998</v>
      </c>
      <c r="AI32" s="67">
        <f t="shared" si="36"/>
        <v>88.2</v>
      </c>
      <c r="AJ32" s="10">
        <f t="shared" si="12"/>
        <v>68.69158878504675</v>
      </c>
      <c r="AK32" s="10"/>
      <c r="AL32" s="10"/>
      <c r="AM32" s="10"/>
      <c r="AN32" s="120"/>
      <c r="AO32" s="120"/>
      <c r="AP32" s="120"/>
      <c r="AQ32" s="120"/>
      <c r="AR32" s="120"/>
      <c r="AS32" s="120"/>
      <c r="AT32" s="67">
        <f>SUM(AT33:AT34)</f>
        <v>1033.7</v>
      </c>
      <c r="AU32" s="67">
        <f>SUM(AU33:AU34)</f>
        <v>929.5000000000001</v>
      </c>
      <c r="AV32" s="10">
        <f t="shared" si="6"/>
        <v>89.91970591080585</v>
      </c>
      <c r="AW32" s="67">
        <f>SUM(AW33:AW34)</f>
        <v>104.19999999999999</v>
      </c>
      <c r="AX32" s="67">
        <f>SUM(AX33:AX34)</f>
        <v>136.7</v>
      </c>
      <c r="AY32" s="20">
        <f t="shared" si="14"/>
        <v>1033.7</v>
      </c>
      <c r="AZ32" s="20">
        <f t="shared" si="15"/>
        <v>929.5000000000001</v>
      </c>
      <c r="BA32" s="39">
        <f t="shared" si="16"/>
        <v>136.69999999999993</v>
      </c>
    </row>
    <row r="33" spans="1:53" ht="34.5" customHeight="1">
      <c r="A33" s="12"/>
      <c r="B33" s="61" t="s">
        <v>109</v>
      </c>
      <c r="C33" s="84">
        <v>32.5</v>
      </c>
      <c r="D33" s="35">
        <f>60+36.1</f>
        <v>96.1</v>
      </c>
      <c r="E33" s="35">
        <v>4</v>
      </c>
      <c r="F33" s="54">
        <f t="shared" si="28"/>
        <v>4.162330905306972</v>
      </c>
      <c r="G33" s="35">
        <f>86.2+30.1</f>
        <v>116.30000000000001</v>
      </c>
      <c r="H33" s="35">
        <f>77.9+36.7</f>
        <v>114.60000000000001</v>
      </c>
      <c r="I33" s="10">
        <f t="shared" si="7"/>
        <v>98.53826311263973</v>
      </c>
      <c r="J33" s="35">
        <f>86.2+30.1</f>
        <v>116.30000000000001</v>
      </c>
      <c r="K33" s="35">
        <f>82.8+30.1</f>
        <v>112.9</v>
      </c>
      <c r="L33" s="10">
        <f>K33/J33*100</f>
        <v>97.07652622527945</v>
      </c>
      <c r="M33" s="71">
        <f t="shared" si="17"/>
        <v>328.70000000000005</v>
      </c>
      <c r="N33" s="71">
        <f t="shared" si="18"/>
        <v>231.5</v>
      </c>
      <c r="O33" s="10">
        <f t="shared" si="1"/>
        <v>70.42896257986004</v>
      </c>
      <c r="P33" s="35">
        <f>38.3+76.2</f>
        <v>114.5</v>
      </c>
      <c r="Q33" s="35">
        <f>22.9+57.6</f>
        <v>80.5</v>
      </c>
      <c r="R33" s="10">
        <f t="shared" si="9"/>
        <v>70.3056768558952</v>
      </c>
      <c r="S33" s="35">
        <f>29.3+66.2</f>
        <v>95.5</v>
      </c>
      <c r="T33" s="35">
        <f>36.6+76.2</f>
        <v>112.80000000000001</v>
      </c>
      <c r="U33" s="10">
        <f t="shared" si="10"/>
        <v>118.11518324607331</v>
      </c>
      <c r="V33" s="35">
        <f>-19.6+100.1</f>
        <v>80.5</v>
      </c>
      <c r="W33" s="35">
        <f>46.6+29.8</f>
        <v>76.4</v>
      </c>
      <c r="X33" s="10">
        <f t="shared" si="30"/>
        <v>94.90683229813666</v>
      </c>
      <c r="Y33" s="71">
        <f t="shared" si="31"/>
        <v>290.5</v>
      </c>
      <c r="Z33" s="71">
        <f t="shared" si="32"/>
        <v>269.70000000000005</v>
      </c>
      <c r="AA33" s="10">
        <f t="shared" si="33"/>
        <v>92.83993115318418</v>
      </c>
      <c r="AB33" s="35">
        <f>36.6+65.5</f>
        <v>102.1</v>
      </c>
      <c r="AC33" s="35">
        <f>33.1+108.9</f>
        <v>142</v>
      </c>
      <c r="AD33" s="10">
        <f t="shared" si="3"/>
        <v>139.07933398628796</v>
      </c>
      <c r="AE33" s="35">
        <f>21.2+57.2</f>
        <v>78.4</v>
      </c>
      <c r="AF33" s="35">
        <f>34.8+65.5</f>
        <v>100.3</v>
      </c>
      <c r="AG33" s="10">
        <f t="shared" si="4"/>
        <v>127.93367346938773</v>
      </c>
      <c r="AH33" s="35">
        <f>42.9+70.8</f>
        <v>113.69999999999999</v>
      </c>
      <c r="AI33" s="35">
        <f>23.2+57.2</f>
        <v>80.4</v>
      </c>
      <c r="AJ33" s="10">
        <f t="shared" si="12"/>
        <v>70.71240105540898</v>
      </c>
      <c r="AK33" s="71">
        <f t="shared" si="21"/>
        <v>294.2</v>
      </c>
      <c r="AL33" s="71">
        <f t="shared" si="22"/>
        <v>322.70000000000005</v>
      </c>
      <c r="AM33" s="10">
        <f t="shared" si="34"/>
        <v>109.68728755948337</v>
      </c>
      <c r="AN33" s="35"/>
      <c r="AO33" s="35"/>
      <c r="AP33" s="35"/>
      <c r="AQ33" s="35"/>
      <c r="AR33" s="35"/>
      <c r="AS33" s="35"/>
      <c r="AT33" s="58">
        <f t="shared" si="23"/>
        <v>913.4000000000001</v>
      </c>
      <c r="AU33" s="58">
        <f t="shared" si="24"/>
        <v>823.9000000000001</v>
      </c>
      <c r="AV33" s="10">
        <f t="shared" si="6"/>
        <v>90.20144514998906</v>
      </c>
      <c r="AW33" s="58">
        <f t="shared" si="25"/>
        <v>89.5</v>
      </c>
      <c r="AX33" s="16">
        <f t="shared" si="35"/>
        <v>122</v>
      </c>
      <c r="AY33" s="20">
        <f t="shared" si="14"/>
        <v>913.4000000000001</v>
      </c>
      <c r="AZ33" s="20">
        <f t="shared" si="15"/>
        <v>823.9</v>
      </c>
      <c r="BA33" s="39">
        <f t="shared" si="16"/>
        <v>122.00000000000011</v>
      </c>
    </row>
    <row r="34" spans="1:53" ht="37.5" customHeight="1">
      <c r="A34" s="12"/>
      <c r="B34" s="61" t="s">
        <v>94</v>
      </c>
      <c r="C34" s="88">
        <v>0</v>
      </c>
      <c r="D34" s="35">
        <f>17+0.6</f>
        <v>17.6</v>
      </c>
      <c r="E34" s="35">
        <v>0</v>
      </c>
      <c r="F34" s="54">
        <f t="shared" si="28"/>
        <v>0</v>
      </c>
      <c r="G34" s="35">
        <f>15.2+0.9</f>
        <v>16.099999999999998</v>
      </c>
      <c r="H34" s="35">
        <v>17</v>
      </c>
      <c r="I34" s="10">
        <f t="shared" si="7"/>
        <v>105.59006211180126</v>
      </c>
      <c r="J34" s="35">
        <f>13.7+0.7</f>
        <v>14.399999999999999</v>
      </c>
      <c r="K34" s="35">
        <f>15.2+1.5</f>
        <v>16.7</v>
      </c>
      <c r="L34" s="10">
        <f>K34/J34*100</f>
        <v>115.97222222222223</v>
      </c>
      <c r="M34" s="71">
        <f t="shared" si="17"/>
        <v>48.1</v>
      </c>
      <c r="N34" s="71">
        <f t="shared" si="18"/>
        <v>33.7</v>
      </c>
      <c r="O34" s="10">
        <f t="shared" si="1"/>
        <v>70.06237006237006</v>
      </c>
      <c r="P34" s="35">
        <v>13.9</v>
      </c>
      <c r="Q34" s="35">
        <f>13.7+0.7</f>
        <v>14.399999999999999</v>
      </c>
      <c r="R34" s="10">
        <f t="shared" si="9"/>
        <v>103.59712230215825</v>
      </c>
      <c r="S34" s="35">
        <v>17.2</v>
      </c>
      <c r="T34" s="35">
        <v>14.1</v>
      </c>
      <c r="U34" s="10">
        <f t="shared" si="10"/>
        <v>81.97674418604652</v>
      </c>
      <c r="V34" s="35">
        <v>12.8</v>
      </c>
      <c r="W34" s="35">
        <v>16.5</v>
      </c>
      <c r="X34" s="10">
        <f t="shared" si="30"/>
        <v>128.90625</v>
      </c>
      <c r="Y34" s="71">
        <f>P34+S34+V34</f>
        <v>43.900000000000006</v>
      </c>
      <c r="Z34" s="71">
        <f>Q34+T34+W34</f>
        <v>45</v>
      </c>
      <c r="AA34" s="10">
        <f>Z34/Y34*100</f>
        <v>102.50569476082003</v>
      </c>
      <c r="AB34" s="35">
        <v>5.8</v>
      </c>
      <c r="AC34" s="35">
        <v>13.3</v>
      </c>
      <c r="AD34" s="10">
        <f t="shared" si="3"/>
        <v>229.31034482758622</v>
      </c>
      <c r="AE34" s="35">
        <f>7.2+0.6</f>
        <v>7.8</v>
      </c>
      <c r="AF34" s="35">
        <f>5.4+0.4</f>
        <v>5.800000000000001</v>
      </c>
      <c r="AG34" s="10">
        <f t="shared" si="4"/>
        <v>74.35897435897438</v>
      </c>
      <c r="AH34" s="35">
        <f>14.1+0.6</f>
        <v>14.7</v>
      </c>
      <c r="AI34" s="35">
        <f>7.2+0.6</f>
        <v>7.8</v>
      </c>
      <c r="AJ34" s="10">
        <f t="shared" si="12"/>
        <v>53.06122448979592</v>
      </c>
      <c r="AK34" s="71">
        <f t="shared" si="21"/>
        <v>28.299999999999997</v>
      </c>
      <c r="AL34" s="71">
        <f t="shared" si="22"/>
        <v>26.900000000000002</v>
      </c>
      <c r="AM34" s="10">
        <f t="shared" si="34"/>
        <v>95.05300353356893</v>
      </c>
      <c r="AN34" s="35"/>
      <c r="AO34" s="35"/>
      <c r="AP34" s="35"/>
      <c r="AQ34" s="35"/>
      <c r="AR34" s="35"/>
      <c r="AS34" s="35"/>
      <c r="AT34" s="58">
        <f t="shared" si="23"/>
        <v>120.3</v>
      </c>
      <c r="AU34" s="58">
        <f t="shared" si="24"/>
        <v>105.60000000000001</v>
      </c>
      <c r="AV34" s="10">
        <f t="shared" si="6"/>
        <v>87.78054862842893</v>
      </c>
      <c r="AW34" s="58">
        <f t="shared" si="25"/>
        <v>14.699999999999989</v>
      </c>
      <c r="AX34" s="16">
        <f t="shared" si="35"/>
        <v>14.699999999999989</v>
      </c>
      <c r="AY34" s="20">
        <f t="shared" si="14"/>
        <v>120.3</v>
      </c>
      <c r="AZ34" s="20">
        <f t="shared" si="15"/>
        <v>105.6</v>
      </c>
      <c r="BA34" s="39">
        <f t="shared" si="16"/>
        <v>14.700000000000003</v>
      </c>
    </row>
    <row r="35" spans="1:53" ht="34.5" customHeight="1">
      <c r="A35" s="12" t="s">
        <v>30</v>
      </c>
      <c r="B35" s="61" t="s">
        <v>60</v>
      </c>
      <c r="C35" s="88">
        <f>16.2+11.9</f>
        <v>28.1</v>
      </c>
      <c r="D35" s="34">
        <f>83.7+11.9</f>
        <v>95.60000000000001</v>
      </c>
      <c r="E35" s="34">
        <f>19.5</f>
        <v>19.5</v>
      </c>
      <c r="F35" s="10">
        <f t="shared" si="28"/>
        <v>20.397489539748953</v>
      </c>
      <c r="G35" s="35">
        <f>74.7+11.2</f>
        <v>85.9</v>
      </c>
      <c r="H35" s="35">
        <f>61.3</f>
        <v>61.3</v>
      </c>
      <c r="I35" s="10">
        <f t="shared" si="7"/>
        <v>71.36204889406285</v>
      </c>
      <c r="J35" s="35">
        <f>65.3+4.7</f>
        <v>70</v>
      </c>
      <c r="K35" s="35">
        <f>71.6+10.9</f>
        <v>82.5</v>
      </c>
      <c r="L35" s="10">
        <f t="shared" si="29"/>
        <v>117.85714285714286</v>
      </c>
      <c r="M35" s="71">
        <f t="shared" si="17"/>
        <v>251.5</v>
      </c>
      <c r="N35" s="71">
        <f t="shared" si="18"/>
        <v>163.3</v>
      </c>
      <c r="O35" s="10">
        <f t="shared" si="1"/>
        <v>64.93041749502983</v>
      </c>
      <c r="P35" s="35">
        <f>84.1+4.5</f>
        <v>88.6</v>
      </c>
      <c r="Q35" s="35">
        <f>57.7+10.9</f>
        <v>68.60000000000001</v>
      </c>
      <c r="R35" s="10">
        <f t="shared" si="9"/>
        <v>77.42663656884878</v>
      </c>
      <c r="S35" s="35">
        <v>67.7</v>
      </c>
      <c r="T35" s="35">
        <v>103.5</v>
      </c>
      <c r="U35" s="10">
        <f t="shared" si="10"/>
        <v>152.88035450516986</v>
      </c>
      <c r="V35" s="35">
        <f>68.4+3.6</f>
        <v>72</v>
      </c>
      <c r="W35" s="35">
        <f>47+7.8</f>
        <v>54.8</v>
      </c>
      <c r="X35" s="10">
        <f t="shared" si="30"/>
        <v>76.11111111111111</v>
      </c>
      <c r="Y35" s="71">
        <f t="shared" si="31"/>
        <v>228.3</v>
      </c>
      <c r="Z35" s="71">
        <f t="shared" si="32"/>
        <v>226.90000000000003</v>
      </c>
      <c r="AA35" s="10">
        <f t="shared" si="33"/>
        <v>99.38677179150241</v>
      </c>
      <c r="AB35" s="35">
        <f>62+1.5</f>
        <v>63.5</v>
      </c>
      <c r="AC35" s="35">
        <f>68.9+3.2</f>
        <v>72.10000000000001</v>
      </c>
      <c r="AD35" s="10">
        <f t="shared" si="3"/>
        <v>113.54330708661418</v>
      </c>
      <c r="AE35" s="35">
        <f>66.5+3.8</f>
        <v>70.3</v>
      </c>
      <c r="AF35" s="35">
        <f>74.3+0.8</f>
        <v>75.1</v>
      </c>
      <c r="AG35" s="10">
        <f t="shared" si="4"/>
        <v>106.82788051209104</v>
      </c>
      <c r="AH35" s="35">
        <f>94.4+3.6</f>
        <v>98</v>
      </c>
      <c r="AI35" s="35">
        <f>72.4</f>
        <v>72.4</v>
      </c>
      <c r="AJ35" s="10">
        <f t="shared" si="12"/>
        <v>73.87755102040818</v>
      </c>
      <c r="AK35" s="71">
        <f t="shared" si="21"/>
        <v>231.8</v>
      </c>
      <c r="AL35" s="71">
        <f t="shared" si="22"/>
        <v>219.6</v>
      </c>
      <c r="AM35" s="10">
        <f t="shared" si="34"/>
        <v>94.73684210526315</v>
      </c>
      <c r="AN35" s="35"/>
      <c r="AO35" s="35"/>
      <c r="AP35" s="35"/>
      <c r="AQ35" s="35"/>
      <c r="AR35" s="35"/>
      <c r="AS35" s="35"/>
      <c r="AT35" s="58">
        <f t="shared" si="23"/>
        <v>711.6</v>
      </c>
      <c r="AU35" s="58">
        <f t="shared" si="24"/>
        <v>609.8000000000001</v>
      </c>
      <c r="AV35" s="10">
        <f t="shared" si="6"/>
        <v>85.69421023046657</v>
      </c>
      <c r="AW35" s="58">
        <f t="shared" si="25"/>
        <v>101.79999999999995</v>
      </c>
      <c r="AX35" s="16">
        <f t="shared" si="35"/>
        <v>129.89999999999998</v>
      </c>
      <c r="AY35" s="20">
        <f t="shared" si="14"/>
        <v>711.5999999999999</v>
      </c>
      <c r="AZ35" s="20">
        <f t="shared" si="15"/>
        <v>609.8000000000001</v>
      </c>
      <c r="BA35" s="39">
        <f t="shared" si="16"/>
        <v>129.89999999999986</v>
      </c>
    </row>
    <row r="36" spans="1:53" ht="34.5" customHeight="1">
      <c r="A36" s="12" t="s">
        <v>31</v>
      </c>
      <c r="B36" s="114" t="s">
        <v>61</v>
      </c>
      <c r="C36" s="90">
        <v>-0.1</v>
      </c>
      <c r="D36" s="64">
        <v>36.3</v>
      </c>
      <c r="E36" s="64">
        <v>36.3</v>
      </c>
      <c r="F36" s="10">
        <f t="shared" si="28"/>
        <v>100</v>
      </c>
      <c r="G36" s="35">
        <v>43.7</v>
      </c>
      <c r="H36" s="35">
        <v>43.7</v>
      </c>
      <c r="I36" s="10">
        <f t="shared" si="7"/>
        <v>100</v>
      </c>
      <c r="J36" s="35">
        <v>44.4</v>
      </c>
      <c r="K36" s="35">
        <v>44.4</v>
      </c>
      <c r="L36" s="10">
        <f t="shared" si="29"/>
        <v>100</v>
      </c>
      <c r="M36" s="71">
        <f t="shared" si="17"/>
        <v>124.4</v>
      </c>
      <c r="N36" s="71">
        <f t="shared" si="18"/>
        <v>124.4</v>
      </c>
      <c r="O36" s="10">
        <f t="shared" si="1"/>
        <v>100</v>
      </c>
      <c r="P36" s="35">
        <v>41.3</v>
      </c>
      <c r="Q36" s="35">
        <v>40.9</v>
      </c>
      <c r="R36" s="10">
        <f t="shared" si="9"/>
        <v>99.0314769975787</v>
      </c>
      <c r="S36" s="35">
        <v>42.1</v>
      </c>
      <c r="T36" s="35">
        <v>42.5</v>
      </c>
      <c r="U36" s="10">
        <f t="shared" si="10"/>
        <v>100.95011876484561</v>
      </c>
      <c r="V36" s="35">
        <v>37.4</v>
      </c>
      <c r="W36" s="35">
        <v>27.1</v>
      </c>
      <c r="X36" s="102">
        <f t="shared" si="30"/>
        <v>72.45989304812835</v>
      </c>
      <c r="Y36" s="71">
        <f t="shared" si="31"/>
        <v>120.80000000000001</v>
      </c>
      <c r="Z36" s="71">
        <f t="shared" si="32"/>
        <v>110.5</v>
      </c>
      <c r="AA36" s="10">
        <f t="shared" si="33"/>
        <v>91.47350993377482</v>
      </c>
      <c r="AB36" s="35">
        <f>28.3</f>
        <v>28.3</v>
      </c>
      <c r="AC36" s="35">
        <v>38.5</v>
      </c>
      <c r="AD36" s="10">
        <f t="shared" si="3"/>
        <v>136.04240282685512</v>
      </c>
      <c r="AE36" s="35">
        <v>29.1</v>
      </c>
      <c r="AF36" s="35">
        <v>29.1</v>
      </c>
      <c r="AG36" s="10">
        <f t="shared" si="4"/>
        <v>100</v>
      </c>
      <c r="AH36" s="35">
        <v>35.6</v>
      </c>
      <c r="AI36" s="35">
        <v>35.6</v>
      </c>
      <c r="AJ36" s="10">
        <f t="shared" si="12"/>
        <v>100</v>
      </c>
      <c r="AK36" s="71">
        <f>AB36+AE36+AH36</f>
        <v>93</v>
      </c>
      <c r="AL36" s="71">
        <f>AC36+AF36+AI36</f>
        <v>103.19999999999999</v>
      </c>
      <c r="AM36" s="10">
        <f t="shared" si="34"/>
        <v>110.96774193548387</v>
      </c>
      <c r="AN36" s="35"/>
      <c r="AO36" s="35"/>
      <c r="AP36" s="35"/>
      <c r="AQ36" s="35"/>
      <c r="AR36" s="35"/>
      <c r="AS36" s="35"/>
      <c r="AT36" s="58">
        <f t="shared" si="23"/>
        <v>338.20000000000005</v>
      </c>
      <c r="AU36" s="58">
        <f t="shared" si="24"/>
        <v>338.1</v>
      </c>
      <c r="AV36" s="10">
        <f t="shared" si="6"/>
        <v>99.97043169722058</v>
      </c>
      <c r="AW36" s="58">
        <f t="shared" si="25"/>
        <v>0.10000000000002274</v>
      </c>
      <c r="AX36" s="16">
        <f t="shared" si="35"/>
        <v>0</v>
      </c>
      <c r="AY36" s="20">
        <f t="shared" si="14"/>
        <v>338.20000000000005</v>
      </c>
      <c r="AZ36" s="20">
        <f t="shared" si="15"/>
        <v>338.1</v>
      </c>
      <c r="BA36" s="39">
        <f t="shared" si="16"/>
        <v>0</v>
      </c>
    </row>
    <row r="37" spans="1:53" ht="34.5" customHeight="1">
      <c r="A37" s="12" t="s">
        <v>32</v>
      </c>
      <c r="B37" s="115" t="s">
        <v>62</v>
      </c>
      <c r="C37" s="84">
        <f>-8.9+(-0.4)</f>
        <v>-9.3</v>
      </c>
      <c r="D37" s="35">
        <f>106.8+12.5</f>
        <v>119.3</v>
      </c>
      <c r="E37" s="35">
        <f>54.6+12.5</f>
        <v>67.1</v>
      </c>
      <c r="F37" s="10">
        <f aca="true" t="shared" si="37" ref="F37:F44">E37/D37*100</f>
        <v>56.24476110645431</v>
      </c>
      <c r="G37" s="35">
        <f>121.3+12.6</f>
        <v>133.9</v>
      </c>
      <c r="H37" s="35">
        <f>120.1+12.6</f>
        <v>132.7</v>
      </c>
      <c r="I37" s="10">
        <f t="shared" si="7"/>
        <v>99.10380881254667</v>
      </c>
      <c r="J37" s="35">
        <f>120.5+12.6</f>
        <v>133.1</v>
      </c>
      <c r="K37" s="35">
        <f>165.9+12.1</f>
        <v>178</v>
      </c>
      <c r="L37" s="10">
        <f t="shared" si="29"/>
        <v>133.73403456048086</v>
      </c>
      <c r="M37" s="71">
        <f t="shared" si="17"/>
        <v>386.29999999999995</v>
      </c>
      <c r="N37" s="71">
        <f t="shared" si="18"/>
        <v>377.79999999999995</v>
      </c>
      <c r="O37" s="10">
        <f t="shared" si="1"/>
        <v>97.79963758736733</v>
      </c>
      <c r="P37" s="35">
        <f>128.3+12.9</f>
        <v>141.20000000000002</v>
      </c>
      <c r="Q37" s="35">
        <f>126.6+12.9</f>
        <v>139.5</v>
      </c>
      <c r="R37" s="10">
        <f t="shared" si="9"/>
        <v>98.79603399433427</v>
      </c>
      <c r="S37" s="35">
        <f>114.7+12.9</f>
        <v>127.60000000000001</v>
      </c>
      <c r="T37" s="35">
        <f>116.4+12.9</f>
        <v>129.3</v>
      </c>
      <c r="U37" s="10">
        <f t="shared" si="10"/>
        <v>101.33228840125392</v>
      </c>
      <c r="V37" s="35">
        <f>128.1+15.2</f>
        <v>143.29999999999998</v>
      </c>
      <c r="W37" s="35">
        <f>129.4+15.2</f>
        <v>144.6</v>
      </c>
      <c r="X37" s="10">
        <f t="shared" si="30"/>
        <v>100.90718771807398</v>
      </c>
      <c r="Y37" s="71">
        <f t="shared" si="31"/>
        <v>412.1</v>
      </c>
      <c r="Z37" s="71">
        <f t="shared" si="32"/>
        <v>413.4</v>
      </c>
      <c r="AA37" s="10">
        <f t="shared" si="33"/>
        <v>100.3154574132492</v>
      </c>
      <c r="AB37" s="35">
        <f>114.6+6.3</f>
        <v>120.89999999999999</v>
      </c>
      <c r="AC37" s="35">
        <f>114.8+6.3</f>
        <v>121.1</v>
      </c>
      <c r="AD37" s="10">
        <f t="shared" si="3"/>
        <v>100.16542597187758</v>
      </c>
      <c r="AE37" s="35">
        <f>119.5+5.5</f>
        <v>125</v>
      </c>
      <c r="AF37" s="35">
        <f>117+5.5</f>
        <v>122.5</v>
      </c>
      <c r="AG37" s="10">
        <f t="shared" si="4"/>
        <v>98</v>
      </c>
      <c r="AH37" s="35">
        <f>120.6+15</f>
        <v>135.6</v>
      </c>
      <c r="AI37" s="35">
        <f>123+15</f>
        <v>138</v>
      </c>
      <c r="AJ37" s="10">
        <f t="shared" si="12"/>
        <v>101.76991150442478</v>
      </c>
      <c r="AK37" s="71">
        <f t="shared" si="21"/>
        <v>381.5</v>
      </c>
      <c r="AL37" s="71">
        <f t="shared" si="22"/>
        <v>381.6</v>
      </c>
      <c r="AM37" s="10">
        <f t="shared" si="34"/>
        <v>100.0262123197903</v>
      </c>
      <c r="AN37" s="35"/>
      <c r="AO37" s="35"/>
      <c r="AP37" s="35"/>
      <c r="AQ37" s="35"/>
      <c r="AR37" s="35"/>
      <c r="AS37" s="35"/>
      <c r="AT37" s="58">
        <f t="shared" si="23"/>
        <v>1179.9</v>
      </c>
      <c r="AU37" s="58">
        <f t="shared" si="24"/>
        <v>1172.8</v>
      </c>
      <c r="AV37" s="10">
        <f t="shared" si="6"/>
        <v>99.3982540893296</v>
      </c>
      <c r="AW37" s="58">
        <f t="shared" si="25"/>
        <v>7.100000000000136</v>
      </c>
      <c r="AX37" s="16">
        <f t="shared" si="35"/>
        <v>-2.199999999999818</v>
      </c>
      <c r="AY37" s="20">
        <f t="shared" si="14"/>
        <v>1179.8999999999999</v>
      </c>
      <c r="AZ37" s="20">
        <f t="shared" si="15"/>
        <v>1172.8</v>
      </c>
      <c r="BA37" s="39">
        <f t="shared" si="16"/>
        <v>-2.2000000000000455</v>
      </c>
    </row>
    <row r="38" spans="1:53" ht="34.5" customHeight="1">
      <c r="A38" s="12" t="s">
        <v>33</v>
      </c>
      <c r="B38" s="115" t="s">
        <v>95</v>
      </c>
      <c r="C38" s="84">
        <v>0.8</v>
      </c>
      <c r="D38" s="35">
        <f>217.2+6.6</f>
        <v>223.79999999999998</v>
      </c>
      <c r="E38" s="35">
        <f>94+6.6</f>
        <v>100.6</v>
      </c>
      <c r="F38" s="10">
        <f t="shared" si="37"/>
        <v>44.95084897229669</v>
      </c>
      <c r="G38" s="35">
        <f>194+4.9</f>
        <v>198.9</v>
      </c>
      <c r="H38" s="35">
        <f>318.2+4.9</f>
        <v>323.09999999999997</v>
      </c>
      <c r="I38" s="10">
        <f t="shared" si="7"/>
        <v>162.44343891402713</v>
      </c>
      <c r="J38" s="35">
        <f>205.5+4.8</f>
        <v>210.3</v>
      </c>
      <c r="K38" s="35">
        <f>204.4+4.8</f>
        <v>209.20000000000002</v>
      </c>
      <c r="L38" s="10">
        <f t="shared" si="29"/>
        <v>99.47693770803613</v>
      </c>
      <c r="M38" s="71">
        <f t="shared" si="17"/>
        <v>633</v>
      </c>
      <c r="N38" s="71">
        <f t="shared" si="18"/>
        <v>632.9</v>
      </c>
      <c r="O38" s="10">
        <f t="shared" si="1"/>
        <v>99.98420221169036</v>
      </c>
      <c r="P38" s="35">
        <v>213.8</v>
      </c>
      <c r="Q38" s="35">
        <v>213.5</v>
      </c>
      <c r="R38" s="10">
        <f t="shared" si="9"/>
        <v>99.85968194574369</v>
      </c>
      <c r="S38" s="35">
        <v>190.4</v>
      </c>
      <c r="T38" s="35">
        <v>190.8</v>
      </c>
      <c r="U38" s="10">
        <f t="shared" si="10"/>
        <v>100.21008403361344</v>
      </c>
      <c r="V38" s="35">
        <f>200.1+5.1</f>
        <v>205.2</v>
      </c>
      <c r="W38" s="35">
        <f>200.1+5</f>
        <v>205.1</v>
      </c>
      <c r="X38" s="10">
        <f t="shared" si="30"/>
        <v>99.95126705653021</v>
      </c>
      <c r="Y38" s="71">
        <f t="shared" si="31"/>
        <v>609.4000000000001</v>
      </c>
      <c r="Z38" s="71">
        <f t="shared" si="32"/>
        <v>609.4</v>
      </c>
      <c r="AA38" s="10">
        <f t="shared" si="33"/>
        <v>99.99999999999997</v>
      </c>
      <c r="AB38" s="35">
        <f>174.5+4.7</f>
        <v>179.2</v>
      </c>
      <c r="AC38" s="35">
        <f>88.7+4.4</f>
        <v>93.10000000000001</v>
      </c>
      <c r="AD38" s="10">
        <f t="shared" si="3"/>
        <v>51.953125000000014</v>
      </c>
      <c r="AE38" s="35">
        <f>163.3+4.6</f>
        <v>167.9</v>
      </c>
      <c r="AF38" s="35">
        <f>250.3+4.8</f>
        <v>255.10000000000002</v>
      </c>
      <c r="AG38" s="10">
        <f t="shared" si="4"/>
        <v>151.93567599761764</v>
      </c>
      <c r="AH38" s="35">
        <f>172.7+4.8</f>
        <v>177.5</v>
      </c>
      <c r="AI38" s="35">
        <f>171.5+4.9</f>
        <v>176.4</v>
      </c>
      <c r="AJ38" s="10">
        <f t="shared" si="12"/>
        <v>99.38028169014085</v>
      </c>
      <c r="AK38" s="71">
        <f t="shared" si="21"/>
        <v>524.6</v>
      </c>
      <c r="AL38" s="71">
        <f t="shared" si="22"/>
        <v>524.6</v>
      </c>
      <c r="AM38" s="10">
        <f t="shared" si="34"/>
        <v>100</v>
      </c>
      <c r="AN38" s="35"/>
      <c r="AO38" s="35"/>
      <c r="AP38" s="35"/>
      <c r="AQ38" s="35"/>
      <c r="AR38" s="35"/>
      <c r="AS38" s="35"/>
      <c r="AT38" s="58">
        <f t="shared" si="23"/>
        <v>1767</v>
      </c>
      <c r="AU38" s="58">
        <f t="shared" si="24"/>
        <v>1766.9</v>
      </c>
      <c r="AV38" s="10">
        <f t="shared" si="6"/>
        <v>99.99434069043576</v>
      </c>
      <c r="AW38" s="58">
        <f t="shared" si="25"/>
        <v>0.09999999999990905</v>
      </c>
      <c r="AX38" s="16">
        <f t="shared" si="35"/>
        <v>0.8999999999998636</v>
      </c>
      <c r="AY38" s="20">
        <f t="shared" si="14"/>
        <v>1767.0000000000002</v>
      </c>
      <c r="AZ38" s="20">
        <f t="shared" si="15"/>
        <v>1766.9</v>
      </c>
      <c r="BA38" s="39">
        <f t="shared" si="16"/>
        <v>0.900000000000091</v>
      </c>
    </row>
    <row r="39" spans="1:53" ht="34.5" customHeight="1">
      <c r="A39" s="12" t="s">
        <v>34</v>
      </c>
      <c r="B39" s="115" t="s">
        <v>4</v>
      </c>
      <c r="C39" s="84">
        <v>0.1</v>
      </c>
      <c r="D39" s="35">
        <f>352.7+6.1</f>
        <v>358.8</v>
      </c>
      <c r="E39" s="35">
        <v>0</v>
      </c>
      <c r="F39" s="10">
        <f t="shared" si="37"/>
        <v>0</v>
      </c>
      <c r="G39" s="35">
        <f>372.8+6.6</f>
        <v>379.40000000000003</v>
      </c>
      <c r="H39" s="35">
        <f>275.7+6.1</f>
        <v>281.8</v>
      </c>
      <c r="I39" s="10">
        <f t="shared" si="7"/>
        <v>74.27517132314179</v>
      </c>
      <c r="J39" s="35">
        <f>358.7+4.1</f>
        <v>362.8</v>
      </c>
      <c r="K39" s="35">
        <f>785.2+8.7</f>
        <v>793.9000000000001</v>
      </c>
      <c r="L39" s="10">
        <f t="shared" si="29"/>
        <v>218.82579933847853</v>
      </c>
      <c r="M39" s="71">
        <f t="shared" si="17"/>
        <v>1101</v>
      </c>
      <c r="N39" s="71">
        <f t="shared" si="18"/>
        <v>1075.7</v>
      </c>
      <c r="O39" s="10">
        <f t="shared" si="1"/>
        <v>97.70208900999093</v>
      </c>
      <c r="P39" s="35">
        <f>389.8+5.4</f>
        <v>395.2</v>
      </c>
      <c r="Q39" s="35">
        <f>373.6+1.9</f>
        <v>375.5</v>
      </c>
      <c r="R39" s="10">
        <f t="shared" si="9"/>
        <v>95.01518218623482</v>
      </c>
      <c r="S39" s="35">
        <f>441.9+4.7</f>
        <v>446.59999999999997</v>
      </c>
      <c r="T39" s="35">
        <f>421.8+7.5</f>
        <v>429.3</v>
      </c>
      <c r="U39" s="10">
        <f t="shared" si="10"/>
        <v>96.12628750559786</v>
      </c>
      <c r="V39" s="35">
        <f>425.2+4.7</f>
        <v>429.9</v>
      </c>
      <c r="W39" s="35">
        <f>236.7+2.5</f>
        <v>239.2</v>
      </c>
      <c r="X39" s="10">
        <f t="shared" si="30"/>
        <v>55.64084670853687</v>
      </c>
      <c r="Y39" s="71">
        <f t="shared" si="31"/>
        <v>1271.6999999999998</v>
      </c>
      <c r="Z39" s="71">
        <f t="shared" si="32"/>
        <v>1044</v>
      </c>
      <c r="AA39" s="10">
        <f t="shared" si="33"/>
        <v>82.09483368719039</v>
      </c>
      <c r="AB39" s="35">
        <f>351.7+5.5</f>
        <v>357.2</v>
      </c>
      <c r="AC39" s="35">
        <f>552.9+8.4</f>
        <v>561.3</v>
      </c>
      <c r="AD39" s="10">
        <f t="shared" si="3"/>
        <v>157.13885778275477</v>
      </c>
      <c r="AE39" s="35">
        <f>410.1+4.6</f>
        <v>414.70000000000005</v>
      </c>
      <c r="AF39" s="35">
        <f>221.2+4.4</f>
        <v>225.6</v>
      </c>
      <c r="AG39" s="10">
        <f t="shared" si="4"/>
        <v>54.40077164215095</v>
      </c>
      <c r="AH39" s="35">
        <f>376.1+3.6</f>
        <v>379.70000000000005</v>
      </c>
      <c r="AI39" s="35">
        <f>548.3+3.5</f>
        <v>551.8</v>
      </c>
      <c r="AJ39" s="10">
        <f t="shared" si="12"/>
        <v>145.3252567816697</v>
      </c>
      <c r="AK39" s="71">
        <f t="shared" si="21"/>
        <v>1151.6000000000001</v>
      </c>
      <c r="AL39" s="71">
        <f t="shared" si="22"/>
        <v>1338.6999999999998</v>
      </c>
      <c r="AM39" s="10">
        <f t="shared" si="34"/>
        <v>116.24696075026048</v>
      </c>
      <c r="AN39" s="35"/>
      <c r="AO39" s="35"/>
      <c r="AP39" s="35"/>
      <c r="AQ39" s="35"/>
      <c r="AR39" s="35"/>
      <c r="AS39" s="35"/>
      <c r="AT39" s="58">
        <f t="shared" si="23"/>
        <v>3524.3</v>
      </c>
      <c r="AU39" s="58">
        <f t="shared" si="24"/>
        <v>3458.3999999999996</v>
      </c>
      <c r="AV39" s="10">
        <f t="shared" si="6"/>
        <v>98.13012513123172</v>
      </c>
      <c r="AW39" s="58">
        <f t="shared" si="25"/>
        <v>65.90000000000055</v>
      </c>
      <c r="AX39" s="16">
        <f t="shared" si="35"/>
        <v>66.00000000000045</v>
      </c>
      <c r="AY39" s="20">
        <f t="shared" si="14"/>
        <v>3524.2999999999993</v>
      </c>
      <c r="AZ39" s="20">
        <f t="shared" si="15"/>
        <v>3458.3999999999996</v>
      </c>
      <c r="BA39" s="39">
        <f t="shared" si="16"/>
        <v>65.99999999999955</v>
      </c>
    </row>
    <row r="40" spans="1:53" ht="34.5" customHeight="1">
      <c r="A40" s="12" t="s">
        <v>35</v>
      </c>
      <c r="B40" s="115" t="s">
        <v>63</v>
      </c>
      <c r="C40" s="84">
        <v>37.2</v>
      </c>
      <c r="D40" s="35">
        <v>50.5</v>
      </c>
      <c r="E40" s="35">
        <v>26.9</v>
      </c>
      <c r="F40" s="10">
        <f t="shared" si="37"/>
        <v>53.26732673267326</v>
      </c>
      <c r="G40" s="35">
        <v>59.2</v>
      </c>
      <c r="H40" s="35">
        <v>28.3</v>
      </c>
      <c r="I40" s="10">
        <f t="shared" si="7"/>
        <v>47.80405405405405</v>
      </c>
      <c r="J40" s="35">
        <v>46.9</v>
      </c>
      <c r="K40" s="35">
        <v>74.3</v>
      </c>
      <c r="L40" s="10">
        <f t="shared" si="29"/>
        <v>158.4221748400853</v>
      </c>
      <c r="M40" s="71">
        <f t="shared" si="17"/>
        <v>156.6</v>
      </c>
      <c r="N40" s="71">
        <f t="shared" si="18"/>
        <v>129.5</v>
      </c>
      <c r="O40" s="10">
        <f t="shared" si="1"/>
        <v>82.69476372924649</v>
      </c>
      <c r="P40" s="35">
        <v>48.2</v>
      </c>
      <c r="Q40" s="35">
        <v>50.8</v>
      </c>
      <c r="R40" s="10">
        <f t="shared" si="9"/>
        <v>105.39419087136928</v>
      </c>
      <c r="S40" s="35">
        <v>47.3</v>
      </c>
      <c r="T40" s="35">
        <v>24.6</v>
      </c>
      <c r="U40" s="10">
        <f t="shared" si="10"/>
        <v>52.00845665961946</v>
      </c>
      <c r="V40" s="35">
        <v>48</v>
      </c>
      <c r="W40" s="35">
        <v>47.2</v>
      </c>
      <c r="X40" s="10">
        <f t="shared" si="30"/>
        <v>98.33333333333334</v>
      </c>
      <c r="Y40" s="71">
        <f t="shared" si="31"/>
        <v>143.5</v>
      </c>
      <c r="Z40" s="71">
        <f t="shared" si="32"/>
        <v>122.60000000000001</v>
      </c>
      <c r="AA40" s="10">
        <f t="shared" si="33"/>
        <v>85.43554006968643</v>
      </c>
      <c r="AB40" s="35">
        <v>34.9</v>
      </c>
      <c r="AC40" s="35">
        <v>48</v>
      </c>
      <c r="AD40" s="10">
        <f t="shared" si="3"/>
        <v>137.53581661891118</v>
      </c>
      <c r="AE40" s="35">
        <v>31.6</v>
      </c>
      <c r="AF40" s="35">
        <v>34.9</v>
      </c>
      <c r="AG40" s="10">
        <f t="shared" si="4"/>
        <v>110.44303797468353</v>
      </c>
      <c r="AH40" s="35">
        <v>40.4</v>
      </c>
      <c r="AI40" s="35">
        <v>31.6</v>
      </c>
      <c r="AJ40" s="10">
        <f t="shared" si="12"/>
        <v>78.21782178217822</v>
      </c>
      <c r="AK40" s="71">
        <f t="shared" si="21"/>
        <v>106.9</v>
      </c>
      <c r="AL40" s="71">
        <f t="shared" si="22"/>
        <v>114.5</v>
      </c>
      <c r="AM40" s="10">
        <f t="shared" si="34"/>
        <v>107.10944808231993</v>
      </c>
      <c r="AN40" s="35"/>
      <c r="AO40" s="35"/>
      <c r="AP40" s="35"/>
      <c r="AQ40" s="35"/>
      <c r="AR40" s="35"/>
      <c r="AS40" s="35"/>
      <c r="AT40" s="58">
        <f t="shared" si="23"/>
        <v>407</v>
      </c>
      <c r="AU40" s="58">
        <f t="shared" si="24"/>
        <v>366.6</v>
      </c>
      <c r="AV40" s="10">
        <f t="shared" si="6"/>
        <v>90.07371007371007</v>
      </c>
      <c r="AW40" s="58">
        <f t="shared" si="25"/>
        <v>40.39999999999998</v>
      </c>
      <c r="AX40" s="16">
        <f t="shared" si="35"/>
        <v>77.59999999999997</v>
      </c>
      <c r="AY40" s="20">
        <f t="shared" si="14"/>
        <v>407</v>
      </c>
      <c r="AZ40" s="20">
        <f t="shared" si="15"/>
        <v>366.6</v>
      </c>
      <c r="BA40" s="39">
        <f t="shared" si="16"/>
        <v>77.59999999999997</v>
      </c>
    </row>
    <row r="41" spans="1:53" ht="34.5" customHeight="1">
      <c r="A41" s="12" t="s">
        <v>36</v>
      </c>
      <c r="B41" s="59" t="s">
        <v>64</v>
      </c>
      <c r="C41" s="90">
        <v>-4</v>
      </c>
      <c r="D41" s="35">
        <v>75.3</v>
      </c>
      <c r="E41" s="35">
        <v>3.9</v>
      </c>
      <c r="F41" s="10">
        <f t="shared" si="37"/>
        <v>5.179282868525896</v>
      </c>
      <c r="G41" s="35">
        <v>146.6</v>
      </c>
      <c r="H41" s="35">
        <v>214.7</v>
      </c>
      <c r="I41" s="10">
        <f t="shared" si="7"/>
        <v>146.45293315143246</v>
      </c>
      <c r="J41" s="35">
        <v>140.4</v>
      </c>
      <c r="K41" s="35">
        <v>134.6</v>
      </c>
      <c r="L41" s="10">
        <f t="shared" si="29"/>
        <v>95.86894586894587</v>
      </c>
      <c r="M41" s="71">
        <f t="shared" si="17"/>
        <v>362.29999999999995</v>
      </c>
      <c r="N41" s="71">
        <f t="shared" si="18"/>
        <v>353.2</v>
      </c>
      <c r="O41" s="10">
        <f t="shared" si="1"/>
        <v>97.48826939000828</v>
      </c>
      <c r="P41" s="35">
        <v>145.9</v>
      </c>
      <c r="Q41" s="35">
        <v>147.1</v>
      </c>
      <c r="R41" s="10">
        <f t="shared" si="9"/>
        <v>100.82248115147361</v>
      </c>
      <c r="S41" s="35">
        <v>118.6</v>
      </c>
      <c r="T41" s="35">
        <v>126.5</v>
      </c>
      <c r="U41" s="10">
        <f t="shared" si="10"/>
        <v>106.6610455311973</v>
      </c>
      <c r="V41" s="35">
        <v>139.6</v>
      </c>
      <c r="W41" s="35">
        <v>139.6</v>
      </c>
      <c r="X41" s="102">
        <f t="shared" si="30"/>
        <v>100</v>
      </c>
      <c r="Y41" s="71">
        <f t="shared" si="31"/>
        <v>404.1</v>
      </c>
      <c r="Z41" s="71">
        <f t="shared" si="32"/>
        <v>413.20000000000005</v>
      </c>
      <c r="AA41" s="10">
        <f t="shared" si="33"/>
        <v>102.25191784211829</v>
      </c>
      <c r="AB41" s="35">
        <v>130.3</v>
      </c>
      <c r="AC41" s="35">
        <v>128.9</v>
      </c>
      <c r="AD41" s="10">
        <f t="shared" si="3"/>
        <v>98.92555640828856</v>
      </c>
      <c r="AE41" s="35">
        <v>117.8</v>
      </c>
      <c r="AF41" s="35">
        <v>117.9</v>
      </c>
      <c r="AG41" s="10">
        <f t="shared" si="4"/>
        <v>100.08488964346351</v>
      </c>
      <c r="AH41" s="35">
        <v>121.6</v>
      </c>
      <c r="AI41" s="35">
        <v>115.8</v>
      </c>
      <c r="AJ41" s="10">
        <f t="shared" si="12"/>
        <v>95.23026315789474</v>
      </c>
      <c r="AK41" s="71">
        <f t="shared" si="21"/>
        <v>369.70000000000005</v>
      </c>
      <c r="AL41" s="71">
        <f t="shared" si="22"/>
        <v>362.6</v>
      </c>
      <c r="AM41" s="10">
        <f t="shared" si="34"/>
        <v>98.07952393832838</v>
      </c>
      <c r="AN41" s="35"/>
      <c r="AO41" s="35"/>
      <c r="AP41" s="35"/>
      <c r="AQ41" s="35"/>
      <c r="AR41" s="35"/>
      <c r="AS41" s="35"/>
      <c r="AT41" s="58">
        <f t="shared" si="23"/>
        <v>1136.1</v>
      </c>
      <c r="AU41" s="58">
        <f t="shared" si="24"/>
        <v>1129</v>
      </c>
      <c r="AV41" s="10">
        <f t="shared" si="6"/>
        <v>99.37505501276297</v>
      </c>
      <c r="AW41" s="58">
        <f t="shared" si="25"/>
        <v>7.099999999999909</v>
      </c>
      <c r="AX41" s="16">
        <f t="shared" si="35"/>
        <v>3.099999999999909</v>
      </c>
      <c r="AY41" s="20">
        <f t="shared" si="14"/>
        <v>1136.1</v>
      </c>
      <c r="AZ41" s="20">
        <f t="shared" si="15"/>
        <v>1129</v>
      </c>
      <c r="BA41" s="39">
        <f t="shared" si="16"/>
        <v>3.099999999999909</v>
      </c>
    </row>
    <row r="42" spans="1:53" ht="34.5" customHeight="1">
      <c r="A42" s="12" t="s">
        <v>37</v>
      </c>
      <c r="B42" s="115" t="s">
        <v>48</v>
      </c>
      <c r="C42" s="84">
        <f>1.4+(-6)</f>
        <v>-4.6</v>
      </c>
      <c r="D42" s="35">
        <f>24.1+36.4</f>
        <v>60.5</v>
      </c>
      <c r="E42" s="35">
        <f>23.2+3.1</f>
        <v>26.3</v>
      </c>
      <c r="F42" s="10">
        <f t="shared" si="37"/>
        <v>43.47107438016529</v>
      </c>
      <c r="G42" s="35">
        <f>30.7+34.3</f>
        <v>65</v>
      </c>
      <c r="H42" s="35">
        <f>6.2+1.6</f>
        <v>7.800000000000001</v>
      </c>
      <c r="I42" s="10">
        <f t="shared" si="7"/>
        <v>12.000000000000002</v>
      </c>
      <c r="J42" s="35">
        <f>27.2+36.4</f>
        <v>63.599999999999994</v>
      </c>
      <c r="K42" s="35">
        <f>53.9+64.3</f>
        <v>118.19999999999999</v>
      </c>
      <c r="L42" s="10">
        <f t="shared" si="29"/>
        <v>185.8490566037736</v>
      </c>
      <c r="M42" s="71">
        <f t="shared" si="17"/>
        <v>189.1</v>
      </c>
      <c r="N42" s="71">
        <f t="shared" si="18"/>
        <v>152.29999999999998</v>
      </c>
      <c r="O42" s="10">
        <f t="shared" si="1"/>
        <v>80.53939714436805</v>
      </c>
      <c r="P42" s="35">
        <f>33.9+38.6</f>
        <v>72.5</v>
      </c>
      <c r="Q42" s="35">
        <v>38.5</v>
      </c>
      <c r="R42" s="10">
        <f t="shared" si="9"/>
        <v>53.103448275862064</v>
      </c>
      <c r="S42" s="35">
        <f>29.2+33.8</f>
        <v>63</v>
      </c>
      <c r="T42" s="35">
        <f>34+36</f>
        <v>70</v>
      </c>
      <c r="U42" s="10">
        <f t="shared" si="10"/>
        <v>111.11111111111111</v>
      </c>
      <c r="V42" s="35">
        <f>25+34.8</f>
        <v>59.8</v>
      </c>
      <c r="W42" s="35">
        <f>53.7+31.6</f>
        <v>85.30000000000001</v>
      </c>
      <c r="X42" s="102">
        <f t="shared" si="30"/>
        <v>142.64214046822744</v>
      </c>
      <c r="Y42" s="71">
        <f t="shared" si="31"/>
        <v>195.3</v>
      </c>
      <c r="Z42" s="71">
        <f t="shared" si="32"/>
        <v>193.8</v>
      </c>
      <c r="AA42" s="10">
        <f t="shared" si="33"/>
        <v>99.23195084485407</v>
      </c>
      <c r="AB42" s="35">
        <f>36.1+62.7</f>
        <v>98.80000000000001</v>
      </c>
      <c r="AC42" s="35">
        <f>24.8+32.2</f>
        <v>57</v>
      </c>
      <c r="AD42" s="10">
        <f t="shared" si="3"/>
        <v>57.692307692307686</v>
      </c>
      <c r="AE42" s="35">
        <f>33.4+68.6</f>
        <v>102</v>
      </c>
      <c r="AF42" s="35">
        <f>36.1+42.6</f>
        <v>78.7</v>
      </c>
      <c r="AG42" s="10">
        <f t="shared" si="4"/>
        <v>77.15686274509804</v>
      </c>
      <c r="AH42" s="35">
        <f>42.9+56.5</f>
        <v>99.4</v>
      </c>
      <c r="AI42" s="35">
        <f>76.1+83.4</f>
        <v>159.5</v>
      </c>
      <c r="AJ42" s="10">
        <f t="shared" si="12"/>
        <v>160.46277665995976</v>
      </c>
      <c r="AK42" s="71">
        <f t="shared" si="21"/>
        <v>300.20000000000005</v>
      </c>
      <c r="AL42" s="71">
        <f t="shared" si="22"/>
        <v>295.2</v>
      </c>
      <c r="AM42" s="10">
        <f t="shared" si="34"/>
        <v>98.33444370419718</v>
      </c>
      <c r="AN42" s="35"/>
      <c r="AO42" s="35"/>
      <c r="AP42" s="35"/>
      <c r="AQ42" s="35"/>
      <c r="AR42" s="35"/>
      <c r="AS42" s="35"/>
      <c r="AT42" s="58">
        <f t="shared" si="23"/>
        <v>684.6</v>
      </c>
      <c r="AU42" s="58">
        <f t="shared" si="24"/>
        <v>641.3</v>
      </c>
      <c r="AV42" s="10">
        <f t="shared" si="6"/>
        <v>93.6751387671633</v>
      </c>
      <c r="AW42" s="58">
        <f t="shared" si="25"/>
        <v>43.30000000000007</v>
      </c>
      <c r="AX42" s="16">
        <f t="shared" si="35"/>
        <v>38.700000000000045</v>
      </c>
      <c r="AY42" s="20">
        <f t="shared" si="14"/>
        <v>684.6</v>
      </c>
      <c r="AZ42" s="20">
        <f t="shared" si="15"/>
        <v>641.3</v>
      </c>
      <c r="BA42" s="39">
        <f t="shared" si="16"/>
        <v>38.700000000000045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2876.8999999999996</v>
      </c>
      <c r="D43" s="16">
        <f>SUM(D44:D44)</f>
        <v>2362.9</v>
      </c>
      <c r="E43" s="16">
        <f>SUM(E44:E44)</f>
        <v>2321.4</v>
      </c>
      <c r="F43" s="10">
        <f t="shared" si="37"/>
        <v>98.24368360912437</v>
      </c>
      <c r="G43" s="16">
        <f>SUM(G44:G44)</f>
        <v>2616.4</v>
      </c>
      <c r="H43" s="16">
        <f>SUM(H44:H44)</f>
        <v>2496.4</v>
      </c>
      <c r="I43" s="10">
        <f t="shared" si="7"/>
        <v>95.41354532946032</v>
      </c>
      <c r="J43" s="16">
        <f>SUM(J44:J44)</f>
        <v>2324.6000000000004</v>
      </c>
      <c r="K43" s="16">
        <f>SUM(K44:K44)</f>
        <v>3347.6</v>
      </c>
      <c r="L43" s="10">
        <f t="shared" si="29"/>
        <v>144.00757119504428</v>
      </c>
      <c r="M43" s="16">
        <f>SUM(M44:M44)</f>
        <v>7303.900000000001</v>
      </c>
      <c r="N43" s="16">
        <f>SUM(N44:N44)</f>
        <v>8165.4</v>
      </c>
      <c r="O43" s="10">
        <f t="shared" si="1"/>
        <v>111.79506838812141</v>
      </c>
      <c r="P43" s="16">
        <f>SUM(P44:P44)</f>
        <v>2531.2</v>
      </c>
      <c r="Q43" s="16">
        <f>SUM(Q44:Q44)</f>
        <v>2584.1000000000004</v>
      </c>
      <c r="R43" s="10">
        <f t="shared" si="9"/>
        <v>102.08991782553731</v>
      </c>
      <c r="S43" s="16">
        <f>SUM(S44:S44)</f>
        <v>2879.9</v>
      </c>
      <c r="T43" s="16">
        <f>SUM(T44:T44)</f>
        <v>2533.5</v>
      </c>
      <c r="U43" s="10">
        <f t="shared" si="10"/>
        <v>87.9718045765478</v>
      </c>
      <c r="V43" s="16">
        <f>SUM(V44:V44)</f>
        <v>2548.5</v>
      </c>
      <c r="W43" s="16">
        <f>SUM(W44:W44)</f>
        <v>2991.5</v>
      </c>
      <c r="X43" s="10">
        <f t="shared" si="30"/>
        <v>117.38277418089072</v>
      </c>
      <c r="Y43" s="16">
        <f>SUM(Y44:Y44)</f>
        <v>7959.6</v>
      </c>
      <c r="Z43" s="16">
        <f>SUM(Z44:Z44)</f>
        <v>8109.1</v>
      </c>
      <c r="AA43" s="10">
        <f t="shared" si="33"/>
        <v>101.87823508719032</v>
      </c>
      <c r="AB43" s="16">
        <f>SUM(AB44:AB44)</f>
        <v>2222.7</v>
      </c>
      <c r="AC43" s="16">
        <f>SUM(AC44:AC44)</f>
        <v>2420.1</v>
      </c>
      <c r="AD43" s="10">
        <f t="shared" si="3"/>
        <v>108.88109056552841</v>
      </c>
      <c r="AE43" s="16">
        <f>SUM(AE44:AE44)</f>
        <v>1916.2</v>
      </c>
      <c r="AF43" s="16">
        <f>SUM(AF44:AF44)</f>
        <v>2139.7</v>
      </c>
      <c r="AG43" s="10">
        <f t="shared" si="4"/>
        <v>111.66370942490344</v>
      </c>
      <c r="AH43" s="16">
        <f>SUM(AH44:AH44)</f>
        <v>2584.7</v>
      </c>
      <c r="AI43" s="16">
        <f>SUM(AI44:AI44)</f>
        <v>2062.9</v>
      </c>
      <c r="AJ43" s="10">
        <f t="shared" si="12"/>
        <v>79.81197044144389</v>
      </c>
      <c r="AK43" s="16">
        <f>SUM(AK44:AK44)</f>
        <v>6723.599999999999</v>
      </c>
      <c r="AL43" s="16">
        <f>SUM(AL44:AL44)</f>
        <v>6622.699999999999</v>
      </c>
      <c r="AM43" s="10">
        <f t="shared" si="34"/>
        <v>98.49931584270331</v>
      </c>
      <c r="AN43" s="16">
        <f aca="true" t="shared" si="38" ref="AN43:AS43">SUM(AN44:AN44)</f>
        <v>0</v>
      </c>
      <c r="AO43" s="16">
        <f t="shared" si="38"/>
        <v>0</v>
      </c>
      <c r="AP43" s="16">
        <f t="shared" si="38"/>
        <v>0</v>
      </c>
      <c r="AQ43" s="16">
        <f t="shared" si="38"/>
        <v>0</v>
      </c>
      <c r="AR43" s="16">
        <f t="shared" si="38"/>
        <v>0</v>
      </c>
      <c r="AS43" s="16">
        <f t="shared" si="38"/>
        <v>0</v>
      </c>
      <c r="AT43" s="102">
        <f>AT44</f>
        <v>21987.1</v>
      </c>
      <c r="AU43" s="102">
        <f>AU44</f>
        <v>22897.199999999997</v>
      </c>
      <c r="AV43" s="10">
        <f t="shared" si="6"/>
        <v>104.13924528473513</v>
      </c>
      <c r="AW43" s="16">
        <f>SUM(AW44:AW44)</f>
        <v>-910.0999999999985</v>
      </c>
      <c r="AX43" s="16">
        <f>SUM(AX44:AX44)</f>
        <v>1966.800000000003</v>
      </c>
      <c r="AY43" s="20">
        <f t="shared" si="14"/>
        <v>21987.100000000002</v>
      </c>
      <c r="AZ43" s="20">
        <f t="shared" si="15"/>
        <v>22897.2</v>
      </c>
      <c r="BA43" s="39">
        <f t="shared" si="16"/>
        <v>1966.7999999999993</v>
      </c>
    </row>
    <row r="44" spans="1:53" s="11" customFormat="1" ht="34.5" customHeight="1">
      <c r="A44" s="8"/>
      <c r="B44" s="38" t="s">
        <v>67</v>
      </c>
      <c r="C44" s="84">
        <f>1150.1+1724.6-(-2.2)</f>
        <v>2876.8999999999996</v>
      </c>
      <c r="D44" s="35">
        <f>895.2+1467.7</f>
        <v>2362.9</v>
      </c>
      <c r="E44" s="35">
        <f>320+2001.4</f>
        <v>2321.4</v>
      </c>
      <c r="F44" s="10">
        <f t="shared" si="37"/>
        <v>98.24368360912437</v>
      </c>
      <c r="G44" s="35">
        <f>940+1676.4</f>
        <v>2616.4</v>
      </c>
      <c r="H44" s="35">
        <f>1065.7+1430.7</f>
        <v>2496.4</v>
      </c>
      <c r="I44" s="10">
        <f t="shared" si="7"/>
        <v>95.41354532946032</v>
      </c>
      <c r="J44" s="35">
        <f>875.2+1449.4</f>
        <v>2324.6000000000004</v>
      </c>
      <c r="K44" s="35">
        <f>1500+1847.6</f>
        <v>3347.6</v>
      </c>
      <c r="L44" s="10">
        <f t="shared" si="29"/>
        <v>144.00757119504428</v>
      </c>
      <c r="M44" s="71">
        <f t="shared" si="17"/>
        <v>7303.900000000001</v>
      </c>
      <c r="N44" s="71">
        <f t="shared" si="18"/>
        <v>8165.4</v>
      </c>
      <c r="O44" s="10">
        <f t="shared" si="1"/>
        <v>111.79506838812141</v>
      </c>
      <c r="P44" s="35">
        <f>964+1567.2</f>
        <v>2531.2</v>
      </c>
      <c r="Q44" s="35">
        <f>1188.9+1395.2</f>
        <v>2584.1000000000004</v>
      </c>
      <c r="R44" s="10">
        <f t="shared" si="9"/>
        <v>102.08991782553731</v>
      </c>
      <c r="S44" s="35">
        <f>1037+1842.9</f>
        <v>2879.9</v>
      </c>
      <c r="T44" s="35">
        <f>1099.8+1433.7</f>
        <v>2533.5</v>
      </c>
      <c r="U44" s="10">
        <f t="shared" si="10"/>
        <v>87.9718045765478</v>
      </c>
      <c r="V44" s="35">
        <f>1002.8+1545.7</f>
        <v>2548.5</v>
      </c>
      <c r="W44" s="35">
        <f>1086.9+1904.6</f>
        <v>2991.5</v>
      </c>
      <c r="X44" s="10">
        <f>944.5+1563.5</f>
        <v>2508</v>
      </c>
      <c r="Y44" s="71">
        <f>P44+S44+V44</f>
        <v>7959.6</v>
      </c>
      <c r="Z44" s="71">
        <f>Q44+T44+W44</f>
        <v>8109.1</v>
      </c>
      <c r="AA44" s="10">
        <f t="shared" si="33"/>
        <v>101.87823508719032</v>
      </c>
      <c r="AB44" s="35">
        <f>956.8+1265.9</f>
        <v>2222.7</v>
      </c>
      <c r="AC44" s="35">
        <f>987.4+1432.7</f>
        <v>2420.1</v>
      </c>
      <c r="AD44" s="10">
        <f t="shared" si="3"/>
        <v>108.88109056552841</v>
      </c>
      <c r="AE44" s="35">
        <f>887.2+1029</f>
        <v>1916.2</v>
      </c>
      <c r="AF44" s="35">
        <f>959.1+1180.6</f>
        <v>2139.7</v>
      </c>
      <c r="AG44" s="10">
        <f t="shared" si="4"/>
        <v>111.66370942490344</v>
      </c>
      <c r="AH44" s="35">
        <f>948.2+1636.5</f>
        <v>2584.7</v>
      </c>
      <c r="AI44" s="35">
        <f>892.4+1170.5</f>
        <v>2062.9</v>
      </c>
      <c r="AJ44" s="10">
        <f t="shared" si="12"/>
        <v>79.81197044144389</v>
      </c>
      <c r="AK44" s="71">
        <f>AB44+AE44+AH44</f>
        <v>6723.599999999999</v>
      </c>
      <c r="AL44" s="71">
        <f>AC44+AF44+AI44</f>
        <v>6622.699999999999</v>
      </c>
      <c r="AM44" s="10">
        <f t="shared" si="34"/>
        <v>98.49931584270331</v>
      </c>
      <c r="AN44" s="35"/>
      <c r="AO44" s="35"/>
      <c r="AP44" s="35"/>
      <c r="AQ44" s="35"/>
      <c r="AR44" s="35"/>
      <c r="AS44" s="35"/>
      <c r="AT44" s="58">
        <f>M44+Y44+AK44+AN44+AP44+AR44</f>
        <v>21987.1</v>
      </c>
      <c r="AU44" s="58">
        <f>N44+Z44+AL44+AO44+AQ44+AS44</f>
        <v>22897.199999999997</v>
      </c>
      <c r="AV44" s="10">
        <f t="shared" si="6"/>
        <v>104.13924528473513</v>
      </c>
      <c r="AW44" s="58">
        <f t="shared" si="25"/>
        <v>-910.0999999999985</v>
      </c>
      <c r="AX44" s="16">
        <f>C44+AT44-AU44</f>
        <v>1966.800000000003</v>
      </c>
      <c r="AY44" s="20">
        <f t="shared" si="14"/>
        <v>21987.100000000002</v>
      </c>
      <c r="AZ44" s="20">
        <f t="shared" si="15"/>
        <v>22897.2</v>
      </c>
      <c r="BA44" s="39">
        <f t="shared" si="16"/>
        <v>1966.7999999999993</v>
      </c>
    </row>
    <row r="45" spans="1:53" ht="34.5" customHeight="1">
      <c r="A45" s="12"/>
      <c r="B45" s="14" t="s">
        <v>96</v>
      </c>
      <c r="C45" s="67">
        <f>C43+C7</f>
        <v>2887.5999999999995</v>
      </c>
      <c r="D45" s="16">
        <f>D43+D7</f>
        <v>4806.9</v>
      </c>
      <c r="E45" s="16">
        <f>E43+E7</f>
        <v>3556.5</v>
      </c>
      <c r="F45" s="10">
        <f>E45/D45*100</f>
        <v>73.98739312238658</v>
      </c>
      <c r="G45" s="16">
        <f>G7+G43</f>
        <v>5358.1</v>
      </c>
      <c r="H45" s="16">
        <f>H7+H43</f>
        <v>5287.400000000001</v>
      </c>
      <c r="I45" s="10">
        <f t="shared" si="7"/>
        <v>98.68050241690152</v>
      </c>
      <c r="J45" s="16">
        <f>J7+J43</f>
        <v>5046.6</v>
      </c>
      <c r="K45" s="16">
        <f>K7+K43</f>
        <v>6708.7</v>
      </c>
      <c r="L45" s="10">
        <f t="shared" si="29"/>
        <v>132.93504537708557</v>
      </c>
      <c r="M45" s="16">
        <f>M7+M43</f>
        <v>15211.600000000002</v>
      </c>
      <c r="N45" s="16">
        <f>N7+N43</f>
        <v>15552.599999999999</v>
      </c>
      <c r="O45" s="10">
        <f t="shared" si="1"/>
        <v>102.24171027373843</v>
      </c>
      <c r="P45" s="16">
        <f>P7+P43</f>
        <v>5351.2</v>
      </c>
      <c r="Q45" s="16">
        <f>Q7+Q43</f>
        <v>5269.1</v>
      </c>
      <c r="R45" s="10">
        <f t="shared" si="9"/>
        <v>98.46576468829423</v>
      </c>
      <c r="S45" s="16">
        <f>S7+S43</f>
        <v>5336.5</v>
      </c>
      <c r="T45" s="16">
        <f>T7+T43</f>
        <v>4998.5</v>
      </c>
      <c r="U45" s="10">
        <f t="shared" si="10"/>
        <v>93.66626065773447</v>
      </c>
      <c r="V45" s="16">
        <f>V7+V43</f>
        <v>5108</v>
      </c>
      <c r="W45" s="16">
        <f>W7+W43</f>
        <v>5240.199999999999</v>
      </c>
      <c r="X45" s="10">
        <f>W45/V45*100</f>
        <v>102.58809710258416</v>
      </c>
      <c r="Y45" s="16">
        <f>Y7+Y43</f>
        <v>15795.7</v>
      </c>
      <c r="Z45" s="16">
        <f>Z7+Z43</f>
        <v>15507.8</v>
      </c>
      <c r="AA45" s="10">
        <f t="shared" si="33"/>
        <v>98.17735206416936</v>
      </c>
      <c r="AB45" s="16">
        <f>AB7+AB43</f>
        <v>4483.400000000001</v>
      </c>
      <c r="AC45" s="16">
        <f>AC7+AC43</f>
        <v>4931.299999999999</v>
      </c>
      <c r="AD45" s="10">
        <f t="shared" si="3"/>
        <v>109.99018601953871</v>
      </c>
      <c r="AE45" s="16">
        <f>AE43+AE7</f>
        <v>4192</v>
      </c>
      <c r="AF45" s="16">
        <f>AF43+AF7</f>
        <v>4341.699999999999</v>
      </c>
      <c r="AG45" s="10">
        <f t="shared" si="4"/>
        <v>103.57108778625953</v>
      </c>
      <c r="AH45" s="16">
        <f>AH43+AH7</f>
        <v>5151.1</v>
      </c>
      <c r="AI45" s="16">
        <f>AI43+AI7</f>
        <v>4701.799999999999</v>
      </c>
      <c r="AJ45" s="10">
        <f t="shared" si="12"/>
        <v>91.27759119411387</v>
      </c>
      <c r="AK45" s="16">
        <f>AK7+AK43</f>
        <v>13826.5</v>
      </c>
      <c r="AL45" s="16">
        <f>AL7+AL43</f>
        <v>13974.8</v>
      </c>
      <c r="AM45" s="10">
        <f t="shared" si="34"/>
        <v>101.07257802046794</v>
      </c>
      <c r="AN45" s="16">
        <f aca="true" t="shared" si="39" ref="AN45:AS45">AN43+AN7</f>
        <v>0</v>
      </c>
      <c r="AO45" s="16">
        <f t="shared" si="39"/>
        <v>0</v>
      </c>
      <c r="AP45" s="16">
        <f t="shared" si="39"/>
        <v>0</v>
      </c>
      <c r="AQ45" s="16">
        <f t="shared" si="39"/>
        <v>0</v>
      </c>
      <c r="AR45" s="16">
        <f t="shared" si="39"/>
        <v>0</v>
      </c>
      <c r="AS45" s="16">
        <f t="shared" si="39"/>
        <v>0</v>
      </c>
      <c r="AT45" s="67">
        <f>AT7+AT43</f>
        <v>44833.79999999999</v>
      </c>
      <c r="AU45" s="67">
        <f>AU7+AU43</f>
        <v>45035.2</v>
      </c>
      <c r="AV45" s="10">
        <f>AU45/AT45*100</f>
        <v>100.44921465501477</v>
      </c>
      <c r="AW45" s="16">
        <f>AW7+AW43</f>
        <v>-201.3999999999976</v>
      </c>
      <c r="AX45" s="16">
        <f>AX7+AX43</f>
        <v>2686.2000000000035</v>
      </c>
      <c r="AY45" s="20">
        <f t="shared" si="14"/>
        <v>44833.8</v>
      </c>
      <c r="AZ45" s="20">
        <f t="shared" si="15"/>
        <v>45035.2</v>
      </c>
      <c r="BA45" s="39">
        <f t="shared" si="16"/>
        <v>2686.2000000000044</v>
      </c>
    </row>
    <row r="46" spans="1:62" s="111" customFormat="1" ht="96" customHeight="1">
      <c r="A46" s="160" t="s">
        <v>101</v>
      </c>
      <c r="B46" s="160"/>
      <c r="C46" s="160"/>
      <c r="D46" s="126"/>
      <c r="E46" s="126"/>
      <c r="F46" s="134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6"/>
      <c r="AU46" s="126"/>
      <c r="AV46" s="127"/>
      <c r="AW46" s="127"/>
      <c r="AX46" s="128" t="s">
        <v>100</v>
      </c>
      <c r="AY46" s="126"/>
      <c r="AZ46" s="126"/>
      <c r="BA46" s="126"/>
      <c r="BB46" s="126"/>
      <c r="BC46" s="126"/>
      <c r="BD46" s="126"/>
      <c r="BE46" s="126"/>
      <c r="BF46" s="126"/>
      <c r="BG46" s="129"/>
      <c r="BH46" s="129"/>
      <c r="BI46" s="129"/>
      <c r="BJ46" s="129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95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80" t="s">
        <v>75</v>
      </c>
      <c r="AX47" s="181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7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0" s="29" customFormat="1" ht="63.75" customHeight="1">
      <c r="A51" s="26"/>
      <c r="B51" s="173" t="s">
        <v>76</v>
      </c>
      <c r="C51" s="173"/>
      <c r="D51" s="173"/>
      <c r="E51" s="173"/>
      <c r="F51" s="173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</row>
    <row r="52" spans="1:50" ht="73.5" customHeight="1" hidden="1">
      <c r="A52" s="172" t="s">
        <v>72</v>
      </c>
      <c r="B52" s="172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7:50" ht="18.75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I1:AX1"/>
    <mergeCell ref="B4:F4"/>
    <mergeCell ref="AT5:AV5"/>
    <mergeCell ref="AW5:AW6"/>
    <mergeCell ref="AN5:AO5"/>
    <mergeCell ref="AK5:AM5"/>
    <mergeCell ref="S5:U5"/>
    <mergeCell ref="AX5:AX6"/>
    <mergeCell ref="A2:AX3"/>
    <mergeCell ref="AB5:AD5"/>
    <mergeCell ref="A52:B52"/>
    <mergeCell ref="B51:F51"/>
    <mergeCell ref="D5:F5"/>
    <mergeCell ref="G5:I5"/>
    <mergeCell ref="P5:R5"/>
    <mergeCell ref="J5:L5"/>
    <mergeCell ref="M5:O5"/>
    <mergeCell ref="A46:C46"/>
    <mergeCell ref="AW47:AX47"/>
    <mergeCell ref="Y5:AA5"/>
    <mergeCell ref="V5:X5"/>
    <mergeCell ref="AE5:AG5"/>
    <mergeCell ref="AP5:AQ5"/>
    <mergeCell ref="AR5:AS5"/>
    <mergeCell ref="AH5:AJ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2">
      <pane xSplit="6" ySplit="4" topLeftCell="AE45" activePane="bottomRight" state="frozen"/>
      <selection pane="topLeft" activeCell="A2" sqref="A2"/>
      <selection pane="topRight" activeCell="G2" sqref="G2"/>
      <selection pane="bottomLeft" activeCell="A6" sqref="A6"/>
      <selection pane="bottomRight" activeCell="AZ5" sqref="AZ5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6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2.7539062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2.75390625" style="11" customWidth="1"/>
    <col min="26" max="26" width="12.375" style="11" customWidth="1"/>
    <col min="27" max="27" width="11.125" style="11" customWidth="1"/>
    <col min="28" max="28" width="15.25390625" style="11" customWidth="1"/>
    <col min="29" max="29" width="14.25390625" style="11" customWidth="1"/>
    <col min="30" max="30" width="11.125" style="11" customWidth="1"/>
    <col min="31" max="31" width="14.75390625" style="11" customWidth="1"/>
    <col min="32" max="32" width="12.125" style="11" customWidth="1"/>
    <col min="33" max="33" width="11.00390625" style="11" customWidth="1"/>
    <col min="34" max="34" width="12.75390625" style="11" customWidth="1"/>
    <col min="35" max="36" width="11.00390625" style="11" customWidth="1"/>
    <col min="37" max="37" width="12.75390625" style="11" hidden="1" customWidth="1"/>
    <col min="38" max="38" width="12.375" style="11" hidden="1" customWidth="1"/>
    <col min="39" max="39" width="11.125" style="11" hidden="1" customWidth="1"/>
    <col min="40" max="40" width="12.75390625" style="11" hidden="1" customWidth="1"/>
    <col min="41" max="41" width="11.00390625" style="11" hidden="1" customWidth="1"/>
    <col min="42" max="42" width="12.75390625" style="11" hidden="1" customWidth="1"/>
    <col min="43" max="43" width="11.00390625" style="11" hidden="1" customWidth="1"/>
    <col min="44" max="44" width="12.75390625" style="11" hidden="1" customWidth="1"/>
    <col min="45" max="45" width="11.00390625" style="11" hidden="1" customWidth="1"/>
    <col min="46" max="47" width="14.75390625" style="2" customWidth="1"/>
    <col min="48" max="48" width="11.125" style="11" customWidth="1"/>
    <col min="49" max="49" width="17.875" style="2" hidden="1" customWidth="1"/>
    <col min="50" max="50" width="26.625" style="2" customWidth="1"/>
    <col min="51" max="51" width="13.00390625" style="2" customWidth="1"/>
    <col min="52" max="52" width="11.625" style="2" customWidth="1"/>
    <col min="53" max="53" width="8.625" style="2" customWidth="1"/>
    <col min="54" max="16384" width="6.75390625" style="2" customWidth="1"/>
  </cols>
  <sheetData>
    <row r="1" spans="9:50" ht="14.2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1" customFormat="1" ht="60" customHeight="1">
      <c r="A2" s="159" t="s">
        <v>121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</row>
    <row r="3" spans="1:50" s="51" customFormat="1" ht="60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</row>
    <row r="4" spans="2:50" ht="49.5" customHeight="1">
      <c r="B4" s="163"/>
      <c r="C4" s="163"/>
      <c r="D4" s="163"/>
      <c r="E4" s="163"/>
      <c r="F4" s="163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86</v>
      </c>
    </row>
    <row r="5" spans="1:50" ht="84" customHeight="1">
      <c r="A5" s="41" t="s">
        <v>46</v>
      </c>
      <c r="B5" s="42"/>
      <c r="C5" s="43" t="s">
        <v>1</v>
      </c>
      <c r="D5" s="169" t="s">
        <v>102</v>
      </c>
      <c r="E5" s="170"/>
      <c r="F5" s="171"/>
      <c r="G5" s="164" t="s">
        <v>105</v>
      </c>
      <c r="H5" s="165"/>
      <c r="I5" s="166"/>
      <c r="J5" s="164" t="s">
        <v>106</v>
      </c>
      <c r="K5" s="165"/>
      <c r="L5" s="166"/>
      <c r="M5" s="164" t="s">
        <v>107</v>
      </c>
      <c r="N5" s="165"/>
      <c r="O5" s="166"/>
      <c r="P5" s="164" t="s">
        <v>108</v>
      </c>
      <c r="Q5" s="165"/>
      <c r="R5" s="166"/>
      <c r="S5" s="176" t="s">
        <v>110</v>
      </c>
      <c r="T5" s="177"/>
      <c r="U5" s="178"/>
      <c r="V5" s="176" t="s">
        <v>111</v>
      </c>
      <c r="W5" s="177"/>
      <c r="X5" s="178"/>
      <c r="Y5" s="164" t="s">
        <v>112</v>
      </c>
      <c r="Z5" s="165"/>
      <c r="AA5" s="166"/>
      <c r="AB5" s="164" t="s">
        <v>113</v>
      </c>
      <c r="AC5" s="165"/>
      <c r="AD5" s="166"/>
      <c r="AE5" s="164" t="s">
        <v>114</v>
      </c>
      <c r="AF5" s="165"/>
      <c r="AG5" s="166"/>
      <c r="AH5" s="164" t="s">
        <v>123</v>
      </c>
      <c r="AI5" s="165"/>
      <c r="AJ5" s="166"/>
      <c r="AK5" s="164" t="s">
        <v>84</v>
      </c>
      <c r="AL5" s="165"/>
      <c r="AM5" s="166"/>
      <c r="AN5" s="164" t="s">
        <v>79</v>
      </c>
      <c r="AO5" s="166"/>
      <c r="AP5" s="164" t="s">
        <v>80</v>
      </c>
      <c r="AQ5" s="166"/>
      <c r="AR5" s="164" t="s">
        <v>81</v>
      </c>
      <c r="AS5" s="166"/>
      <c r="AT5" s="169" t="s">
        <v>103</v>
      </c>
      <c r="AU5" s="170"/>
      <c r="AV5" s="171"/>
      <c r="AW5" s="184" t="s">
        <v>83</v>
      </c>
      <c r="AX5" s="167" t="s">
        <v>125</v>
      </c>
    </row>
    <row r="6" spans="1:50" ht="56.25" customHeight="1">
      <c r="A6" s="44" t="s">
        <v>47</v>
      </c>
      <c r="B6" s="45" t="s">
        <v>97</v>
      </c>
      <c r="C6" s="40" t="s">
        <v>104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85</v>
      </c>
      <c r="AU6" s="45" t="s">
        <v>69</v>
      </c>
      <c r="AV6" s="47" t="s">
        <v>0</v>
      </c>
      <c r="AW6" s="185"/>
      <c r="AX6" s="168"/>
    </row>
    <row r="7" spans="1:53" s="11" customFormat="1" ht="36" customHeight="1">
      <c r="A7" s="8"/>
      <c r="B7" s="112" t="s">
        <v>98</v>
      </c>
      <c r="C7" s="10">
        <f>SUM(C8:C42)-C33-C34</f>
        <v>-8.2</v>
      </c>
      <c r="D7" s="10">
        <f aca="true" t="shared" si="0" ref="D7:AI7">SUM(D8:D42)-D33-D34</f>
        <v>169.5</v>
      </c>
      <c r="E7" s="10">
        <f t="shared" si="0"/>
        <v>128.8</v>
      </c>
      <c r="F7" s="10" t="e">
        <f t="shared" si="0"/>
        <v>#DIV/0!</v>
      </c>
      <c r="G7" s="10">
        <f t="shared" si="0"/>
        <v>251.1</v>
      </c>
      <c r="H7" s="10">
        <f t="shared" si="0"/>
        <v>205.29999999999998</v>
      </c>
      <c r="I7" s="10" t="e">
        <f t="shared" si="0"/>
        <v>#DIV/0!</v>
      </c>
      <c r="J7" s="10">
        <f t="shared" si="0"/>
        <v>210.89999999999998</v>
      </c>
      <c r="K7" s="10">
        <f t="shared" si="0"/>
        <v>270.3</v>
      </c>
      <c r="L7" s="10">
        <f t="shared" si="0"/>
        <v>2268.034860135531</v>
      </c>
      <c r="M7" s="10">
        <f t="shared" si="0"/>
        <v>631.5</v>
      </c>
      <c r="N7" s="10">
        <f t="shared" si="0"/>
        <v>604.4000000000001</v>
      </c>
      <c r="O7" s="10">
        <f>N7/M7*100</f>
        <v>95.70863024544735</v>
      </c>
      <c r="P7" s="10">
        <f t="shared" si="0"/>
        <v>260.1</v>
      </c>
      <c r="Q7" s="10">
        <f t="shared" si="0"/>
        <v>251</v>
      </c>
      <c r="R7" s="10">
        <f aca="true" t="shared" si="1" ref="R7:R45">Q7/P7*100</f>
        <v>96.50134563629372</v>
      </c>
      <c r="S7" s="10">
        <f t="shared" si="0"/>
        <v>247.6</v>
      </c>
      <c r="T7" s="10">
        <f t="shared" si="0"/>
        <v>245.80000000000004</v>
      </c>
      <c r="U7" s="10" t="e">
        <f t="shared" si="0"/>
        <v>#DIV/0!</v>
      </c>
      <c r="V7" s="10">
        <f t="shared" si="0"/>
        <v>239</v>
      </c>
      <c r="W7" s="10">
        <f t="shared" si="0"/>
        <v>228.70000000000002</v>
      </c>
      <c r="X7" s="10">
        <f t="shared" si="0"/>
        <v>1170.2123723363334</v>
      </c>
      <c r="Y7" s="10">
        <f t="shared" si="0"/>
        <v>746.7</v>
      </c>
      <c r="Z7" s="10">
        <f t="shared" si="0"/>
        <v>725.4999999999999</v>
      </c>
      <c r="AA7" s="10">
        <f>Z7/Y7*100</f>
        <v>97.16084103388239</v>
      </c>
      <c r="AB7" s="10">
        <f t="shared" si="0"/>
        <v>190.29999999999995</v>
      </c>
      <c r="AC7" s="10">
        <f t="shared" si="0"/>
        <v>183.60000000000002</v>
      </c>
      <c r="AD7" s="10">
        <f aca="true" t="shared" si="2" ref="AD7:AD45">AC7/AB7*100</f>
        <v>96.47924330005259</v>
      </c>
      <c r="AE7" s="10">
        <f t="shared" si="0"/>
        <v>188.1</v>
      </c>
      <c r="AF7" s="10">
        <f t="shared" si="0"/>
        <v>173.60000000000002</v>
      </c>
      <c r="AG7" s="10">
        <f aca="true" t="shared" si="3" ref="AG7:AG45">AF7/AE7*100</f>
        <v>92.29133439659756</v>
      </c>
      <c r="AH7" s="10">
        <f t="shared" si="0"/>
        <v>222.10000000000002</v>
      </c>
      <c r="AI7" s="10">
        <f t="shared" si="0"/>
        <v>236.4</v>
      </c>
      <c r="AJ7" s="10">
        <f>AI7/AH7*100</f>
        <v>106.4385411976587</v>
      </c>
      <c r="AK7" s="10">
        <f>SUM(AK8:AK42)</f>
        <v>600.5</v>
      </c>
      <c r="AL7" s="10">
        <f>SUM(AL8:AL42)</f>
        <v>593.5999999999999</v>
      </c>
      <c r="AM7" s="10">
        <f>AL7/AK7*100</f>
        <v>98.85095753538717</v>
      </c>
      <c r="AN7" s="10">
        <f aca="true" t="shared" si="4" ref="AN7:AS7">SUM(AN8:AN42)</f>
        <v>0</v>
      </c>
      <c r="AO7" s="10">
        <f t="shared" si="4"/>
        <v>0</v>
      </c>
      <c r="AP7" s="10">
        <f t="shared" si="4"/>
        <v>0</v>
      </c>
      <c r="AQ7" s="10">
        <f t="shared" si="4"/>
        <v>0</v>
      </c>
      <c r="AR7" s="10">
        <f t="shared" si="4"/>
        <v>0</v>
      </c>
      <c r="AS7" s="10">
        <f t="shared" si="4"/>
        <v>0</v>
      </c>
      <c r="AT7" s="10">
        <f>SUM(AT8:AT42)-AT33-AT34</f>
        <v>1978.6999999999998</v>
      </c>
      <c r="AU7" s="10">
        <f>SUM(AU8:AU42)-AU33-AU34</f>
        <v>1923.4999999999998</v>
      </c>
      <c r="AV7" s="10">
        <f>AU7/AT7*100</f>
        <v>97.21028958407034</v>
      </c>
      <c r="AW7" s="54">
        <f>SUM(AW8:AW42)</f>
        <v>55.19999999999992</v>
      </c>
      <c r="AX7" s="10">
        <f>SUM(AX8:AX42)-AX33-AX34</f>
        <v>46.999999999999844</v>
      </c>
      <c r="AY7" s="20">
        <f>M7+Y7+AB7+AE7+AH7</f>
        <v>1978.6999999999998</v>
      </c>
      <c r="AZ7" s="20">
        <f>N7+Z7+AC7+AF7+AI7</f>
        <v>1923.5</v>
      </c>
      <c r="BA7" s="39">
        <f>C7+AY7-AZ7</f>
        <v>46.99999999999977</v>
      </c>
    </row>
    <row r="8" spans="1:53" ht="34.5" customHeight="1">
      <c r="A8" s="12" t="s">
        <v>5</v>
      </c>
      <c r="B8" s="57" t="s">
        <v>49</v>
      </c>
      <c r="C8" s="13">
        <v>-0.2</v>
      </c>
      <c r="D8" s="35">
        <v>9.6</v>
      </c>
      <c r="E8" s="35">
        <v>7.6</v>
      </c>
      <c r="F8" s="10">
        <f>E8/D8*100</f>
        <v>79.16666666666666</v>
      </c>
      <c r="G8" s="35">
        <v>21.2</v>
      </c>
      <c r="H8" s="35">
        <v>22.4</v>
      </c>
      <c r="I8" s="10">
        <f aca="true" t="shared" si="5" ref="I8:I30">H8/G8*100</f>
        <v>105.66037735849056</v>
      </c>
      <c r="J8" s="35">
        <v>21</v>
      </c>
      <c r="K8" s="35">
        <v>21</v>
      </c>
      <c r="L8" s="10">
        <f>K8/J8*100</f>
        <v>100</v>
      </c>
      <c r="M8" s="71">
        <f>D8+G8+J8</f>
        <v>51.8</v>
      </c>
      <c r="N8" s="71">
        <f>E8+H8+K8</f>
        <v>51</v>
      </c>
      <c r="O8" s="10">
        <f>N8/M8*100</f>
        <v>98.45559845559846</v>
      </c>
      <c r="P8" s="35">
        <v>21.4</v>
      </c>
      <c r="Q8" s="35">
        <v>20.5</v>
      </c>
      <c r="R8" s="10">
        <f t="shared" si="1"/>
        <v>95.7943925233645</v>
      </c>
      <c r="S8" s="35">
        <v>20.8</v>
      </c>
      <c r="T8" s="35">
        <v>20.4</v>
      </c>
      <c r="U8" s="10">
        <f aca="true" t="shared" si="6" ref="U8:U45">T8/S8*100</f>
        <v>98.07692307692307</v>
      </c>
      <c r="V8" s="35">
        <v>7</v>
      </c>
      <c r="W8" s="35">
        <v>5.2</v>
      </c>
      <c r="X8" s="10">
        <f>W8/V8*100</f>
        <v>74.28571428571429</v>
      </c>
      <c r="Y8" s="71">
        <f>P8+S8+V8</f>
        <v>49.2</v>
      </c>
      <c r="Z8" s="71">
        <f>Q8+T8+W8</f>
        <v>46.1</v>
      </c>
      <c r="AA8" s="10">
        <f>Z8/Y8*100</f>
        <v>93.69918699186992</v>
      </c>
      <c r="AB8" s="35">
        <v>3.7</v>
      </c>
      <c r="AC8" s="35">
        <v>5.8</v>
      </c>
      <c r="AD8" s="10">
        <f t="shared" si="2"/>
        <v>156.75675675675674</v>
      </c>
      <c r="AE8" s="35">
        <v>3.2</v>
      </c>
      <c r="AF8" s="35">
        <v>4.2</v>
      </c>
      <c r="AG8" s="10">
        <f t="shared" si="3"/>
        <v>131.25</v>
      </c>
      <c r="AH8" s="35">
        <v>20.7</v>
      </c>
      <c r="AI8" s="35">
        <v>20.6</v>
      </c>
      <c r="AJ8" s="10">
        <f>AI8/AH8*100</f>
        <v>99.5169082125604</v>
      </c>
      <c r="AK8" s="71">
        <f>AB8+AE8+AH8</f>
        <v>27.6</v>
      </c>
      <c r="AL8" s="71">
        <f>AC8+AF8+AI8</f>
        <v>30.6</v>
      </c>
      <c r="AM8" s="10">
        <f>AL8/AK8*100</f>
        <v>110.86956521739131</v>
      </c>
      <c r="AN8" s="35"/>
      <c r="AO8" s="35"/>
      <c r="AP8" s="35"/>
      <c r="AQ8" s="35"/>
      <c r="AR8" s="35"/>
      <c r="AS8" s="35"/>
      <c r="AT8" s="58">
        <f>M8+Y8+AK8+AN8+AP8+AR8</f>
        <v>128.6</v>
      </c>
      <c r="AU8" s="58">
        <f>N8+Z8+AL8+AO8+AQ8+AS8</f>
        <v>127.69999999999999</v>
      </c>
      <c r="AV8" s="10">
        <f>AU8/AT8*100</f>
        <v>99.30015552099533</v>
      </c>
      <c r="AW8" s="58">
        <f>AT8-AU8</f>
        <v>0.9000000000000057</v>
      </c>
      <c r="AX8" s="16">
        <f>C8+AT8-AU8</f>
        <v>0.700000000000017</v>
      </c>
      <c r="AY8" s="20">
        <f aca="true" t="shared" si="7" ref="AY8:AY45">M8+Y8+AB8+AE8+AH8</f>
        <v>128.6</v>
      </c>
      <c r="AZ8" s="20">
        <f aca="true" t="shared" si="8" ref="AZ8:AZ45">N8+Z8+AC8+AF8+AI8</f>
        <v>127.69999999999999</v>
      </c>
      <c r="BA8" s="39">
        <f aca="true" t="shared" si="9" ref="BA8:BA45">C8+AY8-AZ8</f>
        <v>0.700000000000017</v>
      </c>
    </row>
    <row r="9" spans="1:53" ht="34.5" customHeight="1">
      <c r="A9" s="12" t="s">
        <v>6</v>
      </c>
      <c r="B9" s="59" t="s">
        <v>65</v>
      </c>
      <c r="C9" s="13">
        <v>-4.4</v>
      </c>
      <c r="D9" s="35">
        <v>1.3</v>
      </c>
      <c r="E9" s="35">
        <v>0.5</v>
      </c>
      <c r="F9" s="10">
        <f aca="true" t="shared" si="10" ref="F9:F31">E9/D9*100</f>
        <v>38.46153846153846</v>
      </c>
      <c r="G9" s="35">
        <v>0.7</v>
      </c>
      <c r="H9" s="35">
        <v>1</v>
      </c>
      <c r="I9" s="10">
        <f t="shared" si="5"/>
        <v>142.85714285714286</v>
      </c>
      <c r="J9" s="35">
        <v>1.2</v>
      </c>
      <c r="K9" s="35">
        <v>1.1</v>
      </c>
      <c r="L9" s="10">
        <f>K9/J9*100</f>
        <v>91.66666666666667</v>
      </c>
      <c r="M9" s="71">
        <f>D9+G9+J9</f>
        <v>3.2</v>
      </c>
      <c r="N9" s="71">
        <f>E9+H9+K9</f>
        <v>2.6</v>
      </c>
      <c r="O9" s="10">
        <f>N9/M9*100</f>
        <v>81.25</v>
      </c>
      <c r="P9" s="35">
        <v>1.7</v>
      </c>
      <c r="Q9" s="35">
        <v>0</v>
      </c>
      <c r="R9" s="10">
        <f t="shared" si="1"/>
        <v>0</v>
      </c>
      <c r="S9" s="35">
        <v>1.1</v>
      </c>
      <c r="T9" s="35">
        <v>1.1</v>
      </c>
      <c r="U9" s="10">
        <f t="shared" si="6"/>
        <v>100</v>
      </c>
      <c r="V9" s="35">
        <v>2.4</v>
      </c>
      <c r="W9" s="35">
        <v>0.5</v>
      </c>
      <c r="X9" s="10">
        <f>W9/V9*100</f>
        <v>20.833333333333336</v>
      </c>
      <c r="Y9" s="71">
        <f>P9+S9+V9</f>
        <v>5.199999999999999</v>
      </c>
      <c r="Z9" s="71">
        <f>Q9+T9+W9</f>
        <v>1.6</v>
      </c>
      <c r="AA9" s="10">
        <f>Z9/Y9*100</f>
        <v>30.769230769230777</v>
      </c>
      <c r="AB9" s="35">
        <v>0.3</v>
      </c>
      <c r="AC9" s="35">
        <v>1.1</v>
      </c>
      <c r="AD9" s="10">
        <f t="shared" si="2"/>
        <v>366.6666666666667</v>
      </c>
      <c r="AE9" s="35">
        <v>0.2</v>
      </c>
      <c r="AF9" s="35">
        <v>1.5</v>
      </c>
      <c r="AG9" s="10">
        <f t="shared" si="3"/>
        <v>750</v>
      </c>
      <c r="AH9" s="35">
        <v>1</v>
      </c>
      <c r="AI9" s="35">
        <v>0</v>
      </c>
      <c r="AJ9" s="10">
        <f>AI9/AH9*100</f>
        <v>0</v>
      </c>
      <c r="AK9" s="71">
        <f>AB9+AE9+AH9</f>
        <v>1.5</v>
      </c>
      <c r="AL9" s="71">
        <f>AC9+AF9+AI9</f>
        <v>2.6</v>
      </c>
      <c r="AM9" s="10">
        <f>AL9/AK9*100</f>
        <v>173.33333333333334</v>
      </c>
      <c r="AN9" s="35"/>
      <c r="AO9" s="35"/>
      <c r="AP9" s="35"/>
      <c r="AQ9" s="35"/>
      <c r="AR9" s="35"/>
      <c r="AS9" s="35"/>
      <c r="AT9" s="58">
        <f>M9+Y9+AK9+AN9+AP9+AR9</f>
        <v>9.899999999999999</v>
      </c>
      <c r="AU9" s="58">
        <f>N9+Z9+AL9+AO9+AQ9+AS9</f>
        <v>6.800000000000001</v>
      </c>
      <c r="AV9" s="10">
        <f>AU9/AT9*100</f>
        <v>68.6868686868687</v>
      </c>
      <c r="AW9" s="58">
        <f>AT9-AU9</f>
        <v>3.099999999999998</v>
      </c>
      <c r="AX9" s="16">
        <f>C9+AT9-AU9</f>
        <v>-1.3000000000000025</v>
      </c>
      <c r="AY9" s="20">
        <f t="shared" si="7"/>
        <v>9.899999999999999</v>
      </c>
      <c r="AZ9" s="20">
        <f t="shared" si="8"/>
        <v>6.800000000000001</v>
      </c>
      <c r="BA9" s="39">
        <f t="shared" si="9"/>
        <v>-1.3000000000000025</v>
      </c>
    </row>
    <row r="10" spans="1:53" ht="34.5" customHeight="1">
      <c r="A10" s="12" t="s">
        <v>7</v>
      </c>
      <c r="B10" s="61" t="s">
        <v>87</v>
      </c>
      <c r="C10" s="13"/>
      <c r="D10" s="35"/>
      <c r="E10" s="35"/>
      <c r="F10" s="85" t="e">
        <f t="shared" si="10"/>
        <v>#DIV/0!</v>
      </c>
      <c r="G10" s="35"/>
      <c r="H10" s="35"/>
      <c r="I10" s="85" t="e">
        <f t="shared" si="5"/>
        <v>#DIV/0!</v>
      </c>
      <c r="J10" s="35"/>
      <c r="K10" s="35"/>
      <c r="L10" s="85"/>
      <c r="M10" s="71"/>
      <c r="N10" s="71"/>
      <c r="O10" s="10"/>
      <c r="P10" s="35"/>
      <c r="Q10" s="35"/>
      <c r="R10" s="85" t="e">
        <f t="shared" si="1"/>
        <v>#DIV/0!</v>
      </c>
      <c r="S10" s="35"/>
      <c r="T10" s="35"/>
      <c r="U10" s="85" t="e">
        <f t="shared" si="6"/>
        <v>#DIV/0!</v>
      </c>
      <c r="V10" s="35"/>
      <c r="W10" s="35"/>
      <c r="X10" s="85"/>
      <c r="Y10" s="71"/>
      <c r="Z10" s="71"/>
      <c r="AA10" s="10"/>
      <c r="AB10" s="35"/>
      <c r="AC10" s="35"/>
      <c r="AD10" s="85" t="e">
        <f t="shared" si="2"/>
        <v>#DIV/0!</v>
      </c>
      <c r="AE10" s="35"/>
      <c r="AF10" s="35"/>
      <c r="AG10" s="85" t="e">
        <f t="shared" si="3"/>
        <v>#DIV/0!</v>
      </c>
      <c r="AH10" s="35"/>
      <c r="AI10" s="35"/>
      <c r="AJ10" s="10"/>
      <c r="AK10" s="71"/>
      <c r="AL10" s="71"/>
      <c r="AM10" s="10"/>
      <c r="AN10" s="35"/>
      <c r="AO10" s="35"/>
      <c r="AP10" s="35"/>
      <c r="AQ10" s="35"/>
      <c r="AR10" s="35"/>
      <c r="AS10" s="35"/>
      <c r="AT10" s="58"/>
      <c r="AU10" s="58"/>
      <c r="AV10" s="85"/>
      <c r="AW10" s="58"/>
      <c r="AX10" s="16"/>
      <c r="AY10" s="20">
        <f t="shared" si="7"/>
        <v>0</v>
      </c>
      <c r="AZ10" s="20">
        <f t="shared" si="8"/>
        <v>0</v>
      </c>
      <c r="BA10" s="39">
        <f t="shared" si="9"/>
        <v>0</v>
      </c>
    </row>
    <row r="11" spans="1:53" ht="34.5" customHeight="1">
      <c r="A11" s="12" t="s">
        <v>8</v>
      </c>
      <c r="B11" s="57" t="s">
        <v>50</v>
      </c>
      <c r="C11" s="13">
        <v>1.6</v>
      </c>
      <c r="D11" s="35">
        <v>1.1</v>
      </c>
      <c r="E11" s="35">
        <v>0</v>
      </c>
      <c r="F11" s="10">
        <f t="shared" si="10"/>
        <v>0</v>
      </c>
      <c r="G11" s="35">
        <v>1.5</v>
      </c>
      <c r="H11" s="35">
        <v>1.9</v>
      </c>
      <c r="I11" s="10">
        <f t="shared" si="5"/>
        <v>126.66666666666666</v>
      </c>
      <c r="J11" s="35">
        <v>0.8</v>
      </c>
      <c r="K11" s="35">
        <v>0.7</v>
      </c>
      <c r="L11" s="10">
        <f>K11/J11*100</f>
        <v>87.49999999999999</v>
      </c>
      <c r="M11" s="71">
        <f>D11+G11+J11</f>
        <v>3.4000000000000004</v>
      </c>
      <c r="N11" s="71">
        <f>E11+H11+K11</f>
        <v>2.5999999999999996</v>
      </c>
      <c r="O11" s="10">
        <f>N11/M11*100</f>
        <v>76.4705882352941</v>
      </c>
      <c r="P11" s="35">
        <v>2.2</v>
      </c>
      <c r="Q11" s="35">
        <v>2.1</v>
      </c>
      <c r="R11" s="10">
        <f t="shared" si="1"/>
        <v>95.45454545454545</v>
      </c>
      <c r="S11" s="35">
        <v>1.8</v>
      </c>
      <c r="T11" s="35">
        <v>1.4</v>
      </c>
      <c r="U11" s="10">
        <f t="shared" si="6"/>
        <v>77.77777777777777</v>
      </c>
      <c r="V11" s="35">
        <v>2.3</v>
      </c>
      <c r="W11" s="35">
        <v>3.2</v>
      </c>
      <c r="X11" s="10">
        <f>W11/V11*100</f>
        <v>139.13043478260872</v>
      </c>
      <c r="Y11" s="71">
        <f>P11+S11+V11</f>
        <v>6.3</v>
      </c>
      <c r="Z11" s="71">
        <f>Q11+T11+W11</f>
        <v>6.7</v>
      </c>
      <c r="AA11" s="10">
        <f>Z11/Y11*100</f>
        <v>106.34920634920636</v>
      </c>
      <c r="AB11" s="35">
        <v>2.3</v>
      </c>
      <c r="AC11" s="35">
        <v>2.7</v>
      </c>
      <c r="AD11" s="10">
        <f t="shared" si="2"/>
        <v>117.3913043478261</v>
      </c>
      <c r="AE11" s="35">
        <v>2.1</v>
      </c>
      <c r="AF11" s="35">
        <v>2.2</v>
      </c>
      <c r="AG11" s="10">
        <f t="shared" si="3"/>
        <v>104.76190476190477</v>
      </c>
      <c r="AH11" s="35">
        <v>0</v>
      </c>
      <c r="AI11" s="35">
        <v>1.9</v>
      </c>
      <c r="AJ11" s="10" t="e">
        <f>AI11/AH11*100</f>
        <v>#DIV/0!</v>
      </c>
      <c r="AK11" s="71">
        <f>AB11+AE11+AH11</f>
        <v>4.4</v>
      </c>
      <c r="AL11" s="71">
        <f>AC11+AF11+AI11</f>
        <v>6.800000000000001</v>
      </c>
      <c r="AM11" s="10">
        <f>AL11/AK11*100</f>
        <v>154.54545454545453</v>
      </c>
      <c r="AN11" s="35"/>
      <c r="AO11" s="35"/>
      <c r="AP11" s="35"/>
      <c r="AQ11" s="35"/>
      <c r="AR11" s="35"/>
      <c r="AS11" s="35"/>
      <c r="AT11" s="58">
        <f>M11+Y11+AK11+AN11+AP11+AR11</f>
        <v>14.1</v>
      </c>
      <c r="AU11" s="58">
        <f>N11+Z11+AL11+AO11+AQ11+AS11</f>
        <v>16.1</v>
      </c>
      <c r="AV11" s="10">
        <f>AU11/AT11*100</f>
        <v>114.1843971631206</v>
      </c>
      <c r="AW11" s="58">
        <f>AT11-AU11</f>
        <v>-2.0000000000000018</v>
      </c>
      <c r="AX11" s="16">
        <f>C11+AT11-AU11</f>
        <v>-0.40000000000000213</v>
      </c>
      <c r="AY11" s="20">
        <f t="shared" si="7"/>
        <v>14.1</v>
      </c>
      <c r="AZ11" s="20">
        <f t="shared" si="8"/>
        <v>16.099999999999998</v>
      </c>
      <c r="BA11" s="39">
        <f t="shared" si="9"/>
        <v>-0.3999999999999986</v>
      </c>
    </row>
    <row r="12" spans="1:53" ht="34.5" customHeight="1">
      <c r="A12" s="12" t="s">
        <v>9</v>
      </c>
      <c r="B12" s="57" t="s">
        <v>51</v>
      </c>
      <c r="C12" s="13"/>
      <c r="D12" s="35"/>
      <c r="E12" s="35"/>
      <c r="F12" s="85" t="e">
        <f t="shared" si="10"/>
        <v>#DIV/0!</v>
      </c>
      <c r="G12" s="35"/>
      <c r="H12" s="35"/>
      <c r="I12" s="85" t="e">
        <f t="shared" si="5"/>
        <v>#DIV/0!</v>
      </c>
      <c r="J12" s="35"/>
      <c r="K12" s="35"/>
      <c r="L12" s="10"/>
      <c r="M12" s="71"/>
      <c r="N12" s="71"/>
      <c r="O12" s="10"/>
      <c r="P12" s="35"/>
      <c r="Q12" s="35"/>
      <c r="R12" s="85" t="e">
        <f t="shared" si="1"/>
        <v>#DIV/0!</v>
      </c>
      <c r="S12" s="35"/>
      <c r="T12" s="35"/>
      <c r="U12" s="85" t="e">
        <f t="shared" si="6"/>
        <v>#DIV/0!</v>
      </c>
      <c r="V12" s="35"/>
      <c r="W12" s="35"/>
      <c r="X12" s="10"/>
      <c r="Y12" s="71"/>
      <c r="Z12" s="71"/>
      <c r="AA12" s="10"/>
      <c r="AB12" s="35"/>
      <c r="AC12" s="35"/>
      <c r="AD12" s="85" t="e">
        <f t="shared" si="2"/>
        <v>#DIV/0!</v>
      </c>
      <c r="AE12" s="35"/>
      <c r="AF12" s="35"/>
      <c r="AG12" s="85" t="e">
        <f t="shared" si="3"/>
        <v>#DIV/0!</v>
      </c>
      <c r="AH12" s="35"/>
      <c r="AI12" s="35"/>
      <c r="AJ12" s="10"/>
      <c r="AK12" s="71"/>
      <c r="AL12" s="71"/>
      <c r="AM12" s="10"/>
      <c r="AN12" s="35"/>
      <c r="AO12" s="35"/>
      <c r="AP12" s="35"/>
      <c r="AQ12" s="35"/>
      <c r="AR12" s="35"/>
      <c r="AS12" s="35"/>
      <c r="AT12" s="58"/>
      <c r="AU12" s="58"/>
      <c r="AV12" s="10"/>
      <c r="AW12" s="58"/>
      <c r="AX12" s="16"/>
      <c r="AY12" s="20">
        <f t="shared" si="7"/>
        <v>0</v>
      </c>
      <c r="AZ12" s="20">
        <f t="shared" si="8"/>
        <v>0</v>
      </c>
      <c r="BA12" s="39">
        <f t="shared" si="9"/>
        <v>0</v>
      </c>
    </row>
    <row r="13" spans="1:53" ht="34.5" customHeight="1">
      <c r="A13" s="12" t="s">
        <v>10</v>
      </c>
      <c r="B13" s="57" t="s">
        <v>52</v>
      </c>
      <c r="C13" s="13"/>
      <c r="D13" s="35"/>
      <c r="E13" s="35"/>
      <c r="F13" s="85" t="e">
        <f t="shared" si="10"/>
        <v>#DIV/0!</v>
      </c>
      <c r="G13" s="35"/>
      <c r="H13" s="35"/>
      <c r="I13" s="85" t="e">
        <f t="shared" si="5"/>
        <v>#DIV/0!</v>
      </c>
      <c r="J13" s="35"/>
      <c r="K13" s="35"/>
      <c r="L13" s="60"/>
      <c r="M13" s="71"/>
      <c r="N13" s="71"/>
      <c r="O13" s="10"/>
      <c r="P13" s="35"/>
      <c r="Q13" s="35"/>
      <c r="R13" s="85" t="e">
        <f t="shared" si="1"/>
        <v>#DIV/0!</v>
      </c>
      <c r="S13" s="35"/>
      <c r="T13" s="35"/>
      <c r="U13" s="85" t="e">
        <f t="shared" si="6"/>
        <v>#DIV/0!</v>
      </c>
      <c r="V13" s="35"/>
      <c r="W13" s="35"/>
      <c r="X13" s="60"/>
      <c r="Y13" s="71"/>
      <c r="Z13" s="71"/>
      <c r="AA13" s="10"/>
      <c r="AB13" s="35"/>
      <c r="AC13" s="35"/>
      <c r="AD13" s="85" t="e">
        <f t="shared" si="2"/>
        <v>#DIV/0!</v>
      </c>
      <c r="AE13" s="35"/>
      <c r="AF13" s="35"/>
      <c r="AG13" s="85" t="e">
        <f t="shared" si="3"/>
        <v>#DIV/0!</v>
      </c>
      <c r="AH13" s="35"/>
      <c r="AI13" s="35"/>
      <c r="AJ13" s="10"/>
      <c r="AK13" s="71"/>
      <c r="AL13" s="71"/>
      <c r="AM13" s="10"/>
      <c r="AN13" s="35"/>
      <c r="AO13" s="35"/>
      <c r="AP13" s="35"/>
      <c r="AQ13" s="35"/>
      <c r="AR13" s="35"/>
      <c r="AS13" s="35"/>
      <c r="AT13" s="58"/>
      <c r="AU13" s="58"/>
      <c r="AV13" s="10"/>
      <c r="AW13" s="58"/>
      <c r="AX13" s="16"/>
      <c r="AY13" s="20">
        <f t="shared" si="7"/>
        <v>0</v>
      </c>
      <c r="AZ13" s="20">
        <f t="shared" si="8"/>
        <v>0</v>
      </c>
      <c r="BA13" s="39">
        <f t="shared" si="9"/>
        <v>0</v>
      </c>
    </row>
    <row r="14" spans="1:53" ht="34.5" customHeight="1">
      <c r="A14" s="12" t="s">
        <v>11</v>
      </c>
      <c r="B14" s="57" t="s">
        <v>88</v>
      </c>
      <c r="C14" s="13">
        <v>-0.4</v>
      </c>
      <c r="D14" s="35">
        <v>0.7</v>
      </c>
      <c r="E14" s="35">
        <v>0.3</v>
      </c>
      <c r="F14" s="10">
        <f t="shared" si="10"/>
        <v>42.85714285714286</v>
      </c>
      <c r="G14" s="35">
        <v>0.6</v>
      </c>
      <c r="H14" s="35">
        <v>0.7</v>
      </c>
      <c r="I14" s="10">
        <f t="shared" si="5"/>
        <v>116.66666666666667</v>
      </c>
      <c r="J14" s="35">
        <v>0.8</v>
      </c>
      <c r="K14" s="35">
        <v>1.2</v>
      </c>
      <c r="L14" s="10">
        <f>K14/J14*100</f>
        <v>149.99999999999997</v>
      </c>
      <c r="M14" s="71">
        <f>D14+G14+J14</f>
        <v>2.0999999999999996</v>
      </c>
      <c r="N14" s="71">
        <f>E14+H14+K14</f>
        <v>2.2</v>
      </c>
      <c r="O14" s="10">
        <f>N14/M14*100</f>
        <v>104.76190476190479</v>
      </c>
      <c r="P14" s="35">
        <v>0.7</v>
      </c>
      <c r="Q14" s="35">
        <v>0.6</v>
      </c>
      <c r="R14" s="10">
        <f t="shared" si="1"/>
        <v>85.71428571428572</v>
      </c>
      <c r="S14" s="35">
        <v>0.8</v>
      </c>
      <c r="T14" s="35">
        <v>0.9</v>
      </c>
      <c r="U14" s="10">
        <f t="shared" si="6"/>
        <v>112.5</v>
      </c>
      <c r="V14" s="35">
        <v>1.1</v>
      </c>
      <c r="W14" s="35">
        <v>0.7</v>
      </c>
      <c r="X14" s="10">
        <f>W14/V14*100</f>
        <v>63.636363636363626</v>
      </c>
      <c r="Y14" s="71">
        <f>P14+S14+V14</f>
        <v>2.6</v>
      </c>
      <c r="Z14" s="71">
        <f>Q14+T14+W14</f>
        <v>2.2</v>
      </c>
      <c r="AA14" s="10">
        <f>Z14/Y14*100</f>
        <v>84.61538461538461</v>
      </c>
      <c r="AB14" s="35">
        <v>0.8</v>
      </c>
      <c r="AC14" s="35">
        <v>1</v>
      </c>
      <c r="AD14" s="10">
        <f t="shared" si="2"/>
        <v>125</v>
      </c>
      <c r="AE14" s="35">
        <v>0.6</v>
      </c>
      <c r="AF14" s="35">
        <v>0.6</v>
      </c>
      <c r="AG14" s="10">
        <f t="shared" si="3"/>
        <v>100</v>
      </c>
      <c r="AH14" s="35">
        <v>0.6</v>
      </c>
      <c r="AI14" s="35">
        <v>0.6</v>
      </c>
      <c r="AJ14" s="10">
        <f>AI14/AH14*100</f>
        <v>100</v>
      </c>
      <c r="AK14" s="71">
        <f>AB14+AE14+AH14</f>
        <v>2</v>
      </c>
      <c r="AL14" s="71">
        <f>AC14+AF14+AI14</f>
        <v>2.2</v>
      </c>
      <c r="AM14" s="10">
        <f>AL14/AK14*100</f>
        <v>110.00000000000001</v>
      </c>
      <c r="AN14" s="35"/>
      <c r="AO14" s="35"/>
      <c r="AP14" s="35"/>
      <c r="AQ14" s="35"/>
      <c r="AR14" s="35"/>
      <c r="AS14" s="35"/>
      <c r="AT14" s="58">
        <f>M14+Y14+AK14+AN14+AP14+AR14</f>
        <v>6.699999999999999</v>
      </c>
      <c r="AU14" s="58">
        <f>N14+Z14+AL14+AO14+AQ14+AS14</f>
        <v>6.6000000000000005</v>
      </c>
      <c r="AV14" s="10">
        <f>AU14/AT14*100</f>
        <v>98.50746268656718</v>
      </c>
      <c r="AW14" s="58">
        <f>AT14-AU14</f>
        <v>0.09999999999999876</v>
      </c>
      <c r="AX14" s="16">
        <f>C14+AT14-AU14</f>
        <v>-0.3000000000000016</v>
      </c>
      <c r="AY14" s="20">
        <f t="shared" si="7"/>
        <v>6.699999999999998</v>
      </c>
      <c r="AZ14" s="20">
        <f t="shared" si="8"/>
        <v>6.6</v>
      </c>
      <c r="BA14" s="39">
        <f t="shared" si="9"/>
        <v>-0.3000000000000016</v>
      </c>
    </row>
    <row r="15" spans="1:53" ht="34.5" customHeight="1">
      <c r="A15" s="12" t="s">
        <v>12</v>
      </c>
      <c r="B15" s="57" t="s">
        <v>53</v>
      </c>
      <c r="C15" s="13">
        <v>-0.6</v>
      </c>
      <c r="D15" s="35">
        <v>46.6</v>
      </c>
      <c r="E15" s="35">
        <v>45.4</v>
      </c>
      <c r="F15" s="10">
        <f t="shared" si="10"/>
        <v>97.42489270386265</v>
      </c>
      <c r="G15" s="35">
        <v>45.8</v>
      </c>
      <c r="H15" s="35">
        <v>45.8</v>
      </c>
      <c r="I15" s="10">
        <f t="shared" si="5"/>
        <v>100</v>
      </c>
      <c r="J15" s="35">
        <v>45.7</v>
      </c>
      <c r="K15" s="35">
        <v>46.6</v>
      </c>
      <c r="L15" s="60">
        <f>K15/J15*100</f>
        <v>101.96936542669583</v>
      </c>
      <c r="M15" s="71">
        <f>D15+G15+J15</f>
        <v>138.10000000000002</v>
      </c>
      <c r="N15" s="71">
        <f>E15+H15+K15</f>
        <v>137.79999999999998</v>
      </c>
      <c r="O15" s="10">
        <f>N15/M15*100</f>
        <v>99.78276611151337</v>
      </c>
      <c r="P15" s="35">
        <v>75.2</v>
      </c>
      <c r="Q15" s="35">
        <v>75.2</v>
      </c>
      <c r="R15" s="10">
        <f t="shared" si="1"/>
        <v>100</v>
      </c>
      <c r="S15" s="35">
        <v>46.3</v>
      </c>
      <c r="T15" s="35">
        <v>46.3</v>
      </c>
      <c r="U15" s="10">
        <f t="shared" si="6"/>
        <v>100</v>
      </c>
      <c r="V15" s="35">
        <v>44.8</v>
      </c>
      <c r="W15" s="35">
        <v>44.8</v>
      </c>
      <c r="X15" s="102">
        <f>W15/V15*100</f>
        <v>100</v>
      </c>
      <c r="Y15" s="71">
        <f>P15+S15+V15</f>
        <v>166.3</v>
      </c>
      <c r="Z15" s="71">
        <f>Q15+T15+W15</f>
        <v>166.3</v>
      </c>
      <c r="AA15" s="10">
        <f>Z15/Y15*100</f>
        <v>100</v>
      </c>
      <c r="AB15" s="35">
        <v>57.8</v>
      </c>
      <c r="AC15" s="35">
        <v>58.1</v>
      </c>
      <c r="AD15" s="10">
        <f t="shared" si="2"/>
        <v>100.51903114186851</v>
      </c>
      <c r="AE15" s="35">
        <v>71.9</v>
      </c>
      <c r="AF15" s="35">
        <v>52.1</v>
      </c>
      <c r="AG15" s="10">
        <f t="shared" si="3"/>
        <v>72.46175243393603</v>
      </c>
      <c r="AH15" s="35">
        <v>35.8</v>
      </c>
      <c r="AI15" s="35">
        <v>55.3</v>
      </c>
      <c r="AJ15" s="10">
        <f>AI15/AH15*100</f>
        <v>154.46927374301674</v>
      </c>
      <c r="AK15" s="71">
        <f>AB15+AE15+AH15</f>
        <v>165.5</v>
      </c>
      <c r="AL15" s="71">
        <f>AC15+AF15+AI15</f>
        <v>165.5</v>
      </c>
      <c r="AM15" s="10">
        <f>AL15/AK15*100</f>
        <v>100</v>
      </c>
      <c r="AN15" s="35"/>
      <c r="AO15" s="35"/>
      <c r="AP15" s="35"/>
      <c r="AQ15" s="35"/>
      <c r="AR15" s="35"/>
      <c r="AS15" s="35"/>
      <c r="AT15" s="58">
        <f>M15+Y15+AK15+AN15+AP15+AR15</f>
        <v>469.90000000000003</v>
      </c>
      <c r="AU15" s="58">
        <f>N15+Z15+AL15+AO15+AQ15+AS15</f>
        <v>469.6</v>
      </c>
      <c r="AV15" s="10">
        <f>AU15/AT15*100</f>
        <v>99.93615662907001</v>
      </c>
      <c r="AW15" s="58">
        <f>AT15-AU15</f>
        <v>0.30000000000001137</v>
      </c>
      <c r="AX15" s="16">
        <f>C15+AT15-AU15</f>
        <v>-0.30000000000001137</v>
      </c>
      <c r="AY15" s="20">
        <f t="shared" si="7"/>
        <v>469.90000000000003</v>
      </c>
      <c r="AZ15" s="20">
        <f t="shared" si="8"/>
        <v>469.6000000000001</v>
      </c>
      <c r="BA15" s="39">
        <f t="shared" si="9"/>
        <v>-0.3000000000000682</v>
      </c>
    </row>
    <row r="16" spans="1:53" ht="34.5" customHeight="1">
      <c r="A16" s="12" t="s">
        <v>13</v>
      </c>
      <c r="B16" s="57" t="s">
        <v>54</v>
      </c>
      <c r="C16" s="72"/>
      <c r="D16" s="35"/>
      <c r="E16" s="35"/>
      <c r="F16" s="85" t="e">
        <f t="shared" si="10"/>
        <v>#DIV/0!</v>
      </c>
      <c r="G16" s="35"/>
      <c r="H16" s="35"/>
      <c r="I16" s="85" t="e">
        <f t="shared" si="5"/>
        <v>#DIV/0!</v>
      </c>
      <c r="J16" s="35"/>
      <c r="K16" s="35"/>
      <c r="L16" s="10"/>
      <c r="M16" s="71"/>
      <c r="N16" s="71"/>
      <c r="O16" s="10"/>
      <c r="P16" s="35"/>
      <c r="Q16" s="35"/>
      <c r="R16" s="85" t="e">
        <f t="shared" si="1"/>
        <v>#DIV/0!</v>
      </c>
      <c r="S16" s="35"/>
      <c r="T16" s="35"/>
      <c r="U16" s="85" t="e">
        <f t="shared" si="6"/>
        <v>#DIV/0!</v>
      </c>
      <c r="V16" s="35"/>
      <c r="W16" s="35"/>
      <c r="X16" s="10"/>
      <c r="Y16" s="71"/>
      <c r="Z16" s="71"/>
      <c r="AA16" s="10"/>
      <c r="AB16" s="35"/>
      <c r="AC16" s="35"/>
      <c r="AD16" s="85" t="e">
        <f t="shared" si="2"/>
        <v>#DIV/0!</v>
      </c>
      <c r="AE16" s="35"/>
      <c r="AF16" s="35"/>
      <c r="AG16" s="85" t="e">
        <f t="shared" si="3"/>
        <v>#DIV/0!</v>
      </c>
      <c r="AH16" s="35"/>
      <c r="AI16" s="35"/>
      <c r="AJ16" s="10"/>
      <c r="AK16" s="71"/>
      <c r="AL16" s="71"/>
      <c r="AM16" s="10"/>
      <c r="AN16" s="35"/>
      <c r="AO16" s="35"/>
      <c r="AP16" s="35"/>
      <c r="AQ16" s="35"/>
      <c r="AR16" s="35"/>
      <c r="AS16" s="35"/>
      <c r="AT16" s="58"/>
      <c r="AU16" s="58"/>
      <c r="AV16" s="10"/>
      <c r="AW16" s="58"/>
      <c r="AX16" s="16"/>
      <c r="AY16" s="20">
        <f t="shared" si="7"/>
        <v>0</v>
      </c>
      <c r="AZ16" s="20">
        <f t="shared" si="8"/>
        <v>0</v>
      </c>
      <c r="BA16" s="39">
        <f t="shared" si="9"/>
        <v>0</v>
      </c>
    </row>
    <row r="17" spans="1:53" ht="34.5" customHeight="1">
      <c r="A17" s="12" t="s">
        <v>14</v>
      </c>
      <c r="B17" s="61" t="s">
        <v>89</v>
      </c>
      <c r="C17" s="72"/>
      <c r="D17" s="35"/>
      <c r="E17" s="35"/>
      <c r="F17" s="85" t="e">
        <f t="shared" si="10"/>
        <v>#DIV/0!</v>
      </c>
      <c r="G17" s="35"/>
      <c r="H17" s="35"/>
      <c r="I17" s="85" t="e">
        <f t="shared" si="5"/>
        <v>#DIV/0!</v>
      </c>
      <c r="J17" s="35"/>
      <c r="K17" s="35"/>
      <c r="L17" s="87"/>
      <c r="M17" s="71"/>
      <c r="N17" s="71"/>
      <c r="O17" s="10"/>
      <c r="P17" s="35"/>
      <c r="Q17" s="35"/>
      <c r="R17" s="85" t="e">
        <f t="shared" si="1"/>
        <v>#DIV/0!</v>
      </c>
      <c r="S17" s="35"/>
      <c r="T17" s="35"/>
      <c r="U17" s="85" t="e">
        <f t="shared" si="6"/>
        <v>#DIV/0!</v>
      </c>
      <c r="V17" s="35"/>
      <c r="W17" s="35"/>
      <c r="X17" s="87"/>
      <c r="Y17" s="71"/>
      <c r="Z17" s="71"/>
      <c r="AA17" s="10"/>
      <c r="AB17" s="35"/>
      <c r="AC17" s="35"/>
      <c r="AD17" s="85" t="e">
        <f t="shared" si="2"/>
        <v>#DIV/0!</v>
      </c>
      <c r="AE17" s="35"/>
      <c r="AF17" s="35"/>
      <c r="AG17" s="85" t="e">
        <f t="shared" si="3"/>
        <v>#DIV/0!</v>
      </c>
      <c r="AH17" s="35"/>
      <c r="AI17" s="35"/>
      <c r="AJ17" s="10"/>
      <c r="AK17" s="71"/>
      <c r="AL17" s="71"/>
      <c r="AM17" s="10"/>
      <c r="AN17" s="35"/>
      <c r="AO17" s="35"/>
      <c r="AP17" s="35"/>
      <c r="AQ17" s="35"/>
      <c r="AR17" s="35"/>
      <c r="AS17" s="35"/>
      <c r="AT17" s="58"/>
      <c r="AU17" s="58"/>
      <c r="AV17" s="87"/>
      <c r="AW17" s="58"/>
      <c r="AX17" s="16"/>
      <c r="AY17" s="20">
        <f t="shared" si="7"/>
        <v>0</v>
      </c>
      <c r="AZ17" s="20">
        <f t="shared" si="8"/>
        <v>0</v>
      </c>
      <c r="BA17" s="39">
        <f t="shared" si="9"/>
        <v>0</v>
      </c>
    </row>
    <row r="18" spans="1:53" ht="34.5" customHeight="1">
      <c r="A18" s="12" t="s">
        <v>15</v>
      </c>
      <c r="B18" s="61" t="s">
        <v>55</v>
      </c>
      <c r="C18" s="13"/>
      <c r="D18" s="35"/>
      <c r="E18" s="35"/>
      <c r="F18" s="85" t="e">
        <f t="shared" si="10"/>
        <v>#DIV/0!</v>
      </c>
      <c r="G18" s="35"/>
      <c r="H18" s="35"/>
      <c r="I18" s="85" t="e">
        <f t="shared" si="5"/>
        <v>#DIV/0!</v>
      </c>
      <c r="J18" s="35"/>
      <c r="K18" s="35"/>
      <c r="L18" s="87"/>
      <c r="M18" s="71"/>
      <c r="N18" s="71"/>
      <c r="O18" s="10"/>
      <c r="P18" s="35"/>
      <c r="Q18" s="35"/>
      <c r="R18" s="85" t="e">
        <f t="shared" si="1"/>
        <v>#DIV/0!</v>
      </c>
      <c r="S18" s="35"/>
      <c r="T18" s="35"/>
      <c r="U18" s="85" t="e">
        <f t="shared" si="6"/>
        <v>#DIV/0!</v>
      </c>
      <c r="V18" s="35"/>
      <c r="W18" s="35"/>
      <c r="X18" s="87"/>
      <c r="Y18" s="71"/>
      <c r="Z18" s="71"/>
      <c r="AA18" s="10"/>
      <c r="AB18" s="35"/>
      <c r="AC18" s="35"/>
      <c r="AD18" s="85" t="e">
        <f t="shared" si="2"/>
        <v>#DIV/0!</v>
      </c>
      <c r="AE18" s="35"/>
      <c r="AF18" s="35"/>
      <c r="AG18" s="85" t="e">
        <f t="shared" si="3"/>
        <v>#DIV/0!</v>
      </c>
      <c r="AH18" s="35"/>
      <c r="AI18" s="35"/>
      <c r="AJ18" s="10"/>
      <c r="AK18" s="71"/>
      <c r="AL18" s="71"/>
      <c r="AM18" s="10"/>
      <c r="AN18" s="35"/>
      <c r="AO18" s="35"/>
      <c r="AP18" s="35"/>
      <c r="AQ18" s="35"/>
      <c r="AR18" s="35"/>
      <c r="AS18" s="35"/>
      <c r="AT18" s="58"/>
      <c r="AU18" s="58"/>
      <c r="AV18" s="10"/>
      <c r="AW18" s="58"/>
      <c r="AX18" s="16"/>
      <c r="AY18" s="20">
        <f t="shared" si="7"/>
        <v>0</v>
      </c>
      <c r="AZ18" s="20">
        <f t="shared" si="8"/>
        <v>0</v>
      </c>
      <c r="BA18" s="39">
        <f t="shared" si="9"/>
        <v>0</v>
      </c>
    </row>
    <row r="19" spans="1:53" ht="34.5" customHeight="1">
      <c r="A19" s="12" t="s">
        <v>16</v>
      </c>
      <c r="B19" s="57" t="s">
        <v>56</v>
      </c>
      <c r="C19" s="123"/>
      <c r="D19" s="123"/>
      <c r="E19" s="123"/>
      <c r="F19" s="85" t="e">
        <f t="shared" si="10"/>
        <v>#DIV/0!</v>
      </c>
      <c r="G19" s="123"/>
      <c r="H19" s="123"/>
      <c r="I19" s="85" t="e">
        <f t="shared" si="5"/>
        <v>#DIV/0!</v>
      </c>
      <c r="J19" s="123"/>
      <c r="K19" s="123"/>
      <c r="L19" s="85"/>
      <c r="M19" s="124"/>
      <c r="N19" s="124"/>
      <c r="O19" s="85"/>
      <c r="P19" s="123"/>
      <c r="Q19" s="123"/>
      <c r="R19" s="85" t="e">
        <f t="shared" si="1"/>
        <v>#DIV/0!</v>
      </c>
      <c r="S19" s="123"/>
      <c r="T19" s="123"/>
      <c r="U19" s="85" t="e">
        <f t="shared" si="6"/>
        <v>#DIV/0!</v>
      </c>
      <c r="V19" s="123"/>
      <c r="W19" s="123"/>
      <c r="X19" s="85"/>
      <c r="Y19" s="124"/>
      <c r="Z19" s="124"/>
      <c r="AA19" s="85"/>
      <c r="AB19" s="123"/>
      <c r="AC19" s="123"/>
      <c r="AD19" s="85" t="e">
        <f t="shared" si="2"/>
        <v>#DIV/0!</v>
      </c>
      <c r="AE19" s="123"/>
      <c r="AF19" s="123"/>
      <c r="AG19" s="85" t="e">
        <f t="shared" si="3"/>
        <v>#DIV/0!</v>
      </c>
      <c r="AH19" s="123"/>
      <c r="AI19" s="123"/>
      <c r="AJ19" s="10"/>
      <c r="AK19" s="124"/>
      <c r="AL19" s="124"/>
      <c r="AM19" s="85"/>
      <c r="AN19" s="123"/>
      <c r="AO19" s="123"/>
      <c r="AP19" s="123"/>
      <c r="AQ19" s="123"/>
      <c r="AR19" s="123"/>
      <c r="AS19" s="123"/>
      <c r="AT19" s="124"/>
      <c r="AU19" s="124"/>
      <c r="AV19" s="85"/>
      <c r="AW19" s="124"/>
      <c r="AX19" s="125"/>
      <c r="AY19" s="20">
        <f t="shared" si="7"/>
        <v>0</v>
      </c>
      <c r="AZ19" s="20">
        <f t="shared" si="8"/>
        <v>0</v>
      </c>
      <c r="BA19" s="39">
        <f t="shared" si="9"/>
        <v>0</v>
      </c>
    </row>
    <row r="20" spans="1:53" ht="34.5" customHeight="1">
      <c r="A20" s="12" t="s">
        <v>17</v>
      </c>
      <c r="B20" s="61" t="s">
        <v>57</v>
      </c>
      <c r="C20" s="96"/>
      <c r="D20" s="35"/>
      <c r="E20" s="35"/>
      <c r="F20" s="85" t="e">
        <f t="shared" si="10"/>
        <v>#DIV/0!</v>
      </c>
      <c r="G20" s="35"/>
      <c r="H20" s="35"/>
      <c r="I20" s="85" t="e">
        <f t="shared" si="5"/>
        <v>#DIV/0!</v>
      </c>
      <c r="J20" s="35"/>
      <c r="K20" s="35"/>
      <c r="L20" s="87"/>
      <c r="M20" s="71"/>
      <c r="N20" s="71"/>
      <c r="O20" s="10"/>
      <c r="P20" s="35"/>
      <c r="Q20" s="35"/>
      <c r="R20" s="85" t="e">
        <f t="shared" si="1"/>
        <v>#DIV/0!</v>
      </c>
      <c r="S20" s="35"/>
      <c r="T20" s="35"/>
      <c r="U20" s="85" t="e">
        <f t="shared" si="6"/>
        <v>#DIV/0!</v>
      </c>
      <c r="V20" s="35"/>
      <c r="W20" s="35"/>
      <c r="X20" s="87"/>
      <c r="Y20" s="71"/>
      <c r="Z20" s="71"/>
      <c r="AA20" s="10"/>
      <c r="AB20" s="35"/>
      <c r="AC20" s="35"/>
      <c r="AD20" s="85" t="e">
        <f t="shared" si="2"/>
        <v>#DIV/0!</v>
      </c>
      <c r="AE20" s="35"/>
      <c r="AF20" s="35"/>
      <c r="AG20" s="85" t="e">
        <f t="shared" si="3"/>
        <v>#DIV/0!</v>
      </c>
      <c r="AH20" s="35"/>
      <c r="AI20" s="35"/>
      <c r="AJ20" s="10"/>
      <c r="AK20" s="71"/>
      <c r="AL20" s="71"/>
      <c r="AM20" s="10"/>
      <c r="AN20" s="35"/>
      <c r="AO20" s="35"/>
      <c r="AP20" s="35"/>
      <c r="AQ20" s="35"/>
      <c r="AR20" s="35"/>
      <c r="AS20" s="35"/>
      <c r="AT20" s="58"/>
      <c r="AU20" s="58"/>
      <c r="AV20" s="87"/>
      <c r="AW20" s="58"/>
      <c r="AX20" s="16"/>
      <c r="AY20" s="20">
        <f t="shared" si="7"/>
        <v>0</v>
      </c>
      <c r="AZ20" s="20">
        <f t="shared" si="8"/>
        <v>0</v>
      </c>
      <c r="BA20" s="39">
        <f t="shared" si="9"/>
        <v>0</v>
      </c>
    </row>
    <row r="21" spans="1:53" ht="34.5" customHeight="1">
      <c r="A21" s="12" t="s">
        <v>18</v>
      </c>
      <c r="B21" s="61" t="s">
        <v>58</v>
      </c>
      <c r="C21" s="63"/>
      <c r="D21" s="35"/>
      <c r="E21" s="35"/>
      <c r="F21" s="85" t="e">
        <f t="shared" si="10"/>
        <v>#DIV/0!</v>
      </c>
      <c r="G21" s="35"/>
      <c r="H21" s="35"/>
      <c r="I21" s="85" t="e">
        <f t="shared" si="5"/>
        <v>#DIV/0!</v>
      </c>
      <c r="J21" s="35"/>
      <c r="K21" s="35"/>
      <c r="L21" s="87"/>
      <c r="M21" s="71"/>
      <c r="N21" s="71"/>
      <c r="O21" s="10"/>
      <c r="P21" s="35"/>
      <c r="Q21" s="35"/>
      <c r="R21" s="85" t="e">
        <f t="shared" si="1"/>
        <v>#DIV/0!</v>
      </c>
      <c r="S21" s="35"/>
      <c r="T21" s="35"/>
      <c r="U21" s="85" t="e">
        <f t="shared" si="6"/>
        <v>#DIV/0!</v>
      </c>
      <c r="V21" s="35"/>
      <c r="W21" s="35"/>
      <c r="X21" s="87"/>
      <c r="Y21" s="71"/>
      <c r="Z21" s="71"/>
      <c r="AA21" s="10"/>
      <c r="AB21" s="35"/>
      <c r="AC21" s="35"/>
      <c r="AD21" s="85" t="e">
        <f t="shared" si="2"/>
        <v>#DIV/0!</v>
      </c>
      <c r="AE21" s="35"/>
      <c r="AF21" s="35"/>
      <c r="AG21" s="85" t="e">
        <f t="shared" si="3"/>
        <v>#DIV/0!</v>
      </c>
      <c r="AH21" s="35"/>
      <c r="AI21" s="35"/>
      <c r="AJ21" s="10"/>
      <c r="AK21" s="71"/>
      <c r="AL21" s="71"/>
      <c r="AM21" s="10"/>
      <c r="AN21" s="35"/>
      <c r="AO21" s="35"/>
      <c r="AP21" s="35"/>
      <c r="AQ21" s="35"/>
      <c r="AR21" s="35"/>
      <c r="AS21" s="35"/>
      <c r="AT21" s="58"/>
      <c r="AU21" s="58"/>
      <c r="AV21" s="10"/>
      <c r="AW21" s="58"/>
      <c r="AX21" s="16"/>
      <c r="AY21" s="20">
        <f t="shared" si="7"/>
        <v>0</v>
      </c>
      <c r="AZ21" s="20">
        <f t="shared" si="8"/>
        <v>0</v>
      </c>
      <c r="BA21" s="39">
        <f t="shared" si="9"/>
        <v>0</v>
      </c>
    </row>
    <row r="22" spans="1:53" ht="34.5" customHeight="1">
      <c r="A22" s="12" t="s">
        <v>19</v>
      </c>
      <c r="B22" s="61" t="s">
        <v>41</v>
      </c>
      <c r="C22" s="97"/>
      <c r="D22" s="35"/>
      <c r="E22" s="123"/>
      <c r="F22" s="85" t="e">
        <f t="shared" si="10"/>
        <v>#DIV/0!</v>
      </c>
      <c r="G22" s="35"/>
      <c r="H22" s="35"/>
      <c r="I22" s="85" t="e">
        <f t="shared" si="5"/>
        <v>#DIV/0!</v>
      </c>
      <c r="J22" s="35"/>
      <c r="K22" s="35"/>
      <c r="L22" s="60"/>
      <c r="M22" s="71"/>
      <c r="N22" s="71"/>
      <c r="O22" s="10"/>
      <c r="P22" s="35"/>
      <c r="Q22" s="35"/>
      <c r="R22" s="85" t="e">
        <f t="shared" si="1"/>
        <v>#DIV/0!</v>
      </c>
      <c r="S22" s="35"/>
      <c r="T22" s="35"/>
      <c r="U22" s="85" t="e">
        <f t="shared" si="6"/>
        <v>#DIV/0!</v>
      </c>
      <c r="V22" s="35"/>
      <c r="W22" s="35"/>
      <c r="X22" s="60"/>
      <c r="Y22" s="71"/>
      <c r="Z22" s="71"/>
      <c r="AA22" s="10"/>
      <c r="AB22" s="35"/>
      <c r="AC22" s="35"/>
      <c r="AD22" s="85" t="e">
        <f t="shared" si="2"/>
        <v>#DIV/0!</v>
      </c>
      <c r="AE22" s="35"/>
      <c r="AF22" s="35"/>
      <c r="AG22" s="85" t="e">
        <f t="shared" si="3"/>
        <v>#DIV/0!</v>
      </c>
      <c r="AH22" s="35"/>
      <c r="AI22" s="35"/>
      <c r="AJ22" s="10"/>
      <c r="AK22" s="71"/>
      <c r="AL22" s="71"/>
      <c r="AM22" s="10"/>
      <c r="AN22" s="35"/>
      <c r="AO22" s="35"/>
      <c r="AP22" s="35"/>
      <c r="AQ22" s="35"/>
      <c r="AR22" s="35"/>
      <c r="AS22" s="35"/>
      <c r="AT22" s="58"/>
      <c r="AU22" s="58"/>
      <c r="AV22" s="10"/>
      <c r="AW22" s="58"/>
      <c r="AX22" s="16"/>
      <c r="AY22" s="20">
        <f t="shared" si="7"/>
        <v>0</v>
      </c>
      <c r="AZ22" s="20">
        <f t="shared" si="8"/>
        <v>0</v>
      </c>
      <c r="BA22" s="39">
        <f t="shared" si="9"/>
        <v>0</v>
      </c>
    </row>
    <row r="23" spans="1:53" ht="34.5" customHeight="1">
      <c r="A23" s="12" t="s">
        <v>20</v>
      </c>
      <c r="B23" s="61" t="s">
        <v>90</v>
      </c>
      <c r="C23" s="13"/>
      <c r="D23" s="35"/>
      <c r="E23" s="35"/>
      <c r="F23" s="85" t="e">
        <f t="shared" si="10"/>
        <v>#DIV/0!</v>
      </c>
      <c r="G23" s="35"/>
      <c r="H23" s="35"/>
      <c r="I23" s="85" t="e">
        <f t="shared" si="5"/>
        <v>#DIV/0!</v>
      </c>
      <c r="J23" s="35"/>
      <c r="K23" s="35"/>
      <c r="L23" s="10"/>
      <c r="M23" s="71"/>
      <c r="N23" s="71"/>
      <c r="O23" s="10"/>
      <c r="P23" s="35"/>
      <c r="Q23" s="35"/>
      <c r="R23" s="85" t="e">
        <f t="shared" si="1"/>
        <v>#DIV/0!</v>
      </c>
      <c r="S23" s="35"/>
      <c r="T23" s="35"/>
      <c r="U23" s="85" t="e">
        <f t="shared" si="6"/>
        <v>#DIV/0!</v>
      </c>
      <c r="V23" s="35"/>
      <c r="W23" s="35"/>
      <c r="X23" s="10"/>
      <c r="Y23" s="71"/>
      <c r="Z23" s="71"/>
      <c r="AA23" s="10"/>
      <c r="AB23" s="35"/>
      <c r="AC23" s="35"/>
      <c r="AD23" s="85" t="e">
        <f t="shared" si="2"/>
        <v>#DIV/0!</v>
      </c>
      <c r="AE23" s="35"/>
      <c r="AF23" s="35"/>
      <c r="AG23" s="85" t="e">
        <f t="shared" si="3"/>
        <v>#DIV/0!</v>
      </c>
      <c r="AH23" s="35"/>
      <c r="AI23" s="35"/>
      <c r="AJ23" s="10"/>
      <c r="AK23" s="71"/>
      <c r="AL23" s="71"/>
      <c r="AM23" s="10"/>
      <c r="AN23" s="35"/>
      <c r="AO23" s="35"/>
      <c r="AP23" s="35"/>
      <c r="AQ23" s="35"/>
      <c r="AR23" s="35"/>
      <c r="AS23" s="35"/>
      <c r="AT23" s="58"/>
      <c r="AU23" s="58"/>
      <c r="AV23" s="10"/>
      <c r="AW23" s="58"/>
      <c r="AX23" s="16"/>
      <c r="AY23" s="20">
        <f t="shared" si="7"/>
        <v>0</v>
      </c>
      <c r="AZ23" s="20">
        <f t="shared" si="8"/>
        <v>0</v>
      </c>
      <c r="BA23" s="39">
        <f t="shared" si="9"/>
        <v>0</v>
      </c>
    </row>
    <row r="24" spans="1:53" ht="34.5" customHeight="1">
      <c r="A24" s="12" t="s">
        <v>21</v>
      </c>
      <c r="B24" s="61" t="s">
        <v>40</v>
      </c>
      <c r="C24" s="13">
        <v>0</v>
      </c>
      <c r="D24" s="35">
        <v>3.2</v>
      </c>
      <c r="E24" s="35">
        <v>0</v>
      </c>
      <c r="F24" s="10">
        <f t="shared" si="10"/>
        <v>0</v>
      </c>
      <c r="G24" s="35">
        <v>23.5</v>
      </c>
      <c r="H24" s="35">
        <v>24.2</v>
      </c>
      <c r="I24" s="10">
        <f t="shared" si="5"/>
        <v>102.9787234042553</v>
      </c>
      <c r="J24" s="35">
        <v>14.6</v>
      </c>
      <c r="K24" s="35">
        <v>17.1</v>
      </c>
      <c r="L24" s="10">
        <f>K24/J24*100</f>
        <v>117.12328767123287</v>
      </c>
      <c r="M24" s="71">
        <f>D24+G24+J24</f>
        <v>41.3</v>
      </c>
      <c r="N24" s="71">
        <f>E24+H24+K24</f>
        <v>41.3</v>
      </c>
      <c r="O24" s="10">
        <f>N24/M24*100</f>
        <v>100</v>
      </c>
      <c r="P24" s="35">
        <v>7.7</v>
      </c>
      <c r="Q24" s="35">
        <v>7.7</v>
      </c>
      <c r="R24" s="10">
        <f t="shared" si="1"/>
        <v>100</v>
      </c>
      <c r="S24" s="35">
        <v>22.7</v>
      </c>
      <c r="T24" s="35">
        <v>16</v>
      </c>
      <c r="U24" s="10">
        <f t="shared" si="6"/>
        <v>70.48458149779736</v>
      </c>
      <c r="V24" s="35">
        <v>20.4</v>
      </c>
      <c r="W24" s="35">
        <v>23.7</v>
      </c>
      <c r="X24" s="10">
        <f>W24/V24*100</f>
        <v>116.1764705882353</v>
      </c>
      <c r="Y24" s="71">
        <f>P24+S24+V24</f>
        <v>50.8</v>
      </c>
      <c r="Z24" s="71">
        <f>Q24+T24+W24</f>
        <v>47.4</v>
      </c>
      <c r="AA24" s="10">
        <f>Z24/Y24*100</f>
        <v>93.30708661417323</v>
      </c>
      <c r="AB24" s="35">
        <v>7.8</v>
      </c>
      <c r="AC24" s="35">
        <v>9.4</v>
      </c>
      <c r="AD24" s="10">
        <f t="shared" si="2"/>
        <v>120.51282051282053</v>
      </c>
      <c r="AE24" s="35">
        <v>7</v>
      </c>
      <c r="AF24" s="35">
        <v>8.8</v>
      </c>
      <c r="AG24" s="10">
        <f t="shared" si="3"/>
        <v>125.71428571428574</v>
      </c>
      <c r="AH24" s="35">
        <v>21.4</v>
      </c>
      <c r="AI24" s="35">
        <v>21.4</v>
      </c>
      <c r="AJ24" s="10">
        <f>AI24/AH24*100</f>
        <v>100</v>
      </c>
      <c r="AK24" s="71">
        <f>AB24+AE24+AH24</f>
        <v>36.2</v>
      </c>
      <c r="AL24" s="71">
        <f>AC24+AF24+AI24</f>
        <v>39.6</v>
      </c>
      <c r="AM24" s="10">
        <f>AL24/AK24*100</f>
        <v>109.39226519337015</v>
      </c>
      <c r="AN24" s="35"/>
      <c r="AO24" s="35"/>
      <c r="AP24" s="35"/>
      <c r="AQ24" s="35"/>
      <c r="AR24" s="35"/>
      <c r="AS24" s="35"/>
      <c r="AT24" s="58">
        <f aca="true" t="shared" si="11" ref="AT24:AU28">M24+Y24+AK24+AN24+AP24+AR24</f>
        <v>128.3</v>
      </c>
      <c r="AU24" s="58">
        <f t="shared" si="11"/>
        <v>128.29999999999998</v>
      </c>
      <c r="AV24" s="10">
        <f>AU24/AT24*100</f>
        <v>99.99999999999997</v>
      </c>
      <c r="AW24" s="58">
        <f>AT24-AU24</f>
        <v>0</v>
      </c>
      <c r="AX24" s="16">
        <f>C24+AT24-AU24</f>
        <v>0</v>
      </c>
      <c r="AY24" s="20">
        <f t="shared" si="7"/>
        <v>128.29999999999998</v>
      </c>
      <c r="AZ24" s="20">
        <f t="shared" si="8"/>
        <v>128.29999999999998</v>
      </c>
      <c r="BA24" s="39">
        <f t="shared" si="9"/>
        <v>0</v>
      </c>
    </row>
    <row r="25" spans="1:53" ht="34.5" customHeight="1">
      <c r="A25" s="12" t="s">
        <v>22</v>
      </c>
      <c r="B25" s="57" t="s">
        <v>43</v>
      </c>
      <c r="C25" s="13"/>
      <c r="D25" s="35"/>
      <c r="E25" s="35"/>
      <c r="F25" s="85" t="e">
        <f t="shared" si="10"/>
        <v>#DIV/0!</v>
      </c>
      <c r="G25" s="35"/>
      <c r="H25" s="35"/>
      <c r="I25" s="85" t="e">
        <f t="shared" si="5"/>
        <v>#DIV/0!</v>
      </c>
      <c r="J25" s="35"/>
      <c r="K25" s="35"/>
      <c r="L25" s="10"/>
      <c r="M25" s="124">
        <f aca="true" t="shared" si="12" ref="M25:M30">D25+G25+J25</f>
        <v>0</v>
      </c>
      <c r="N25" s="124">
        <f aca="true" t="shared" si="13" ref="N25:N30">E25+H25+K25</f>
        <v>0</v>
      </c>
      <c r="O25" s="85" t="e">
        <f aca="true" t="shared" si="14" ref="O25:O30">N25/M25*100</f>
        <v>#DIV/0!</v>
      </c>
      <c r="P25" s="35"/>
      <c r="Q25" s="35"/>
      <c r="R25" s="85" t="e">
        <f t="shared" si="1"/>
        <v>#DIV/0!</v>
      </c>
      <c r="S25" s="35"/>
      <c r="T25" s="35"/>
      <c r="U25" s="85" t="e">
        <f t="shared" si="6"/>
        <v>#DIV/0!</v>
      </c>
      <c r="V25" s="123"/>
      <c r="W25" s="35"/>
      <c r="X25" s="10"/>
      <c r="Y25" s="71"/>
      <c r="Z25" s="71"/>
      <c r="AA25" s="10"/>
      <c r="AB25" s="35"/>
      <c r="AC25" s="35"/>
      <c r="AD25" s="85" t="e">
        <f t="shared" si="2"/>
        <v>#DIV/0!</v>
      </c>
      <c r="AE25" s="35"/>
      <c r="AF25" s="35"/>
      <c r="AG25" s="85" t="e">
        <f t="shared" si="3"/>
        <v>#DIV/0!</v>
      </c>
      <c r="AH25" s="35"/>
      <c r="AI25" s="35"/>
      <c r="AJ25" s="10"/>
      <c r="AK25" s="71"/>
      <c r="AL25" s="71"/>
      <c r="AM25" s="10"/>
      <c r="AN25" s="35"/>
      <c r="AO25" s="35"/>
      <c r="AP25" s="35"/>
      <c r="AQ25" s="35"/>
      <c r="AR25" s="35"/>
      <c r="AS25" s="35"/>
      <c r="AT25" s="124">
        <f t="shared" si="11"/>
        <v>0</v>
      </c>
      <c r="AU25" s="124">
        <f t="shared" si="11"/>
        <v>0</v>
      </c>
      <c r="AV25" s="85" t="e">
        <f>AU25/AT25*100</f>
        <v>#DIV/0!</v>
      </c>
      <c r="AW25" s="124"/>
      <c r="AX25" s="125">
        <f>C25+AT25-AU25</f>
        <v>0</v>
      </c>
      <c r="AY25" s="20">
        <f t="shared" si="7"/>
        <v>0</v>
      </c>
      <c r="AZ25" s="20">
        <f t="shared" si="8"/>
        <v>0</v>
      </c>
      <c r="BA25" s="39">
        <f t="shared" si="9"/>
        <v>0</v>
      </c>
    </row>
    <row r="26" spans="1:53" ht="34.5" customHeight="1">
      <c r="A26" s="12" t="s">
        <v>23</v>
      </c>
      <c r="B26" s="61" t="s">
        <v>91</v>
      </c>
      <c r="C26" s="13"/>
      <c r="D26" s="35"/>
      <c r="E26" s="35"/>
      <c r="F26" s="85" t="e">
        <f t="shared" si="10"/>
        <v>#DIV/0!</v>
      </c>
      <c r="G26" s="123"/>
      <c r="H26" s="123"/>
      <c r="I26" s="85" t="e">
        <f t="shared" si="5"/>
        <v>#DIV/0!</v>
      </c>
      <c r="J26" s="123"/>
      <c r="K26" s="123"/>
      <c r="L26" s="85"/>
      <c r="M26" s="124">
        <f t="shared" si="12"/>
        <v>0</v>
      </c>
      <c r="N26" s="124">
        <f t="shared" si="13"/>
        <v>0</v>
      </c>
      <c r="O26" s="85" t="e">
        <f t="shared" si="14"/>
        <v>#DIV/0!</v>
      </c>
      <c r="P26" s="123"/>
      <c r="Q26" s="123"/>
      <c r="R26" s="85" t="e">
        <f t="shared" si="1"/>
        <v>#DIV/0!</v>
      </c>
      <c r="S26" s="123"/>
      <c r="T26" s="123"/>
      <c r="U26" s="85" t="e">
        <f t="shared" si="6"/>
        <v>#DIV/0!</v>
      </c>
      <c r="V26" s="123"/>
      <c r="W26" s="123"/>
      <c r="X26" s="85"/>
      <c r="Y26" s="124"/>
      <c r="Z26" s="124"/>
      <c r="AA26" s="85"/>
      <c r="AB26" s="123"/>
      <c r="AC26" s="123"/>
      <c r="AD26" s="85" t="e">
        <f t="shared" si="2"/>
        <v>#DIV/0!</v>
      </c>
      <c r="AE26" s="123"/>
      <c r="AF26" s="123"/>
      <c r="AG26" s="85" t="e">
        <f t="shared" si="3"/>
        <v>#DIV/0!</v>
      </c>
      <c r="AH26" s="123"/>
      <c r="AI26" s="123"/>
      <c r="AJ26" s="10"/>
      <c r="AK26" s="124"/>
      <c r="AL26" s="124"/>
      <c r="AM26" s="85"/>
      <c r="AN26" s="123"/>
      <c r="AO26" s="123"/>
      <c r="AP26" s="123"/>
      <c r="AQ26" s="123"/>
      <c r="AR26" s="123"/>
      <c r="AS26" s="123"/>
      <c r="AT26" s="124">
        <f t="shared" si="11"/>
        <v>0</v>
      </c>
      <c r="AU26" s="124">
        <f t="shared" si="11"/>
        <v>0</v>
      </c>
      <c r="AV26" s="85" t="e">
        <f>AU26/AT26*100</f>
        <v>#DIV/0!</v>
      </c>
      <c r="AW26" s="124"/>
      <c r="AX26" s="125">
        <f>C26+AT26-AU26</f>
        <v>0</v>
      </c>
      <c r="AY26" s="20">
        <f t="shared" si="7"/>
        <v>0</v>
      </c>
      <c r="AZ26" s="20">
        <f t="shared" si="8"/>
        <v>0</v>
      </c>
      <c r="BA26" s="39">
        <f t="shared" si="9"/>
        <v>0</v>
      </c>
    </row>
    <row r="27" spans="1:53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10"/>
        <v>#DIV/0!</v>
      </c>
      <c r="G27" s="123"/>
      <c r="H27" s="123"/>
      <c r="I27" s="85" t="e">
        <f t="shared" si="5"/>
        <v>#DIV/0!</v>
      </c>
      <c r="J27" s="123"/>
      <c r="K27" s="123"/>
      <c r="L27" s="85"/>
      <c r="M27" s="124">
        <f t="shared" si="12"/>
        <v>0</v>
      </c>
      <c r="N27" s="124">
        <f t="shared" si="13"/>
        <v>0</v>
      </c>
      <c r="O27" s="85" t="e">
        <f t="shared" si="14"/>
        <v>#DIV/0!</v>
      </c>
      <c r="P27" s="123"/>
      <c r="Q27" s="123"/>
      <c r="R27" s="85" t="e">
        <f t="shared" si="1"/>
        <v>#DIV/0!</v>
      </c>
      <c r="S27" s="123"/>
      <c r="T27" s="123"/>
      <c r="U27" s="85" t="e">
        <f t="shared" si="6"/>
        <v>#DIV/0!</v>
      </c>
      <c r="V27" s="123"/>
      <c r="W27" s="123"/>
      <c r="X27" s="85"/>
      <c r="Y27" s="124"/>
      <c r="Z27" s="124"/>
      <c r="AA27" s="85"/>
      <c r="AB27" s="123"/>
      <c r="AC27" s="123"/>
      <c r="AD27" s="85" t="e">
        <f t="shared" si="2"/>
        <v>#DIV/0!</v>
      </c>
      <c r="AE27" s="123"/>
      <c r="AF27" s="123"/>
      <c r="AG27" s="85" t="e">
        <f t="shared" si="3"/>
        <v>#DIV/0!</v>
      </c>
      <c r="AH27" s="123"/>
      <c r="AI27" s="123"/>
      <c r="AJ27" s="10"/>
      <c r="AK27" s="124"/>
      <c r="AL27" s="124"/>
      <c r="AM27" s="85"/>
      <c r="AN27" s="123"/>
      <c r="AO27" s="123"/>
      <c r="AP27" s="123"/>
      <c r="AQ27" s="123"/>
      <c r="AR27" s="123"/>
      <c r="AS27" s="123"/>
      <c r="AT27" s="124">
        <f t="shared" si="11"/>
        <v>0</v>
      </c>
      <c r="AU27" s="124">
        <f t="shared" si="11"/>
        <v>0</v>
      </c>
      <c r="AV27" s="85" t="e">
        <f>AU27/AT27*100</f>
        <v>#DIV/0!</v>
      </c>
      <c r="AW27" s="124"/>
      <c r="AX27" s="125">
        <f>C27+AT27-AU27</f>
        <v>0</v>
      </c>
      <c r="AY27" s="20">
        <f t="shared" si="7"/>
        <v>0</v>
      </c>
      <c r="AZ27" s="20">
        <f t="shared" si="8"/>
        <v>0</v>
      </c>
      <c r="BA27" s="39">
        <f t="shared" si="9"/>
        <v>0</v>
      </c>
    </row>
    <row r="28" spans="1:53" ht="34.5" customHeight="1">
      <c r="A28" s="12" t="s">
        <v>25</v>
      </c>
      <c r="B28" s="113" t="s">
        <v>92</v>
      </c>
      <c r="C28" s="135"/>
      <c r="D28" s="136"/>
      <c r="E28" s="136"/>
      <c r="F28" s="85" t="e">
        <f t="shared" si="10"/>
        <v>#DIV/0!</v>
      </c>
      <c r="G28" s="136">
        <v>29</v>
      </c>
      <c r="H28" s="136">
        <v>0</v>
      </c>
      <c r="I28" s="10">
        <f t="shared" si="5"/>
        <v>0</v>
      </c>
      <c r="J28" s="136">
        <v>12.8</v>
      </c>
      <c r="K28" s="136">
        <v>41.8</v>
      </c>
      <c r="L28" s="107">
        <f>K28/J28*100</f>
        <v>326.56249999999994</v>
      </c>
      <c r="M28" s="137">
        <f t="shared" si="12"/>
        <v>41.8</v>
      </c>
      <c r="N28" s="137">
        <f t="shared" si="13"/>
        <v>41.8</v>
      </c>
      <c r="O28" s="52">
        <f t="shared" si="14"/>
        <v>100</v>
      </c>
      <c r="P28" s="136">
        <v>16.1</v>
      </c>
      <c r="Q28" s="136">
        <v>16.1</v>
      </c>
      <c r="R28" s="10">
        <f t="shared" si="1"/>
        <v>100</v>
      </c>
      <c r="S28" s="136">
        <v>18.6</v>
      </c>
      <c r="T28" s="136">
        <v>18.6</v>
      </c>
      <c r="U28" s="10">
        <f t="shared" si="6"/>
        <v>100</v>
      </c>
      <c r="V28" s="136">
        <v>20</v>
      </c>
      <c r="W28" s="136">
        <v>20</v>
      </c>
      <c r="X28" s="107">
        <f>W28/V28*100</f>
        <v>100</v>
      </c>
      <c r="Y28" s="137">
        <f>P28+S28+V28</f>
        <v>54.7</v>
      </c>
      <c r="Z28" s="137">
        <f>Q28+T28+W28</f>
        <v>54.7</v>
      </c>
      <c r="AA28" s="107">
        <f>Z28/Y28*100</f>
        <v>100</v>
      </c>
      <c r="AB28" s="136">
        <v>9.8</v>
      </c>
      <c r="AC28" s="136">
        <v>9.8</v>
      </c>
      <c r="AD28" s="10">
        <f t="shared" si="2"/>
        <v>100</v>
      </c>
      <c r="AE28" s="136">
        <v>10.2</v>
      </c>
      <c r="AF28" s="135">
        <v>10.2</v>
      </c>
      <c r="AG28" s="10">
        <f t="shared" si="3"/>
        <v>100</v>
      </c>
      <c r="AH28" s="136">
        <v>17.1</v>
      </c>
      <c r="AI28" s="135">
        <v>17.1</v>
      </c>
      <c r="AJ28" s="10">
        <f>AI28/AH28*100</f>
        <v>100</v>
      </c>
      <c r="AK28" s="137">
        <f>AB28+AE28+AH28</f>
        <v>37.1</v>
      </c>
      <c r="AL28" s="137">
        <f>AC28+AF28+AI28</f>
        <v>37.1</v>
      </c>
      <c r="AM28" s="107">
        <f>AL28/AK28*100</f>
        <v>100</v>
      </c>
      <c r="AN28" s="136"/>
      <c r="AO28" s="135"/>
      <c r="AP28" s="136"/>
      <c r="AQ28" s="135"/>
      <c r="AR28" s="136"/>
      <c r="AS28" s="135"/>
      <c r="AT28" s="137">
        <f t="shared" si="11"/>
        <v>133.6</v>
      </c>
      <c r="AU28" s="137">
        <f t="shared" si="11"/>
        <v>133.6</v>
      </c>
      <c r="AV28" s="107">
        <f>AU28/AT28*100</f>
        <v>100</v>
      </c>
      <c r="AW28" s="137">
        <f>AT28-AU28</f>
        <v>0</v>
      </c>
      <c r="AX28" s="138">
        <f>C28+AT28-AU28</f>
        <v>0</v>
      </c>
      <c r="AY28" s="20">
        <f t="shared" si="7"/>
        <v>133.6</v>
      </c>
      <c r="AZ28" s="20">
        <f t="shared" si="8"/>
        <v>133.6</v>
      </c>
      <c r="BA28" s="39">
        <f t="shared" si="9"/>
        <v>0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10"/>
        <v>#DIV/0!</v>
      </c>
      <c r="G29" s="62"/>
      <c r="H29" s="62"/>
      <c r="I29" s="85" t="e">
        <f t="shared" si="5"/>
        <v>#DIV/0!</v>
      </c>
      <c r="J29" s="62"/>
      <c r="K29" s="62"/>
      <c r="L29" s="62"/>
      <c r="M29" s="124">
        <f t="shared" si="12"/>
        <v>0</v>
      </c>
      <c r="N29" s="124">
        <f t="shared" si="13"/>
        <v>0</v>
      </c>
      <c r="O29" s="85" t="e">
        <f t="shared" si="14"/>
        <v>#DIV/0!</v>
      </c>
      <c r="P29" s="141"/>
      <c r="Q29" s="141"/>
      <c r="R29" s="85" t="e">
        <f t="shared" si="1"/>
        <v>#DIV/0!</v>
      </c>
      <c r="S29" s="62"/>
      <c r="T29" s="62"/>
      <c r="U29" s="85" t="e">
        <f t="shared" si="6"/>
        <v>#DIV/0!</v>
      </c>
      <c r="V29" s="62"/>
      <c r="W29" s="62"/>
      <c r="X29" s="62"/>
      <c r="Y29" s="71"/>
      <c r="Z29" s="71"/>
      <c r="AA29" s="10"/>
      <c r="AB29" s="62"/>
      <c r="AC29" s="62"/>
      <c r="AD29" s="85" t="e">
        <f t="shared" si="2"/>
        <v>#DIV/0!</v>
      </c>
      <c r="AE29" s="53"/>
      <c r="AF29" s="53"/>
      <c r="AG29" s="85" t="e">
        <f t="shared" si="3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7"/>
        <v>0</v>
      </c>
      <c r="AZ29" s="20">
        <f t="shared" si="8"/>
        <v>0</v>
      </c>
      <c r="BA29" s="39">
        <f t="shared" si="9"/>
        <v>0</v>
      </c>
    </row>
    <row r="30" spans="1:53" ht="34.5" customHeight="1">
      <c r="A30" s="12" t="s">
        <v>27</v>
      </c>
      <c r="B30" s="61" t="s">
        <v>39</v>
      </c>
      <c r="C30" s="98"/>
      <c r="D30" s="35"/>
      <c r="E30" s="35"/>
      <c r="F30" s="85" t="e">
        <f t="shared" si="10"/>
        <v>#DIV/0!</v>
      </c>
      <c r="G30" s="35"/>
      <c r="H30" s="35"/>
      <c r="I30" s="85" t="e">
        <f t="shared" si="5"/>
        <v>#DIV/0!</v>
      </c>
      <c r="J30" s="35"/>
      <c r="K30" s="35"/>
      <c r="L30" s="60"/>
      <c r="M30" s="124">
        <f t="shared" si="12"/>
        <v>0</v>
      </c>
      <c r="N30" s="124">
        <f t="shared" si="13"/>
        <v>0</v>
      </c>
      <c r="O30" s="85" t="e">
        <f t="shared" si="14"/>
        <v>#DIV/0!</v>
      </c>
      <c r="P30" s="123"/>
      <c r="Q30" s="123"/>
      <c r="R30" s="85" t="e">
        <f t="shared" si="1"/>
        <v>#DIV/0!</v>
      </c>
      <c r="S30" s="35"/>
      <c r="T30" s="35"/>
      <c r="U30" s="85" t="e">
        <f t="shared" si="6"/>
        <v>#DIV/0!</v>
      </c>
      <c r="V30" s="35"/>
      <c r="W30" s="35"/>
      <c r="X30" s="60"/>
      <c r="Y30" s="71"/>
      <c r="Z30" s="71"/>
      <c r="AA30" s="10"/>
      <c r="AB30" s="35"/>
      <c r="AC30" s="35"/>
      <c r="AD30" s="85" t="e">
        <f t="shared" si="2"/>
        <v>#DIV/0!</v>
      </c>
      <c r="AE30" s="35"/>
      <c r="AF30" s="35"/>
      <c r="AG30" s="85" t="e">
        <f t="shared" si="3"/>
        <v>#DIV/0!</v>
      </c>
      <c r="AH30" s="35"/>
      <c r="AI30" s="35"/>
      <c r="AJ30" s="10"/>
      <c r="AK30" s="71"/>
      <c r="AL30" s="71"/>
      <c r="AM30" s="10"/>
      <c r="AN30" s="35"/>
      <c r="AO30" s="35"/>
      <c r="AP30" s="35"/>
      <c r="AQ30" s="35"/>
      <c r="AR30" s="35"/>
      <c r="AS30" s="35"/>
      <c r="AT30" s="58"/>
      <c r="AU30" s="58"/>
      <c r="AV30" s="10"/>
      <c r="AW30" s="58"/>
      <c r="AX30" s="16"/>
      <c r="AY30" s="20">
        <f t="shared" si="7"/>
        <v>0</v>
      </c>
      <c r="AZ30" s="20">
        <f t="shared" si="8"/>
        <v>0</v>
      </c>
      <c r="BA30" s="39">
        <f t="shared" si="9"/>
        <v>0</v>
      </c>
    </row>
    <row r="31" spans="1:53" ht="34.5" customHeight="1">
      <c r="A31" s="12" t="s">
        <v>28</v>
      </c>
      <c r="B31" s="61" t="s">
        <v>3</v>
      </c>
      <c r="C31" s="13">
        <v>0</v>
      </c>
      <c r="D31" s="35">
        <v>1.3</v>
      </c>
      <c r="E31" s="35">
        <v>0</v>
      </c>
      <c r="F31" s="10">
        <f t="shared" si="10"/>
        <v>0</v>
      </c>
      <c r="G31" s="35">
        <v>10.9</v>
      </c>
      <c r="H31" s="35">
        <v>4.4</v>
      </c>
      <c r="I31" s="10">
        <f>H31/G31*100</f>
        <v>40.36697247706422</v>
      </c>
      <c r="J31" s="35">
        <v>3.8</v>
      </c>
      <c r="K31" s="35">
        <v>4.8</v>
      </c>
      <c r="L31" s="10">
        <f>K31/J31*100</f>
        <v>126.3157894736842</v>
      </c>
      <c r="M31" s="71">
        <f aca="true" t="shared" si="15" ref="M31:N36">D31+G31+J31</f>
        <v>16</v>
      </c>
      <c r="N31" s="71">
        <f t="shared" si="15"/>
        <v>9.2</v>
      </c>
      <c r="O31" s="10">
        <f>N31/M31*100</f>
        <v>57.49999999999999</v>
      </c>
      <c r="P31" s="35">
        <v>4.3</v>
      </c>
      <c r="Q31" s="35">
        <v>11.1</v>
      </c>
      <c r="R31" s="10">
        <f t="shared" si="1"/>
        <v>258.13953488372096</v>
      </c>
      <c r="S31" s="35">
        <v>3.5</v>
      </c>
      <c r="T31" s="35">
        <v>3.5</v>
      </c>
      <c r="U31" s="10">
        <f t="shared" si="6"/>
        <v>100</v>
      </c>
      <c r="V31" s="35">
        <v>1.8</v>
      </c>
      <c r="W31" s="35">
        <v>1.8</v>
      </c>
      <c r="X31" s="10">
        <f>W31/V31*100</f>
        <v>100</v>
      </c>
      <c r="Y31" s="71">
        <f aca="true" t="shared" si="16" ref="Y31:Z36">P31+S31+V31</f>
        <v>9.6</v>
      </c>
      <c r="Z31" s="71">
        <f t="shared" si="16"/>
        <v>16.4</v>
      </c>
      <c r="AA31" s="10">
        <f>Z31/Y31*100</f>
        <v>170.83333333333331</v>
      </c>
      <c r="AB31" s="35">
        <v>0.7</v>
      </c>
      <c r="AC31" s="35">
        <v>0.7</v>
      </c>
      <c r="AD31" s="10">
        <f t="shared" si="2"/>
        <v>100</v>
      </c>
      <c r="AE31" s="35">
        <v>0.4</v>
      </c>
      <c r="AF31" s="35">
        <v>0.4</v>
      </c>
      <c r="AG31" s="10">
        <f t="shared" si="3"/>
        <v>100</v>
      </c>
      <c r="AH31" s="35">
        <v>3.4</v>
      </c>
      <c r="AI31" s="35">
        <v>2.5</v>
      </c>
      <c r="AJ31" s="10">
        <f>AI31/AH31*100</f>
        <v>73.52941176470588</v>
      </c>
      <c r="AK31" s="71">
        <f>AB31+AE31+AH31</f>
        <v>4.5</v>
      </c>
      <c r="AL31" s="71">
        <f>AC31+AF31+AI31</f>
        <v>3.6</v>
      </c>
      <c r="AM31" s="10">
        <f>AL31/AK31*100</f>
        <v>80</v>
      </c>
      <c r="AN31" s="35"/>
      <c r="AO31" s="35"/>
      <c r="AP31" s="35"/>
      <c r="AQ31" s="35"/>
      <c r="AR31" s="35"/>
      <c r="AS31" s="35"/>
      <c r="AT31" s="58">
        <f>M31+Y31+AK31+AN31+AP31+AR31</f>
        <v>30.1</v>
      </c>
      <c r="AU31" s="58">
        <f>N31+Z31+AL31+AO31+AQ31+AS31</f>
        <v>29.2</v>
      </c>
      <c r="AV31" s="10">
        <f>AU31/AT31*100</f>
        <v>97.00996677740864</v>
      </c>
      <c r="AW31" s="58">
        <f>AT31-AU31</f>
        <v>0.9000000000000021</v>
      </c>
      <c r="AX31" s="16">
        <f>C31+AT31-AU31</f>
        <v>0.9000000000000021</v>
      </c>
      <c r="AY31" s="20">
        <f t="shared" si="7"/>
        <v>30.099999999999998</v>
      </c>
      <c r="AZ31" s="20">
        <f t="shared" si="8"/>
        <v>29.199999999999996</v>
      </c>
      <c r="BA31" s="39">
        <f t="shared" si="9"/>
        <v>0.9000000000000021</v>
      </c>
    </row>
    <row r="32" spans="1:53" ht="34.5" customHeight="1">
      <c r="A32" s="12" t="s">
        <v>29</v>
      </c>
      <c r="B32" s="61" t="s">
        <v>93</v>
      </c>
      <c r="C32" s="121">
        <f>SUM(C33:C34)</f>
        <v>-1.3</v>
      </c>
      <c r="D32" s="121">
        <f aca="true" t="shared" si="17" ref="D32:AI32">SUM(D33:D34)</f>
        <v>2.6</v>
      </c>
      <c r="E32" s="121">
        <f t="shared" si="17"/>
        <v>0</v>
      </c>
      <c r="F32" s="121" t="e">
        <f t="shared" si="17"/>
        <v>#DIV/0!</v>
      </c>
      <c r="G32" s="121">
        <f t="shared" si="17"/>
        <v>3.3</v>
      </c>
      <c r="H32" s="121">
        <f t="shared" si="17"/>
        <v>2.6</v>
      </c>
      <c r="I32" s="121">
        <f t="shared" si="17"/>
        <v>78.7878787878788</v>
      </c>
      <c r="J32" s="121">
        <f t="shared" si="17"/>
        <v>3.3</v>
      </c>
      <c r="K32" s="121">
        <f t="shared" si="17"/>
        <v>24.5</v>
      </c>
      <c r="L32" s="121">
        <f t="shared" si="17"/>
        <v>742.4242424242425</v>
      </c>
      <c r="M32" s="121">
        <f t="shared" si="17"/>
        <v>9.2</v>
      </c>
      <c r="N32" s="121">
        <f t="shared" si="17"/>
        <v>27.1</v>
      </c>
      <c r="O32" s="10">
        <f>N32/M32*100</f>
        <v>294.5652173913044</v>
      </c>
      <c r="P32" s="121">
        <f t="shared" si="17"/>
        <v>10.5</v>
      </c>
      <c r="Q32" s="121">
        <f t="shared" si="17"/>
        <v>2.9</v>
      </c>
      <c r="R32" s="121" t="e">
        <f t="shared" si="17"/>
        <v>#DIV/0!</v>
      </c>
      <c r="S32" s="121">
        <f t="shared" si="17"/>
        <v>4.8</v>
      </c>
      <c r="T32" s="121">
        <f t="shared" si="17"/>
        <v>3.7</v>
      </c>
      <c r="U32" s="121" t="e">
        <f t="shared" si="17"/>
        <v>#DIV/0!</v>
      </c>
      <c r="V32" s="121">
        <f t="shared" si="17"/>
        <v>29.7</v>
      </c>
      <c r="W32" s="121">
        <f t="shared" si="17"/>
        <v>18.1</v>
      </c>
      <c r="X32" s="121">
        <f t="shared" si="17"/>
        <v>60.942760942760955</v>
      </c>
      <c r="Y32" s="121">
        <f t="shared" si="17"/>
        <v>45</v>
      </c>
      <c r="Z32" s="121">
        <f t="shared" si="17"/>
        <v>24.700000000000003</v>
      </c>
      <c r="AA32" s="10">
        <f>Z32/Y32*100</f>
        <v>54.8888888888889</v>
      </c>
      <c r="AB32" s="121">
        <f t="shared" si="17"/>
        <v>0</v>
      </c>
      <c r="AC32" s="121">
        <f t="shared" si="17"/>
        <v>3.1</v>
      </c>
      <c r="AD32" s="85" t="e">
        <f t="shared" si="2"/>
        <v>#DIV/0!</v>
      </c>
      <c r="AE32" s="121">
        <f t="shared" si="17"/>
        <v>12.7</v>
      </c>
      <c r="AF32" s="121">
        <f t="shared" si="17"/>
        <v>0</v>
      </c>
      <c r="AG32" s="10">
        <f t="shared" si="3"/>
        <v>0</v>
      </c>
      <c r="AH32" s="121">
        <f t="shared" si="17"/>
        <v>8.5</v>
      </c>
      <c r="AI32" s="121">
        <f t="shared" si="17"/>
        <v>12.6</v>
      </c>
      <c r="AJ32" s="10">
        <f>AI32/AH32*100</f>
        <v>148.23529411764707</v>
      </c>
      <c r="AK32" s="10"/>
      <c r="AL32" s="10"/>
      <c r="AM32" s="10"/>
      <c r="AN32" s="120"/>
      <c r="AO32" s="120"/>
      <c r="AP32" s="120"/>
      <c r="AQ32" s="120"/>
      <c r="AR32" s="120"/>
      <c r="AS32" s="120"/>
      <c r="AT32" s="121">
        <f>SUM(AT33:AT34)</f>
        <v>75.4</v>
      </c>
      <c r="AU32" s="121">
        <f>SUM(AU33:AU34)</f>
        <v>67.5</v>
      </c>
      <c r="AV32" s="10">
        <f>AU32/AT32*100</f>
        <v>89.52254641909813</v>
      </c>
      <c r="AW32" s="60"/>
      <c r="AX32" s="16">
        <f>SUM(AX33:AX34)</f>
        <v>6.6000000000000085</v>
      </c>
      <c r="AY32" s="20">
        <f t="shared" si="7"/>
        <v>75.4</v>
      </c>
      <c r="AZ32" s="20">
        <f t="shared" si="8"/>
        <v>67.5</v>
      </c>
      <c r="BA32" s="39">
        <f t="shared" si="9"/>
        <v>6.6000000000000085</v>
      </c>
    </row>
    <row r="33" spans="1:53" ht="34.5" customHeight="1">
      <c r="A33" s="12"/>
      <c r="B33" s="61" t="s">
        <v>109</v>
      </c>
      <c r="C33" s="63">
        <v>-1.3</v>
      </c>
      <c r="D33" s="35">
        <v>2.6</v>
      </c>
      <c r="E33" s="35">
        <v>0</v>
      </c>
      <c r="F33" s="10">
        <f>E33/D33*100</f>
        <v>0</v>
      </c>
      <c r="G33" s="35">
        <v>3.3</v>
      </c>
      <c r="H33" s="35">
        <v>2.6</v>
      </c>
      <c r="I33" s="10">
        <f>H33/G33*100</f>
        <v>78.7878787878788</v>
      </c>
      <c r="J33" s="35">
        <v>3.3</v>
      </c>
      <c r="K33" s="35">
        <v>24.5</v>
      </c>
      <c r="L33" s="10">
        <f>K33/J33*100</f>
        <v>742.4242424242425</v>
      </c>
      <c r="M33" s="71">
        <f t="shared" si="15"/>
        <v>9.2</v>
      </c>
      <c r="N33" s="71">
        <f t="shared" si="15"/>
        <v>27.1</v>
      </c>
      <c r="O33" s="10">
        <f>N33/M33*100</f>
        <v>294.5652173913044</v>
      </c>
      <c r="P33" s="35">
        <v>10.5</v>
      </c>
      <c r="Q33" s="35">
        <v>2.9</v>
      </c>
      <c r="R33" s="10">
        <f t="shared" si="1"/>
        <v>27.61904761904762</v>
      </c>
      <c r="S33" s="35">
        <v>4.8</v>
      </c>
      <c r="T33" s="35">
        <v>3.7</v>
      </c>
      <c r="U33" s="10">
        <f t="shared" si="6"/>
        <v>77.08333333333334</v>
      </c>
      <c r="V33" s="35">
        <v>29.7</v>
      </c>
      <c r="W33" s="35">
        <v>18.1</v>
      </c>
      <c r="X33" s="10">
        <f>W33/V33*100</f>
        <v>60.942760942760955</v>
      </c>
      <c r="Y33" s="71">
        <f t="shared" si="16"/>
        <v>45</v>
      </c>
      <c r="Z33" s="71">
        <f t="shared" si="16"/>
        <v>24.700000000000003</v>
      </c>
      <c r="AA33" s="10">
        <f>Z33/Y33*100</f>
        <v>54.8888888888889</v>
      </c>
      <c r="AB33" s="35">
        <v>0</v>
      </c>
      <c r="AC33" s="35">
        <v>3.1</v>
      </c>
      <c r="AD33" s="85" t="e">
        <f t="shared" si="2"/>
        <v>#DIV/0!</v>
      </c>
      <c r="AE33" s="35">
        <v>12.7</v>
      </c>
      <c r="AF33" s="35">
        <v>0</v>
      </c>
      <c r="AG33" s="10">
        <f t="shared" si="3"/>
        <v>0</v>
      </c>
      <c r="AH33" s="35">
        <v>8.5</v>
      </c>
      <c r="AI33" s="35">
        <v>12.6</v>
      </c>
      <c r="AJ33" s="10">
        <f>AI33/AH33*100</f>
        <v>148.23529411764707</v>
      </c>
      <c r="AK33" s="71">
        <f>AB33+AE33+AH33</f>
        <v>21.2</v>
      </c>
      <c r="AL33" s="71">
        <f>AC33+AF33+AI33</f>
        <v>15.7</v>
      </c>
      <c r="AM33" s="10">
        <f>AL33/AK33*100</f>
        <v>74.05660377358491</v>
      </c>
      <c r="AN33" s="35"/>
      <c r="AO33" s="35"/>
      <c r="AP33" s="35"/>
      <c r="AQ33" s="35"/>
      <c r="AR33" s="35"/>
      <c r="AS33" s="35"/>
      <c r="AT33" s="58">
        <f>M33+Y33+AK33+AN33+AP33+AR33</f>
        <v>75.4</v>
      </c>
      <c r="AU33" s="58">
        <f>N33+Z33+AL33+AO33+AQ33+AS33</f>
        <v>67.5</v>
      </c>
      <c r="AV33" s="10">
        <f>AU33/AT33*100</f>
        <v>89.52254641909813</v>
      </c>
      <c r="AW33" s="58">
        <f>AT33-AU33</f>
        <v>7.900000000000006</v>
      </c>
      <c r="AX33" s="16">
        <f>C33+AT33-AU33</f>
        <v>6.6000000000000085</v>
      </c>
      <c r="AY33" s="20">
        <f t="shared" si="7"/>
        <v>75.4</v>
      </c>
      <c r="AZ33" s="20">
        <f t="shared" si="8"/>
        <v>67.5</v>
      </c>
      <c r="BA33" s="39">
        <f t="shared" si="9"/>
        <v>6.6000000000000085</v>
      </c>
    </row>
    <row r="34" spans="1:53" ht="34.5" customHeight="1">
      <c r="A34" s="12"/>
      <c r="B34" s="61" t="s">
        <v>94</v>
      </c>
      <c r="C34" s="122">
        <v>0</v>
      </c>
      <c r="D34" s="123">
        <v>0</v>
      </c>
      <c r="E34" s="123">
        <v>0</v>
      </c>
      <c r="F34" s="85" t="e">
        <f>E34/D34*100</f>
        <v>#DIV/0!</v>
      </c>
      <c r="G34" s="123"/>
      <c r="H34" s="123"/>
      <c r="I34" s="85"/>
      <c r="J34" s="123"/>
      <c r="K34" s="123"/>
      <c r="L34" s="85"/>
      <c r="M34" s="124"/>
      <c r="N34" s="124"/>
      <c r="O34" s="85"/>
      <c r="P34" s="123"/>
      <c r="Q34" s="123"/>
      <c r="R34" s="85" t="e">
        <f t="shared" si="1"/>
        <v>#DIV/0!</v>
      </c>
      <c r="S34" s="123"/>
      <c r="T34" s="123"/>
      <c r="U34" s="85" t="e">
        <f t="shared" si="6"/>
        <v>#DIV/0!</v>
      </c>
      <c r="V34" s="123"/>
      <c r="W34" s="123"/>
      <c r="X34" s="85"/>
      <c r="Y34" s="124"/>
      <c r="Z34" s="124"/>
      <c r="AA34" s="85"/>
      <c r="AB34" s="123"/>
      <c r="AC34" s="123"/>
      <c r="AD34" s="85" t="e">
        <f t="shared" si="2"/>
        <v>#DIV/0!</v>
      </c>
      <c r="AE34" s="123"/>
      <c r="AF34" s="123"/>
      <c r="AG34" s="85" t="e">
        <f t="shared" si="3"/>
        <v>#DIV/0!</v>
      </c>
      <c r="AH34" s="123"/>
      <c r="AI34" s="123"/>
      <c r="AJ34" s="10"/>
      <c r="AK34" s="124"/>
      <c r="AL34" s="124"/>
      <c r="AM34" s="85"/>
      <c r="AN34" s="123"/>
      <c r="AO34" s="123"/>
      <c r="AP34" s="123"/>
      <c r="AQ34" s="123"/>
      <c r="AR34" s="123"/>
      <c r="AS34" s="123"/>
      <c r="AT34" s="124"/>
      <c r="AU34" s="124"/>
      <c r="AV34" s="85"/>
      <c r="AW34" s="124"/>
      <c r="AX34" s="125">
        <v>0</v>
      </c>
      <c r="AY34" s="20">
        <f t="shared" si="7"/>
        <v>0</v>
      </c>
      <c r="AZ34" s="20">
        <f t="shared" si="8"/>
        <v>0</v>
      </c>
      <c r="BA34" s="39">
        <f t="shared" si="9"/>
        <v>0</v>
      </c>
    </row>
    <row r="35" spans="1:53" ht="34.5" customHeight="1">
      <c r="A35" s="12" t="s">
        <v>30</v>
      </c>
      <c r="B35" s="61" t="s">
        <v>60</v>
      </c>
      <c r="C35" s="63">
        <v>0.1</v>
      </c>
      <c r="D35" s="34">
        <v>35.8</v>
      </c>
      <c r="E35" s="34">
        <v>35.7</v>
      </c>
      <c r="F35" s="10">
        <f>E35/D35*100</f>
        <v>99.72067039106147</v>
      </c>
      <c r="G35" s="35">
        <v>45.3</v>
      </c>
      <c r="H35" s="35">
        <v>45.3</v>
      </c>
      <c r="I35" s="102">
        <f>H35/G35*100</f>
        <v>100</v>
      </c>
      <c r="J35" s="35">
        <v>35.1</v>
      </c>
      <c r="K35" s="35">
        <v>35.1</v>
      </c>
      <c r="L35" s="10">
        <f>K35/J35*100</f>
        <v>100</v>
      </c>
      <c r="M35" s="71">
        <f t="shared" si="15"/>
        <v>116.19999999999999</v>
      </c>
      <c r="N35" s="71">
        <f t="shared" si="15"/>
        <v>116.1</v>
      </c>
      <c r="O35" s="10">
        <f>N35/M35*100</f>
        <v>99.91394148020655</v>
      </c>
      <c r="P35" s="35">
        <v>32.9</v>
      </c>
      <c r="Q35" s="35">
        <v>33.1</v>
      </c>
      <c r="R35" s="10">
        <f t="shared" si="1"/>
        <v>100.60790273556233</v>
      </c>
      <c r="S35" s="35">
        <v>49.4</v>
      </c>
      <c r="T35" s="35">
        <v>49.2</v>
      </c>
      <c r="U35" s="10">
        <f t="shared" si="6"/>
        <v>99.59514170040487</v>
      </c>
      <c r="V35" s="35">
        <v>38.3</v>
      </c>
      <c r="W35" s="35">
        <v>38.4</v>
      </c>
      <c r="X35" s="10">
        <f>W35/V35*100</f>
        <v>100.26109660574414</v>
      </c>
      <c r="Y35" s="71">
        <f t="shared" si="16"/>
        <v>120.6</v>
      </c>
      <c r="Z35" s="71">
        <f t="shared" si="16"/>
        <v>120.70000000000002</v>
      </c>
      <c r="AA35" s="10">
        <f>Z35/Y35*100</f>
        <v>100.08291873963518</v>
      </c>
      <c r="AB35" s="35">
        <v>12.6</v>
      </c>
      <c r="AC35" s="35">
        <v>12.6</v>
      </c>
      <c r="AD35" s="10">
        <f t="shared" si="2"/>
        <v>100</v>
      </c>
      <c r="AE35" s="35">
        <v>12.9</v>
      </c>
      <c r="AF35" s="35">
        <v>12.9</v>
      </c>
      <c r="AG35" s="10">
        <f t="shared" si="3"/>
        <v>100</v>
      </c>
      <c r="AH35" s="35">
        <v>12.3</v>
      </c>
      <c r="AI35" s="35">
        <v>12.3</v>
      </c>
      <c r="AJ35" s="10">
        <f>AI35/AH35*100</f>
        <v>100</v>
      </c>
      <c r="AK35" s="71">
        <f>AB35+AE35+AH35</f>
        <v>37.8</v>
      </c>
      <c r="AL35" s="71">
        <f>AC35+AF35+AI35</f>
        <v>37.8</v>
      </c>
      <c r="AM35" s="10">
        <f>AL35/AK35*100</f>
        <v>100</v>
      </c>
      <c r="AN35" s="35"/>
      <c r="AO35" s="35"/>
      <c r="AP35" s="35"/>
      <c r="AQ35" s="35"/>
      <c r="AR35" s="35"/>
      <c r="AS35" s="35"/>
      <c r="AT35" s="58">
        <f>M35+Y35+AK35+AN35+AP35+AR35</f>
        <v>274.59999999999997</v>
      </c>
      <c r="AU35" s="58">
        <f>N35+Z35+AL35+AO35+AQ35+AS35</f>
        <v>274.6</v>
      </c>
      <c r="AV35" s="10">
        <f>AU35/AT35*100</f>
        <v>100.00000000000003</v>
      </c>
      <c r="AW35" s="58">
        <f>AT35-AU35</f>
        <v>0</v>
      </c>
      <c r="AX35" s="16">
        <f>C35+AT35-AU35</f>
        <v>0.0999999999999659</v>
      </c>
      <c r="AY35" s="20">
        <f t="shared" si="7"/>
        <v>274.59999999999997</v>
      </c>
      <c r="AZ35" s="20">
        <f t="shared" si="8"/>
        <v>274.6</v>
      </c>
      <c r="BA35" s="39">
        <f t="shared" si="9"/>
        <v>0.0999999999999659</v>
      </c>
    </row>
    <row r="36" spans="1:53" ht="34.5" customHeight="1">
      <c r="A36" s="12" t="s">
        <v>31</v>
      </c>
      <c r="B36" s="114" t="s">
        <v>61</v>
      </c>
      <c r="C36" s="99">
        <v>0</v>
      </c>
      <c r="D36" s="35">
        <v>18.2</v>
      </c>
      <c r="E36" s="35">
        <v>19.4</v>
      </c>
      <c r="F36" s="10">
        <f>E36/D36*100</f>
        <v>106.5934065934066</v>
      </c>
      <c r="G36" s="35">
        <v>18</v>
      </c>
      <c r="H36" s="35">
        <v>17.4</v>
      </c>
      <c r="I36" s="102">
        <f>H36/G36*100</f>
        <v>96.66666666666666</v>
      </c>
      <c r="J36" s="35">
        <v>18.9</v>
      </c>
      <c r="K36" s="35">
        <v>19.4</v>
      </c>
      <c r="L36" s="60">
        <f>K36/J36*100</f>
        <v>102.64550264550265</v>
      </c>
      <c r="M36" s="71">
        <f t="shared" si="15"/>
        <v>55.1</v>
      </c>
      <c r="N36" s="71">
        <f t="shared" si="15"/>
        <v>56.199999999999996</v>
      </c>
      <c r="O36" s="10">
        <f>N36/M36*100</f>
        <v>101.99637023593466</v>
      </c>
      <c r="P36" s="35">
        <v>26.8</v>
      </c>
      <c r="Q36" s="35">
        <v>27.3</v>
      </c>
      <c r="R36" s="10">
        <f t="shared" si="1"/>
        <v>101.86567164179105</v>
      </c>
      <c r="S36" s="35">
        <v>26.1</v>
      </c>
      <c r="T36" s="35">
        <v>27.3</v>
      </c>
      <c r="U36" s="10">
        <f t="shared" si="6"/>
        <v>104.59770114942528</v>
      </c>
      <c r="V36" s="35">
        <v>25.9</v>
      </c>
      <c r="W36" s="35">
        <v>27.3</v>
      </c>
      <c r="X36" s="102">
        <f>W36/V36*100</f>
        <v>105.40540540540542</v>
      </c>
      <c r="Y36" s="71">
        <f t="shared" si="16"/>
        <v>78.80000000000001</v>
      </c>
      <c r="Z36" s="71">
        <f t="shared" si="16"/>
        <v>81.9</v>
      </c>
      <c r="AA36" s="10">
        <f>Z36/Y36*100</f>
        <v>103.93401015228424</v>
      </c>
      <c r="AB36" s="35">
        <v>64.8</v>
      </c>
      <c r="AC36" s="35">
        <v>63.7</v>
      </c>
      <c r="AD36" s="10">
        <f t="shared" si="2"/>
        <v>98.30246913580247</v>
      </c>
      <c r="AE36" s="35">
        <v>49.3</v>
      </c>
      <c r="AF36" s="35">
        <v>50.8</v>
      </c>
      <c r="AG36" s="10">
        <f t="shared" si="3"/>
        <v>103.04259634888437</v>
      </c>
      <c r="AH36" s="35">
        <v>35.8</v>
      </c>
      <c r="AI36" s="35">
        <v>37.5</v>
      </c>
      <c r="AJ36" s="10">
        <f>AI36/AH36*100</f>
        <v>104.74860335195531</v>
      </c>
      <c r="AK36" s="71">
        <f>AB36+AE36+AH36</f>
        <v>149.89999999999998</v>
      </c>
      <c r="AL36" s="71">
        <f>AC36+AF36+AI36</f>
        <v>152</v>
      </c>
      <c r="AM36" s="10">
        <f>AL36/AK36*100</f>
        <v>101.40093395597067</v>
      </c>
      <c r="AN36" s="35"/>
      <c r="AO36" s="35"/>
      <c r="AP36" s="35"/>
      <c r="AQ36" s="35"/>
      <c r="AR36" s="35"/>
      <c r="AS36" s="35"/>
      <c r="AT36" s="58">
        <f>M36+Y36+AK36+AN36+AP36+AR36</f>
        <v>283.79999999999995</v>
      </c>
      <c r="AU36" s="58">
        <f>N36+Z36+AL36+AO36+AQ36+AS36</f>
        <v>290.1</v>
      </c>
      <c r="AV36" s="10">
        <f>AU36/AT36*100</f>
        <v>102.21987315010573</v>
      </c>
      <c r="AW36" s="58">
        <f>AT36-AU36</f>
        <v>-6.300000000000068</v>
      </c>
      <c r="AX36" s="16">
        <f>C36+AT36-AU36</f>
        <v>-6.300000000000068</v>
      </c>
      <c r="AY36" s="20">
        <f t="shared" si="7"/>
        <v>283.8</v>
      </c>
      <c r="AZ36" s="20">
        <f t="shared" si="8"/>
        <v>290.1</v>
      </c>
      <c r="BA36" s="39">
        <f t="shared" si="9"/>
        <v>-6.300000000000011</v>
      </c>
    </row>
    <row r="37" spans="1:53" ht="34.5" customHeight="1">
      <c r="A37" s="12" t="s">
        <v>32</v>
      </c>
      <c r="B37" s="115" t="s">
        <v>62</v>
      </c>
      <c r="C37" s="13"/>
      <c r="D37" s="35"/>
      <c r="E37" s="35"/>
      <c r="F37" s="10"/>
      <c r="G37" s="35"/>
      <c r="H37" s="35"/>
      <c r="I37" s="10"/>
      <c r="J37" s="35"/>
      <c r="K37" s="35"/>
      <c r="L37" s="10"/>
      <c r="M37" s="71"/>
      <c r="N37" s="71"/>
      <c r="O37" s="10"/>
      <c r="P37" s="35"/>
      <c r="Q37" s="35"/>
      <c r="R37" s="85" t="e">
        <f t="shared" si="1"/>
        <v>#DIV/0!</v>
      </c>
      <c r="S37" s="35"/>
      <c r="T37" s="35"/>
      <c r="U37" s="85" t="e">
        <f t="shared" si="6"/>
        <v>#DIV/0!</v>
      </c>
      <c r="V37" s="35"/>
      <c r="W37" s="35"/>
      <c r="X37" s="10"/>
      <c r="Y37" s="71"/>
      <c r="Z37" s="71"/>
      <c r="AA37" s="10"/>
      <c r="AB37" s="35"/>
      <c r="AC37" s="35"/>
      <c r="AD37" s="85" t="e">
        <f t="shared" si="2"/>
        <v>#DIV/0!</v>
      </c>
      <c r="AE37" s="35"/>
      <c r="AF37" s="35"/>
      <c r="AG37" s="85" t="e">
        <f t="shared" si="3"/>
        <v>#DIV/0!</v>
      </c>
      <c r="AH37" s="35"/>
      <c r="AI37" s="35"/>
      <c r="AJ37" s="10"/>
      <c r="AK37" s="71"/>
      <c r="AL37" s="71"/>
      <c r="AM37" s="10"/>
      <c r="AN37" s="35"/>
      <c r="AO37" s="35"/>
      <c r="AP37" s="35"/>
      <c r="AQ37" s="35"/>
      <c r="AR37" s="35"/>
      <c r="AS37" s="35"/>
      <c r="AT37" s="58"/>
      <c r="AU37" s="58"/>
      <c r="AV37" s="10"/>
      <c r="AW37" s="58"/>
      <c r="AX37" s="16"/>
      <c r="AY37" s="20">
        <f t="shared" si="7"/>
        <v>0</v>
      </c>
      <c r="AZ37" s="20">
        <f t="shared" si="8"/>
        <v>0</v>
      </c>
      <c r="BA37" s="39">
        <f t="shared" si="9"/>
        <v>0</v>
      </c>
    </row>
    <row r="38" spans="1:53" ht="34.5" customHeight="1">
      <c r="A38" s="12" t="s">
        <v>33</v>
      </c>
      <c r="B38" s="115" t="s">
        <v>95</v>
      </c>
      <c r="C38" s="13">
        <v>-1.6</v>
      </c>
      <c r="D38" s="35">
        <v>30.7</v>
      </c>
      <c r="E38" s="35">
        <v>19.9</v>
      </c>
      <c r="F38" s="54">
        <f aca="true" t="shared" si="18" ref="F38:F43">E38/D38*100</f>
        <v>64.82084690553745</v>
      </c>
      <c r="G38" s="35">
        <v>40.1</v>
      </c>
      <c r="H38" s="35">
        <v>21.1</v>
      </c>
      <c r="I38" s="10">
        <f>H38/G38*100</f>
        <v>52.618453865336654</v>
      </c>
      <c r="J38" s="35">
        <v>42.9</v>
      </c>
      <c r="K38" s="35">
        <v>45.4</v>
      </c>
      <c r="L38" s="10">
        <f>K38/J38*100</f>
        <v>105.82750582750582</v>
      </c>
      <c r="M38" s="71">
        <f>D38+G38+J38</f>
        <v>113.69999999999999</v>
      </c>
      <c r="N38" s="71">
        <f>E38+H38+K38</f>
        <v>86.4</v>
      </c>
      <c r="O38" s="10">
        <f>N38/M38*100</f>
        <v>75.98944591029026</v>
      </c>
      <c r="P38" s="35">
        <v>47.3</v>
      </c>
      <c r="Q38" s="35">
        <v>43.8</v>
      </c>
      <c r="R38" s="10">
        <f t="shared" si="1"/>
        <v>92.60042283298098</v>
      </c>
      <c r="S38" s="35">
        <v>40.4</v>
      </c>
      <c r="T38" s="35">
        <v>45</v>
      </c>
      <c r="U38" s="10">
        <f t="shared" si="6"/>
        <v>111.38613861386139</v>
      </c>
      <c r="V38" s="35">
        <v>31.6</v>
      </c>
      <c r="W38" s="35">
        <v>33.6</v>
      </c>
      <c r="X38" s="10">
        <f>W38/V38*100</f>
        <v>106.32911392405062</v>
      </c>
      <c r="Y38" s="71">
        <f>P38+S38+V38</f>
        <v>119.29999999999998</v>
      </c>
      <c r="Z38" s="71">
        <f>Q38+T38+W38</f>
        <v>122.4</v>
      </c>
      <c r="AA38" s="10">
        <f>Z38/Y38*100</f>
        <v>102.59849119865888</v>
      </c>
      <c r="AB38" s="35">
        <v>21.7</v>
      </c>
      <c r="AC38" s="35">
        <v>1.3</v>
      </c>
      <c r="AD38" s="10">
        <f t="shared" si="2"/>
        <v>5.990783410138249</v>
      </c>
      <c r="AE38" s="35">
        <v>11.5</v>
      </c>
      <c r="AF38" s="35">
        <v>21.9</v>
      </c>
      <c r="AG38" s="10">
        <f t="shared" si="3"/>
        <v>190.43478260869563</v>
      </c>
      <c r="AH38" s="35">
        <v>53.8</v>
      </c>
      <c r="AI38" s="35">
        <v>48.6</v>
      </c>
      <c r="AJ38" s="10">
        <f>AI38/AH38*100</f>
        <v>90.33457249070632</v>
      </c>
      <c r="AK38" s="71">
        <f>AB38+AE38+AH38</f>
        <v>87</v>
      </c>
      <c r="AL38" s="71">
        <f>AC38+AF38+AI38</f>
        <v>71.8</v>
      </c>
      <c r="AM38" s="10">
        <f>AL38/AK38*100</f>
        <v>82.5287356321839</v>
      </c>
      <c r="AN38" s="35"/>
      <c r="AO38" s="35"/>
      <c r="AP38" s="35"/>
      <c r="AQ38" s="35"/>
      <c r="AR38" s="35"/>
      <c r="AS38" s="35"/>
      <c r="AT38" s="58">
        <f>M38+Y38+AK38+AN38+AP38+AR38</f>
        <v>320</v>
      </c>
      <c r="AU38" s="58">
        <f>N38+Z38+AL38+AO38+AQ38+AS38</f>
        <v>280.6</v>
      </c>
      <c r="AV38" s="10">
        <f>AU38/AT38*100</f>
        <v>87.6875</v>
      </c>
      <c r="AW38" s="58">
        <f>AT38-AU38</f>
        <v>39.39999999999998</v>
      </c>
      <c r="AX38" s="16">
        <f>C38+AT38-AU38</f>
        <v>37.799999999999955</v>
      </c>
      <c r="AY38" s="20">
        <f t="shared" si="7"/>
        <v>319.99999999999994</v>
      </c>
      <c r="AZ38" s="20">
        <f t="shared" si="8"/>
        <v>280.6</v>
      </c>
      <c r="BA38" s="39">
        <f t="shared" si="9"/>
        <v>37.7999999999999</v>
      </c>
    </row>
    <row r="39" spans="1:53" ht="34.5" customHeight="1">
      <c r="A39" s="12" t="s">
        <v>34</v>
      </c>
      <c r="B39" s="115" t="s">
        <v>4</v>
      </c>
      <c r="C39" s="13">
        <v>-1.4</v>
      </c>
      <c r="D39" s="35">
        <v>18.4</v>
      </c>
      <c r="E39" s="35">
        <v>0</v>
      </c>
      <c r="F39" s="10">
        <f t="shared" si="18"/>
        <v>0</v>
      </c>
      <c r="G39" s="35">
        <v>11.2</v>
      </c>
      <c r="H39" s="35">
        <v>18.5</v>
      </c>
      <c r="I39" s="10">
        <f>H39/G39*100</f>
        <v>165.17857142857144</v>
      </c>
      <c r="J39" s="35">
        <v>10</v>
      </c>
      <c r="K39" s="35">
        <v>11.6</v>
      </c>
      <c r="L39" s="10">
        <f>K39/J39*100</f>
        <v>115.99999999999999</v>
      </c>
      <c r="M39" s="71">
        <f>D39+G39+J39</f>
        <v>39.599999999999994</v>
      </c>
      <c r="N39" s="71">
        <f>E39+H39+K39</f>
        <v>30.1</v>
      </c>
      <c r="O39" s="10">
        <f>N39/M39*100</f>
        <v>76.01010101010102</v>
      </c>
      <c r="P39" s="35">
        <v>13.3</v>
      </c>
      <c r="Q39" s="35">
        <v>10.6</v>
      </c>
      <c r="R39" s="10">
        <f t="shared" si="1"/>
        <v>79.69924812030075</v>
      </c>
      <c r="S39" s="35">
        <v>11.3</v>
      </c>
      <c r="T39" s="35">
        <v>12.4</v>
      </c>
      <c r="U39" s="10">
        <f t="shared" si="6"/>
        <v>109.73451327433628</v>
      </c>
      <c r="V39" s="35">
        <v>13.7</v>
      </c>
      <c r="W39" s="35">
        <v>11.4</v>
      </c>
      <c r="X39" s="10">
        <f>W39/V39*100</f>
        <v>83.2116788321168</v>
      </c>
      <c r="Y39" s="71">
        <f>P39+S39+V39</f>
        <v>38.3</v>
      </c>
      <c r="Z39" s="71">
        <f>Q39+T39+W39</f>
        <v>34.4</v>
      </c>
      <c r="AA39" s="10">
        <f>Z39/Y39*100</f>
        <v>89.81723237597912</v>
      </c>
      <c r="AB39" s="35">
        <v>8</v>
      </c>
      <c r="AC39" s="35">
        <v>14.3</v>
      </c>
      <c r="AD39" s="10">
        <f t="shared" si="2"/>
        <v>178.75</v>
      </c>
      <c r="AE39" s="35">
        <v>6.1</v>
      </c>
      <c r="AF39" s="35">
        <v>8</v>
      </c>
      <c r="AG39" s="10">
        <f t="shared" si="3"/>
        <v>131.14754098360658</v>
      </c>
      <c r="AH39" s="35">
        <v>11.7</v>
      </c>
      <c r="AI39" s="35">
        <v>6</v>
      </c>
      <c r="AJ39" s="10">
        <f>AI39/AH39*100</f>
        <v>51.28205128205129</v>
      </c>
      <c r="AK39" s="71">
        <f>AB39+AE39+AH39</f>
        <v>25.799999999999997</v>
      </c>
      <c r="AL39" s="71">
        <f>AC39+AF39+AI39</f>
        <v>28.3</v>
      </c>
      <c r="AM39" s="10">
        <f>AL39/AK39*100</f>
        <v>109.68992248062017</v>
      </c>
      <c r="AN39" s="35"/>
      <c r="AO39" s="35"/>
      <c r="AP39" s="35"/>
      <c r="AQ39" s="35"/>
      <c r="AR39" s="35"/>
      <c r="AS39" s="35"/>
      <c r="AT39" s="58">
        <f>M39+Y39+AK39+AN39+AP39+AR39</f>
        <v>103.69999999999999</v>
      </c>
      <c r="AU39" s="58">
        <f>N39+Z39+AL39+AO39+AQ39+AS39</f>
        <v>92.8</v>
      </c>
      <c r="AV39" s="10">
        <f>AU39/AT39*100</f>
        <v>89.48891031822566</v>
      </c>
      <c r="AW39" s="58">
        <f>AT39-AU39</f>
        <v>10.899999999999991</v>
      </c>
      <c r="AX39" s="16">
        <f>C39+AT39-AU39</f>
        <v>9.499999999999986</v>
      </c>
      <c r="AY39" s="20">
        <f t="shared" si="7"/>
        <v>103.69999999999999</v>
      </c>
      <c r="AZ39" s="20">
        <f t="shared" si="8"/>
        <v>92.8</v>
      </c>
      <c r="BA39" s="39">
        <f t="shared" si="9"/>
        <v>9.499999999999986</v>
      </c>
    </row>
    <row r="40" spans="1:53" ht="34.5" customHeight="1">
      <c r="A40" s="12" t="s">
        <v>35</v>
      </c>
      <c r="B40" s="115" t="s">
        <v>63</v>
      </c>
      <c r="C40" s="13"/>
      <c r="D40" s="35"/>
      <c r="E40" s="35"/>
      <c r="F40" s="10"/>
      <c r="G40" s="35"/>
      <c r="H40" s="35"/>
      <c r="I40" s="10"/>
      <c r="J40" s="35"/>
      <c r="K40" s="35"/>
      <c r="L40" s="10"/>
      <c r="M40" s="71"/>
      <c r="N40" s="71"/>
      <c r="O40" s="10"/>
      <c r="P40" s="35"/>
      <c r="Q40" s="35"/>
      <c r="R40" s="85" t="e">
        <f t="shared" si="1"/>
        <v>#DIV/0!</v>
      </c>
      <c r="S40" s="35"/>
      <c r="T40" s="35"/>
      <c r="U40" s="85" t="e">
        <f t="shared" si="6"/>
        <v>#DIV/0!</v>
      </c>
      <c r="V40" s="35"/>
      <c r="W40" s="35"/>
      <c r="X40" s="10"/>
      <c r="Y40" s="71"/>
      <c r="Z40" s="71"/>
      <c r="AA40" s="10"/>
      <c r="AB40" s="35"/>
      <c r="AC40" s="35"/>
      <c r="AD40" s="85" t="e">
        <f t="shared" si="2"/>
        <v>#DIV/0!</v>
      </c>
      <c r="AE40" s="35"/>
      <c r="AF40" s="35"/>
      <c r="AG40" s="85" t="e">
        <f t="shared" si="3"/>
        <v>#DIV/0!</v>
      </c>
      <c r="AH40" s="35"/>
      <c r="AI40" s="35"/>
      <c r="AJ40" s="10"/>
      <c r="AK40" s="71"/>
      <c r="AL40" s="71"/>
      <c r="AM40" s="10"/>
      <c r="AN40" s="35"/>
      <c r="AO40" s="35"/>
      <c r="AP40" s="35"/>
      <c r="AQ40" s="35"/>
      <c r="AR40" s="35"/>
      <c r="AS40" s="35"/>
      <c r="AT40" s="58"/>
      <c r="AU40" s="58"/>
      <c r="AV40" s="10"/>
      <c r="AW40" s="58"/>
      <c r="AX40" s="16"/>
      <c r="AY40" s="20">
        <f t="shared" si="7"/>
        <v>0</v>
      </c>
      <c r="AZ40" s="20">
        <f t="shared" si="8"/>
        <v>0</v>
      </c>
      <c r="BA40" s="39">
        <f t="shared" si="9"/>
        <v>0</v>
      </c>
    </row>
    <row r="41" spans="1:53" ht="34.5" customHeight="1">
      <c r="A41" s="12" t="s">
        <v>36</v>
      </c>
      <c r="B41" s="59" t="s">
        <v>64</v>
      </c>
      <c r="C41" s="72"/>
      <c r="D41" s="35"/>
      <c r="E41" s="35"/>
      <c r="F41" s="10"/>
      <c r="G41" s="35"/>
      <c r="H41" s="35"/>
      <c r="I41" s="60"/>
      <c r="J41" s="35"/>
      <c r="K41" s="35"/>
      <c r="L41" s="60"/>
      <c r="M41" s="71"/>
      <c r="N41" s="71"/>
      <c r="O41" s="10"/>
      <c r="P41" s="35"/>
      <c r="Q41" s="35"/>
      <c r="R41" s="85" t="e">
        <f t="shared" si="1"/>
        <v>#DIV/0!</v>
      </c>
      <c r="S41" s="35"/>
      <c r="T41" s="35"/>
      <c r="U41" s="85" t="e">
        <f t="shared" si="6"/>
        <v>#DIV/0!</v>
      </c>
      <c r="V41" s="35"/>
      <c r="W41" s="35"/>
      <c r="X41" s="60"/>
      <c r="Y41" s="71"/>
      <c r="Z41" s="71"/>
      <c r="AA41" s="10"/>
      <c r="AB41" s="35"/>
      <c r="AC41" s="35"/>
      <c r="AD41" s="85" t="e">
        <f t="shared" si="2"/>
        <v>#DIV/0!</v>
      </c>
      <c r="AE41" s="35"/>
      <c r="AF41" s="35"/>
      <c r="AG41" s="85" t="e">
        <f t="shared" si="3"/>
        <v>#DIV/0!</v>
      </c>
      <c r="AH41" s="35"/>
      <c r="AI41" s="35"/>
      <c r="AJ41" s="10"/>
      <c r="AK41" s="71"/>
      <c r="AL41" s="71"/>
      <c r="AM41" s="10"/>
      <c r="AN41" s="35"/>
      <c r="AO41" s="35"/>
      <c r="AP41" s="35"/>
      <c r="AQ41" s="35"/>
      <c r="AR41" s="35"/>
      <c r="AS41" s="35"/>
      <c r="AT41" s="58"/>
      <c r="AU41" s="58"/>
      <c r="AV41" s="10"/>
      <c r="AW41" s="58"/>
      <c r="AX41" s="16"/>
      <c r="AY41" s="20">
        <f t="shared" si="7"/>
        <v>0</v>
      </c>
      <c r="AZ41" s="20">
        <f t="shared" si="8"/>
        <v>0</v>
      </c>
      <c r="BA41" s="39">
        <f t="shared" si="9"/>
        <v>0</v>
      </c>
    </row>
    <row r="42" spans="1:53" ht="34.5" customHeight="1">
      <c r="A42" s="12" t="s">
        <v>37</v>
      </c>
      <c r="B42" s="115" t="s">
        <v>48</v>
      </c>
      <c r="C42" s="13"/>
      <c r="D42" s="35"/>
      <c r="E42" s="35"/>
      <c r="F42" s="87"/>
      <c r="G42" s="35"/>
      <c r="H42" s="35"/>
      <c r="I42" s="87"/>
      <c r="J42" s="35"/>
      <c r="K42" s="35"/>
      <c r="L42" s="87"/>
      <c r="M42" s="71"/>
      <c r="N42" s="71"/>
      <c r="O42" s="10"/>
      <c r="P42" s="35"/>
      <c r="Q42" s="35"/>
      <c r="R42" s="85" t="e">
        <f t="shared" si="1"/>
        <v>#DIV/0!</v>
      </c>
      <c r="S42" s="35"/>
      <c r="T42" s="35"/>
      <c r="U42" s="85" t="e">
        <f t="shared" si="6"/>
        <v>#DIV/0!</v>
      </c>
      <c r="V42" s="35"/>
      <c r="W42" s="35"/>
      <c r="X42" s="87"/>
      <c r="Y42" s="71"/>
      <c r="Z42" s="71"/>
      <c r="AA42" s="10"/>
      <c r="AB42" s="35"/>
      <c r="AC42" s="35"/>
      <c r="AD42" s="85" t="e">
        <f t="shared" si="2"/>
        <v>#DIV/0!</v>
      </c>
      <c r="AE42" s="35"/>
      <c r="AF42" s="35"/>
      <c r="AG42" s="85" t="e">
        <f t="shared" si="3"/>
        <v>#DIV/0!</v>
      </c>
      <c r="AH42" s="35"/>
      <c r="AI42" s="35"/>
      <c r="AJ42" s="10"/>
      <c r="AK42" s="71"/>
      <c r="AL42" s="71"/>
      <c r="AM42" s="10"/>
      <c r="AN42" s="35"/>
      <c r="AO42" s="35"/>
      <c r="AP42" s="35"/>
      <c r="AQ42" s="35"/>
      <c r="AR42" s="35"/>
      <c r="AS42" s="35"/>
      <c r="AT42" s="58"/>
      <c r="AU42" s="58"/>
      <c r="AV42" s="10"/>
      <c r="AW42" s="58"/>
      <c r="AX42" s="16"/>
      <c r="AY42" s="20">
        <f t="shared" si="7"/>
        <v>0</v>
      </c>
      <c r="AZ42" s="20">
        <f t="shared" si="8"/>
        <v>0</v>
      </c>
      <c r="BA42" s="39">
        <f t="shared" si="9"/>
        <v>0</v>
      </c>
    </row>
    <row r="43" spans="1:53" s="11" customFormat="1" ht="34.5" customHeight="1">
      <c r="A43" s="12" t="s">
        <v>38</v>
      </c>
      <c r="B43" s="14" t="s">
        <v>66</v>
      </c>
      <c r="C43" s="16">
        <f>SUM(C44:C44)</f>
        <v>-731.3</v>
      </c>
      <c r="D43" s="16">
        <f>SUM(D44:D44)</f>
        <v>1095.1</v>
      </c>
      <c r="E43" s="16">
        <f>SUM(E44:E44)</f>
        <v>227.5</v>
      </c>
      <c r="F43" s="10">
        <f t="shared" si="18"/>
        <v>20.774358506072506</v>
      </c>
      <c r="G43" s="16">
        <f>SUM(G44:G44)</f>
        <v>1270.1</v>
      </c>
      <c r="H43" s="16">
        <f>SUM(H44:H44)</f>
        <v>1034.6</v>
      </c>
      <c r="I43" s="10">
        <f>H43/G43*100</f>
        <v>81.45815290134635</v>
      </c>
      <c r="J43" s="16">
        <f>SUM(J44:J44)</f>
        <v>1175.4</v>
      </c>
      <c r="K43" s="16">
        <f>SUM(K44:K44)</f>
        <v>1472.5</v>
      </c>
      <c r="L43" s="10">
        <f>K43/J43*100</f>
        <v>125.27650161647097</v>
      </c>
      <c r="M43" s="16">
        <f>SUM(M44:M44)</f>
        <v>3540.6</v>
      </c>
      <c r="N43" s="16">
        <f>SUM(N44:N44)</f>
        <v>2734.6</v>
      </c>
      <c r="O43" s="10">
        <f>N43/M43*100</f>
        <v>77.23549680845055</v>
      </c>
      <c r="P43" s="16">
        <f>SUM(P44:P44)</f>
        <v>1290.4</v>
      </c>
      <c r="Q43" s="16">
        <f>SUM(Q44:Q44)</f>
        <v>1068.1</v>
      </c>
      <c r="R43" s="10">
        <f t="shared" si="1"/>
        <v>82.77278363298201</v>
      </c>
      <c r="S43" s="16">
        <f>SUM(S44:S44)</f>
        <v>1466.4</v>
      </c>
      <c r="T43" s="16">
        <f>SUM(T44:T44)</f>
        <v>1361</v>
      </c>
      <c r="U43" s="10">
        <f t="shared" si="6"/>
        <v>92.81232951445718</v>
      </c>
      <c r="V43" s="16">
        <f>SUM(V44:V44)</f>
        <v>1418.5</v>
      </c>
      <c r="W43" s="16">
        <f>SUM(W44:W44)</f>
        <v>1297.6</v>
      </c>
      <c r="X43" s="10">
        <f>W43/V43*100</f>
        <v>91.47691223123017</v>
      </c>
      <c r="Y43" s="16">
        <f>SUM(Y44:Y44)</f>
        <v>4175.3</v>
      </c>
      <c r="Z43" s="16">
        <f>SUM(Z44:Z44)</f>
        <v>3726.7</v>
      </c>
      <c r="AA43" s="10">
        <f>Z43/Y43*100</f>
        <v>89.255861854238</v>
      </c>
      <c r="AB43" s="16">
        <f>SUM(AB44:AB44)</f>
        <v>1373.2</v>
      </c>
      <c r="AC43" s="16">
        <f>SUM(AC44:AC44)</f>
        <v>1410.4</v>
      </c>
      <c r="AD43" s="10">
        <f t="shared" si="2"/>
        <v>102.70900087387125</v>
      </c>
      <c r="AE43" s="16">
        <f>SUM(AE44:AE44)</f>
        <v>1169.7</v>
      </c>
      <c r="AF43" s="16">
        <f>SUM(AF44:AF44)</f>
        <v>1269.6</v>
      </c>
      <c r="AG43" s="10">
        <f t="shared" si="3"/>
        <v>108.54065144908951</v>
      </c>
      <c r="AH43" s="16">
        <f>SUM(AH44:AH44)</f>
        <v>1409.6</v>
      </c>
      <c r="AI43" s="16">
        <f>SUM(AI44:AI44)</f>
        <v>1123.9</v>
      </c>
      <c r="AJ43" s="10">
        <f>AI43/AH43*100</f>
        <v>79.73183881952328</v>
      </c>
      <c r="AK43" s="16">
        <f>SUM(AK44:AK44)</f>
        <v>3952.5</v>
      </c>
      <c r="AL43" s="16">
        <f>SUM(AL44:AL44)</f>
        <v>3803.9</v>
      </c>
      <c r="AM43" s="10">
        <f>AL43/AK43*100</f>
        <v>96.2403542061986</v>
      </c>
      <c r="AN43" s="16">
        <f aca="true" t="shared" si="19" ref="AN43:AS43">SUM(AN44:AN44)</f>
        <v>0</v>
      </c>
      <c r="AO43" s="16">
        <f t="shared" si="19"/>
        <v>0</v>
      </c>
      <c r="AP43" s="16">
        <f t="shared" si="19"/>
        <v>0</v>
      </c>
      <c r="AQ43" s="16">
        <f t="shared" si="19"/>
        <v>0</v>
      </c>
      <c r="AR43" s="16">
        <f t="shared" si="19"/>
        <v>0</v>
      </c>
      <c r="AS43" s="16">
        <f t="shared" si="19"/>
        <v>0</v>
      </c>
      <c r="AT43" s="102">
        <f>AT44</f>
        <v>11668.4</v>
      </c>
      <c r="AU43" s="102">
        <f>AU44</f>
        <v>10265.199999999999</v>
      </c>
      <c r="AV43" s="10">
        <f>AU43/AT43*100</f>
        <v>87.97435809536867</v>
      </c>
      <c r="AW43" s="16">
        <f>SUM(AW44:AW44)</f>
        <v>1403.2000000000007</v>
      </c>
      <c r="AX43" s="16">
        <f>SUM(AX44:AX44)</f>
        <v>671.9000000000015</v>
      </c>
      <c r="AY43" s="20">
        <f t="shared" si="7"/>
        <v>11668.400000000001</v>
      </c>
      <c r="AZ43" s="20">
        <f t="shared" si="8"/>
        <v>10265.199999999999</v>
      </c>
      <c r="BA43" s="39">
        <f t="shared" si="9"/>
        <v>671.9000000000033</v>
      </c>
    </row>
    <row r="44" spans="1:53" s="11" customFormat="1" ht="34.5" customHeight="1">
      <c r="A44" s="8"/>
      <c r="B44" s="38" t="s">
        <v>67</v>
      </c>
      <c r="C44" s="13">
        <v>-731.3</v>
      </c>
      <c r="D44" s="35">
        <v>1095.1</v>
      </c>
      <c r="E44" s="35">
        <v>227.5</v>
      </c>
      <c r="F44" s="10">
        <f>E44/D44*100</f>
        <v>20.774358506072506</v>
      </c>
      <c r="G44" s="35">
        <v>1270.1</v>
      </c>
      <c r="H44" s="35">
        <v>1034.6</v>
      </c>
      <c r="I44" s="10">
        <f>H44/G44*100</f>
        <v>81.45815290134635</v>
      </c>
      <c r="J44" s="35">
        <v>1175.4</v>
      </c>
      <c r="K44" s="35">
        <v>1472.5</v>
      </c>
      <c r="L44" s="10">
        <f>K44/J44*100</f>
        <v>125.27650161647097</v>
      </c>
      <c r="M44" s="71">
        <f>D44+G44+J44</f>
        <v>3540.6</v>
      </c>
      <c r="N44" s="71">
        <f>E44+H44+K44</f>
        <v>2734.6</v>
      </c>
      <c r="O44" s="10">
        <f>N44/M44*100</f>
        <v>77.23549680845055</v>
      </c>
      <c r="P44" s="35">
        <v>1290.4</v>
      </c>
      <c r="Q44" s="35">
        <v>1068.1</v>
      </c>
      <c r="R44" s="10">
        <f t="shared" si="1"/>
        <v>82.77278363298201</v>
      </c>
      <c r="S44" s="35">
        <v>1466.4</v>
      </c>
      <c r="T44" s="35">
        <v>1361</v>
      </c>
      <c r="U44" s="10">
        <f t="shared" si="6"/>
        <v>92.81232951445718</v>
      </c>
      <c r="V44" s="35">
        <v>1418.5</v>
      </c>
      <c r="W44" s="35">
        <v>1297.6</v>
      </c>
      <c r="X44" s="10">
        <f>W44/V44*100</f>
        <v>91.47691223123017</v>
      </c>
      <c r="Y44" s="71">
        <f>P44+S44+V44</f>
        <v>4175.3</v>
      </c>
      <c r="Z44" s="71">
        <f>Q44+T44+W44</f>
        <v>3726.7</v>
      </c>
      <c r="AA44" s="10">
        <f>Z44/Y44*100</f>
        <v>89.255861854238</v>
      </c>
      <c r="AB44" s="35">
        <v>1373.2</v>
      </c>
      <c r="AC44" s="35">
        <v>1410.4</v>
      </c>
      <c r="AD44" s="10">
        <f t="shared" si="2"/>
        <v>102.70900087387125</v>
      </c>
      <c r="AE44" s="35">
        <v>1169.7</v>
      </c>
      <c r="AF44" s="35">
        <v>1269.6</v>
      </c>
      <c r="AG44" s="10">
        <f t="shared" si="3"/>
        <v>108.54065144908951</v>
      </c>
      <c r="AH44" s="35">
        <v>1409.6</v>
      </c>
      <c r="AI44" s="35">
        <v>1123.9</v>
      </c>
      <c r="AJ44" s="10">
        <f>AI44/AH44*100</f>
        <v>79.73183881952328</v>
      </c>
      <c r="AK44" s="71">
        <f>AB44+AE44+AH44</f>
        <v>3952.5</v>
      </c>
      <c r="AL44" s="71">
        <f>AC44+AF44+AI44</f>
        <v>3803.9</v>
      </c>
      <c r="AM44" s="10">
        <f>AL44/AK44*100</f>
        <v>96.2403542061986</v>
      </c>
      <c r="AN44" s="35"/>
      <c r="AO44" s="35"/>
      <c r="AP44" s="35"/>
      <c r="AQ44" s="35"/>
      <c r="AR44" s="35"/>
      <c r="AS44" s="35"/>
      <c r="AT44" s="58">
        <f>M44+Y44+AK44+AN44+AP44+AR44</f>
        <v>11668.4</v>
      </c>
      <c r="AU44" s="58">
        <f>N44+Z44+AL44+AO44+AQ44+AS44</f>
        <v>10265.199999999999</v>
      </c>
      <c r="AV44" s="10">
        <f>AU44/AT44*100</f>
        <v>87.97435809536867</v>
      </c>
      <c r="AW44" s="58">
        <f>AT44-AU44</f>
        <v>1403.2000000000007</v>
      </c>
      <c r="AX44" s="16">
        <f>C44+AT44-AU44</f>
        <v>671.9000000000015</v>
      </c>
      <c r="AY44" s="20">
        <f t="shared" si="7"/>
        <v>11668.400000000001</v>
      </c>
      <c r="AZ44" s="20">
        <f t="shared" si="8"/>
        <v>10265.199999999999</v>
      </c>
      <c r="BA44" s="39">
        <f t="shared" si="9"/>
        <v>671.9000000000033</v>
      </c>
    </row>
    <row r="45" spans="1:53" ht="34.5" customHeight="1">
      <c r="A45" s="12"/>
      <c r="B45" s="14" t="s">
        <v>96</v>
      </c>
      <c r="C45" s="16">
        <f>C43+C7</f>
        <v>-739.5</v>
      </c>
      <c r="D45" s="16">
        <f>D43+D7</f>
        <v>1264.6</v>
      </c>
      <c r="E45" s="16">
        <f>E43+E7</f>
        <v>356.3</v>
      </c>
      <c r="F45" s="10">
        <f>E45/D45*100</f>
        <v>28.174916969792825</v>
      </c>
      <c r="G45" s="16">
        <f>G7+G43</f>
        <v>1521.1999999999998</v>
      </c>
      <c r="H45" s="16">
        <f>H7+H43</f>
        <v>1239.8999999999999</v>
      </c>
      <c r="I45" s="10">
        <f>H45/G45*100</f>
        <v>81.50801998422298</v>
      </c>
      <c r="J45" s="16">
        <f>J7+J43</f>
        <v>1386.3000000000002</v>
      </c>
      <c r="K45" s="16">
        <f>K7+K43</f>
        <v>1742.8</v>
      </c>
      <c r="L45" s="10">
        <f>K45/J45*100</f>
        <v>125.71593450191155</v>
      </c>
      <c r="M45" s="16">
        <f>M7+M43</f>
        <v>4172.1</v>
      </c>
      <c r="N45" s="16">
        <f>N7+N43</f>
        <v>3339</v>
      </c>
      <c r="O45" s="10">
        <f>N45/M45*100</f>
        <v>80.03163874307901</v>
      </c>
      <c r="P45" s="16">
        <f>P7+P43</f>
        <v>1550.5</v>
      </c>
      <c r="Q45" s="16">
        <f>Q7+Q43</f>
        <v>1319.1</v>
      </c>
      <c r="R45" s="10">
        <f t="shared" si="1"/>
        <v>85.07578200580458</v>
      </c>
      <c r="S45" s="16">
        <f>S7+S43</f>
        <v>1714</v>
      </c>
      <c r="T45" s="16">
        <f>T7+T43</f>
        <v>1606.8</v>
      </c>
      <c r="U45" s="10">
        <f t="shared" si="6"/>
        <v>93.74562427071179</v>
      </c>
      <c r="V45" s="16">
        <f>V7+V43</f>
        <v>1657.5</v>
      </c>
      <c r="W45" s="16">
        <f>W7+W43</f>
        <v>1526.3</v>
      </c>
      <c r="X45" s="10">
        <f>W45/V45*100</f>
        <v>92.08446455505279</v>
      </c>
      <c r="Y45" s="16">
        <f>Y7+Y43</f>
        <v>4922</v>
      </c>
      <c r="Z45" s="16">
        <f>Z7+Z43</f>
        <v>4452.2</v>
      </c>
      <c r="AA45" s="10">
        <f>Z45/Y45*100</f>
        <v>90.45509955302722</v>
      </c>
      <c r="AB45" s="16">
        <f>AB7+AB43</f>
        <v>1563.5</v>
      </c>
      <c r="AC45" s="16">
        <f>AC7+AC43</f>
        <v>1594</v>
      </c>
      <c r="AD45" s="10">
        <f t="shared" si="2"/>
        <v>101.95075151902782</v>
      </c>
      <c r="AE45" s="16">
        <f>AE43+AE7</f>
        <v>1357.8</v>
      </c>
      <c r="AF45" s="16">
        <f>AF43+AF7</f>
        <v>1443.1999999999998</v>
      </c>
      <c r="AG45" s="10">
        <f t="shared" si="3"/>
        <v>106.28958609515391</v>
      </c>
      <c r="AH45" s="16">
        <f>AH43+AH7</f>
        <v>1631.6999999999998</v>
      </c>
      <c r="AI45" s="16">
        <f>AI43+AI7</f>
        <v>1360.3000000000002</v>
      </c>
      <c r="AJ45" s="10">
        <f>AI45/AH45*100</f>
        <v>83.36704050989768</v>
      </c>
      <c r="AK45" s="16">
        <f>AK7+AK43</f>
        <v>4553</v>
      </c>
      <c r="AL45" s="16">
        <f>AL7+AL43</f>
        <v>4397.5</v>
      </c>
      <c r="AM45" s="10">
        <f>AL45/AK45*100</f>
        <v>96.58466944871513</v>
      </c>
      <c r="AN45" s="16">
        <f aca="true" t="shared" si="20" ref="AN45:AS45">AN43+AN7</f>
        <v>0</v>
      </c>
      <c r="AO45" s="16">
        <f t="shared" si="20"/>
        <v>0</v>
      </c>
      <c r="AP45" s="16">
        <f t="shared" si="20"/>
        <v>0</v>
      </c>
      <c r="AQ45" s="16">
        <f t="shared" si="20"/>
        <v>0</v>
      </c>
      <c r="AR45" s="16">
        <f t="shared" si="20"/>
        <v>0</v>
      </c>
      <c r="AS45" s="16">
        <f t="shared" si="20"/>
        <v>0</v>
      </c>
      <c r="AT45" s="67">
        <f>AT7+AT43</f>
        <v>13647.099999999999</v>
      </c>
      <c r="AU45" s="67">
        <f>AU7+AU43</f>
        <v>12188.699999999999</v>
      </c>
      <c r="AV45" s="10">
        <f>AU45/AT45*100</f>
        <v>89.31348051967085</v>
      </c>
      <c r="AW45" s="16">
        <f>AW7+AW43</f>
        <v>1458.4000000000005</v>
      </c>
      <c r="AX45" s="16">
        <f>AX7+AX43</f>
        <v>718.9000000000013</v>
      </c>
      <c r="AY45" s="20">
        <f t="shared" si="7"/>
        <v>13647.099999999999</v>
      </c>
      <c r="AZ45" s="20">
        <f t="shared" si="8"/>
        <v>12188.7</v>
      </c>
      <c r="BA45" s="39">
        <f t="shared" si="9"/>
        <v>718.8999999999978</v>
      </c>
    </row>
    <row r="46" spans="1:62" s="111" customFormat="1" ht="70.5" customHeight="1">
      <c r="A46" s="160" t="s">
        <v>101</v>
      </c>
      <c r="B46" s="160"/>
      <c r="C46" s="160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6"/>
      <c r="AU46" s="126"/>
      <c r="AV46" s="127"/>
      <c r="AW46" s="127"/>
      <c r="AX46" s="128" t="s">
        <v>100</v>
      </c>
      <c r="AY46" s="126"/>
      <c r="AZ46" s="126"/>
      <c r="BA46" s="126"/>
      <c r="BB46" s="126"/>
      <c r="BC46" s="126"/>
      <c r="BD46" s="126"/>
      <c r="BE46" s="126"/>
      <c r="BF46" s="126"/>
      <c r="BG46" s="129"/>
      <c r="BH46" s="129"/>
      <c r="BI46" s="129"/>
      <c r="BJ46" s="129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80" t="s">
        <v>75</v>
      </c>
      <c r="AX47" s="181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00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1" s="29" customFormat="1" ht="49.5" customHeight="1">
      <c r="A51" s="26"/>
      <c r="B51" s="173" t="s">
        <v>76</v>
      </c>
      <c r="C51" s="173"/>
      <c r="D51" s="173"/>
      <c r="E51" s="173"/>
      <c r="F51" s="173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  <c r="AY51" s="28"/>
    </row>
    <row r="52" spans="1:50" ht="73.5" customHeight="1" hidden="1">
      <c r="A52" s="172" t="s">
        <v>72</v>
      </c>
      <c r="B52" s="172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2:50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A52:B52"/>
    <mergeCell ref="M5:O5"/>
    <mergeCell ref="V5:X5"/>
    <mergeCell ref="AB5:AD5"/>
    <mergeCell ref="AE5:AG5"/>
    <mergeCell ref="Y5:AA5"/>
    <mergeCell ref="A46:C46"/>
    <mergeCell ref="AW47:AX47"/>
    <mergeCell ref="B51:F51"/>
    <mergeCell ref="D5:F5"/>
    <mergeCell ref="G5:I5"/>
    <mergeCell ref="AT5:AV5"/>
    <mergeCell ref="AN5:AO5"/>
    <mergeCell ref="AK5:AM5"/>
    <mergeCell ref="AP5:AQ5"/>
    <mergeCell ref="A2:AX3"/>
    <mergeCell ref="I1:AX1"/>
    <mergeCell ref="B4:F4"/>
    <mergeCell ref="AW5:AW6"/>
    <mergeCell ref="AX5:AX6"/>
    <mergeCell ref="J5:L5"/>
    <mergeCell ref="P5:R5"/>
    <mergeCell ref="S5:U5"/>
    <mergeCell ref="AR5:AS5"/>
    <mergeCell ref="AH5:AJ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AI4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Z5" sqref="AZ5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3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7539062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3.75390625" style="11" customWidth="1"/>
    <col min="26" max="26" width="12.375" style="11" customWidth="1"/>
    <col min="27" max="27" width="11.125" style="11" customWidth="1"/>
    <col min="28" max="28" width="15.25390625" style="11" customWidth="1"/>
    <col min="29" max="29" width="14.25390625" style="11" customWidth="1"/>
    <col min="30" max="30" width="11.125" style="11" customWidth="1"/>
    <col min="31" max="31" width="14.75390625" style="11" customWidth="1"/>
    <col min="32" max="32" width="12.125" style="11" customWidth="1"/>
    <col min="33" max="33" width="11.00390625" style="11" customWidth="1"/>
    <col min="34" max="34" width="12.25390625" style="11" customWidth="1"/>
    <col min="35" max="36" width="11.00390625" style="11" customWidth="1"/>
    <col min="37" max="37" width="13.75390625" style="11" hidden="1" customWidth="1"/>
    <col min="38" max="38" width="12.375" style="11" hidden="1" customWidth="1"/>
    <col min="39" max="39" width="11.125" style="11" hidden="1" customWidth="1"/>
    <col min="40" max="40" width="13.125" style="11" hidden="1" customWidth="1"/>
    <col min="41" max="41" width="11.875" style="11" hidden="1" customWidth="1"/>
    <col min="42" max="42" width="13.25390625" style="11" hidden="1" customWidth="1"/>
    <col min="43" max="44" width="12.25390625" style="11" hidden="1" customWidth="1"/>
    <col min="45" max="45" width="12.375" style="11" hidden="1" customWidth="1"/>
    <col min="46" max="47" width="14.75390625" style="2" customWidth="1"/>
    <col min="48" max="48" width="11.125" style="11" customWidth="1"/>
    <col min="49" max="49" width="22.00390625" style="2" customWidth="1"/>
    <col min="50" max="50" width="27.375" style="2" customWidth="1"/>
    <col min="51" max="51" width="12.875" style="2" customWidth="1"/>
    <col min="52" max="53" width="14.25390625" style="2" customWidth="1"/>
    <col min="54" max="16384" width="6.75390625" style="2" customWidth="1"/>
  </cols>
  <sheetData>
    <row r="1" spans="9:50" ht="19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1" customFormat="1" ht="60" customHeight="1">
      <c r="A2" s="183" t="s">
        <v>122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</row>
    <row r="3" spans="1:50" s="51" customFormat="1" ht="60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</row>
    <row r="4" spans="2:50" ht="49.5" customHeight="1">
      <c r="B4" s="163"/>
      <c r="C4" s="163"/>
      <c r="D4" s="163"/>
      <c r="E4" s="163"/>
      <c r="F4" s="163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86</v>
      </c>
    </row>
    <row r="5" spans="1:50" ht="58.5" customHeight="1">
      <c r="A5" s="41" t="s">
        <v>46</v>
      </c>
      <c r="B5" s="42"/>
      <c r="C5" s="43" t="s">
        <v>1</v>
      </c>
      <c r="D5" s="169" t="s">
        <v>77</v>
      </c>
      <c r="E5" s="170"/>
      <c r="F5" s="171"/>
      <c r="G5" s="164" t="s">
        <v>105</v>
      </c>
      <c r="H5" s="165"/>
      <c r="I5" s="166"/>
      <c r="J5" s="164" t="s">
        <v>106</v>
      </c>
      <c r="K5" s="165"/>
      <c r="L5" s="166"/>
      <c r="M5" s="164" t="s">
        <v>107</v>
      </c>
      <c r="N5" s="165"/>
      <c r="O5" s="166"/>
      <c r="P5" s="164" t="s">
        <v>108</v>
      </c>
      <c r="Q5" s="165"/>
      <c r="R5" s="166"/>
      <c r="S5" s="176" t="s">
        <v>110</v>
      </c>
      <c r="T5" s="177"/>
      <c r="U5" s="178"/>
      <c r="V5" s="176" t="s">
        <v>111</v>
      </c>
      <c r="W5" s="177"/>
      <c r="X5" s="178"/>
      <c r="Y5" s="164" t="s">
        <v>112</v>
      </c>
      <c r="Z5" s="165"/>
      <c r="AA5" s="166"/>
      <c r="AB5" s="164" t="s">
        <v>113</v>
      </c>
      <c r="AC5" s="165"/>
      <c r="AD5" s="166"/>
      <c r="AE5" s="164" t="s">
        <v>114</v>
      </c>
      <c r="AF5" s="165"/>
      <c r="AG5" s="166"/>
      <c r="AH5" s="164" t="s">
        <v>123</v>
      </c>
      <c r="AI5" s="165"/>
      <c r="AJ5" s="166"/>
      <c r="AK5" s="164" t="s">
        <v>84</v>
      </c>
      <c r="AL5" s="165"/>
      <c r="AM5" s="166"/>
      <c r="AN5" s="164" t="s">
        <v>79</v>
      </c>
      <c r="AO5" s="166"/>
      <c r="AP5" s="164" t="s">
        <v>80</v>
      </c>
      <c r="AQ5" s="166"/>
      <c r="AR5" s="164" t="s">
        <v>81</v>
      </c>
      <c r="AS5" s="166"/>
      <c r="AT5" s="169" t="s">
        <v>103</v>
      </c>
      <c r="AU5" s="170"/>
      <c r="AV5" s="171"/>
      <c r="AW5" s="167" t="s">
        <v>124</v>
      </c>
      <c r="AX5" s="167" t="s">
        <v>125</v>
      </c>
    </row>
    <row r="6" spans="1:50" ht="57.75" customHeight="1">
      <c r="A6" s="44" t="s">
        <v>47</v>
      </c>
      <c r="B6" s="45" t="s">
        <v>97</v>
      </c>
      <c r="C6" s="40" t="s">
        <v>82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85</v>
      </c>
      <c r="AU6" s="45" t="s">
        <v>69</v>
      </c>
      <c r="AV6" s="47" t="s">
        <v>0</v>
      </c>
      <c r="AW6" s="168"/>
      <c r="AX6" s="168"/>
    </row>
    <row r="7" spans="1:53" s="11" customFormat="1" ht="34.5" customHeight="1">
      <c r="A7" s="8"/>
      <c r="B7" s="112" t="s">
        <v>98</v>
      </c>
      <c r="C7" s="54">
        <f>SUM(C8:C42)-C33-C34</f>
        <v>5608.599999999999</v>
      </c>
      <c r="D7" s="54">
        <f aca="true" t="shared" si="0" ref="D7:AI7">SUM(D8:D42)-D33-D34</f>
        <v>4047.399999999999</v>
      </c>
      <c r="E7" s="54">
        <f t="shared" si="0"/>
        <v>3165.2</v>
      </c>
      <c r="F7" s="54" t="e">
        <f t="shared" si="0"/>
        <v>#DIV/0!</v>
      </c>
      <c r="G7" s="54">
        <f t="shared" si="0"/>
        <v>3731.4</v>
      </c>
      <c r="H7" s="54">
        <f t="shared" si="0"/>
        <v>3642.5</v>
      </c>
      <c r="I7" s="54" t="e">
        <f t="shared" si="0"/>
        <v>#DIV/0!</v>
      </c>
      <c r="J7" s="54">
        <f t="shared" si="0"/>
        <v>3720.500000000001</v>
      </c>
      <c r="K7" s="54">
        <f t="shared" si="0"/>
        <v>4780.9</v>
      </c>
      <c r="L7" s="54" t="e">
        <f t="shared" si="0"/>
        <v>#DIV/0!</v>
      </c>
      <c r="M7" s="54">
        <f t="shared" si="0"/>
        <v>11499.3</v>
      </c>
      <c r="N7" s="54">
        <f t="shared" si="0"/>
        <v>11588.6</v>
      </c>
      <c r="O7" s="10">
        <f aca="true" t="shared" si="1" ref="O7:O45">N7/M7*100</f>
        <v>100.77656900854836</v>
      </c>
      <c r="P7" s="54">
        <f t="shared" si="0"/>
        <v>3786.2</v>
      </c>
      <c r="Q7" s="54">
        <f t="shared" si="0"/>
        <v>3244.6999999999994</v>
      </c>
      <c r="R7" s="54" t="e">
        <f t="shared" si="0"/>
        <v>#DIV/0!</v>
      </c>
      <c r="S7" s="54">
        <f t="shared" si="0"/>
        <v>3888.9999999999995</v>
      </c>
      <c r="T7" s="54">
        <f t="shared" si="0"/>
        <v>3125.1000000000004</v>
      </c>
      <c r="U7" s="54">
        <f t="shared" si="0"/>
        <v>2540.7562468557044</v>
      </c>
      <c r="V7" s="54">
        <f t="shared" si="0"/>
        <v>3907.799999999999</v>
      </c>
      <c r="W7" s="54">
        <f t="shared" si="0"/>
        <v>3812.2000000000007</v>
      </c>
      <c r="X7" s="54" t="e">
        <f t="shared" si="0"/>
        <v>#DIV/0!</v>
      </c>
      <c r="Y7" s="54">
        <f t="shared" si="0"/>
        <v>11583</v>
      </c>
      <c r="Z7" s="54">
        <f t="shared" si="0"/>
        <v>10182</v>
      </c>
      <c r="AA7" s="10">
        <f aca="true" t="shared" si="2" ref="AA7:AA20">Z7/Y7*100</f>
        <v>87.9046879046879</v>
      </c>
      <c r="AB7" s="54">
        <f t="shared" si="0"/>
        <v>4132.100000000001</v>
      </c>
      <c r="AC7" s="54">
        <f t="shared" si="0"/>
        <v>3376.3</v>
      </c>
      <c r="AD7" s="10">
        <f aca="true" t="shared" si="3" ref="AD7:AD45">AC7/AB7*100</f>
        <v>81.70905834805545</v>
      </c>
      <c r="AE7" s="54">
        <f t="shared" si="0"/>
        <v>4262.199999999999</v>
      </c>
      <c r="AF7" s="54">
        <f t="shared" si="0"/>
        <v>4103.8</v>
      </c>
      <c r="AG7" s="10">
        <f aca="true" t="shared" si="4" ref="AG7:AG45">AF7/AE7*100</f>
        <v>96.28360940359441</v>
      </c>
      <c r="AH7" s="54">
        <f t="shared" si="0"/>
        <v>4250.3</v>
      </c>
      <c r="AI7" s="54">
        <f t="shared" si="0"/>
        <v>4064.3999999999996</v>
      </c>
      <c r="AJ7" s="10">
        <f>AI7/AH7*100</f>
        <v>95.62619109239347</v>
      </c>
      <c r="AK7" s="10">
        <f>SUM(AK8:AK42)</f>
        <v>12644.6</v>
      </c>
      <c r="AL7" s="10">
        <f>SUM(AL8:AL42)</f>
        <v>11544.500000000002</v>
      </c>
      <c r="AM7" s="10">
        <f aca="true" t="shared" si="5" ref="AM7:AM20">AL7/AK7*100</f>
        <v>91.29984341141675</v>
      </c>
      <c r="AN7" s="10">
        <f aca="true" t="shared" si="6" ref="AN7:AS7">SUM(AN8:AN42)</f>
        <v>0</v>
      </c>
      <c r="AO7" s="10">
        <f t="shared" si="6"/>
        <v>0</v>
      </c>
      <c r="AP7" s="10">
        <f t="shared" si="6"/>
        <v>0</v>
      </c>
      <c r="AQ7" s="10">
        <f t="shared" si="6"/>
        <v>0</v>
      </c>
      <c r="AR7" s="10">
        <f t="shared" si="6"/>
        <v>0</v>
      </c>
      <c r="AS7" s="10">
        <f t="shared" si="6"/>
        <v>0</v>
      </c>
      <c r="AT7" s="54">
        <f>SUM(AT8:AT42)-AT33-AT34</f>
        <v>35726.9</v>
      </c>
      <c r="AU7" s="54">
        <f>SUM(AU8:AU42)-AU33-AU34</f>
        <v>33315.100000000006</v>
      </c>
      <c r="AV7" s="10">
        <f aca="true" t="shared" si="7" ref="AV7:AV44">AU7/AT7*100</f>
        <v>93.2493443315821</v>
      </c>
      <c r="AW7" s="54">
        <f>SUM(AW8:AW42)-AW33-AW34</f>
        <v>2411.7999999999984</v>
      </c>
      <c r="AX7" s="54">
        <f>SUM(AX8:AX42)-AX33-AX34</f>
        <v>8020.399999999998</v>
      </c>
      <c r="AY7" s="20">
        <f>M7+P7+S7+V7+AB7+AE7+AH7</f>
        <v>35726.9</v>
      </c>
      <c r="AZ7" s="20">
        <f>N7+Q7+T7+W7+AC7+AF7+AI7</f>
        <v>33315.1</v>
      </c>
      <c r="BA7" s="39">
        <f>C7+AY7-AZ7</f>
        <v>8020.4000000000015</v>
      </c>
    </row>
    <row r="8" spans="1:53" ht="34.5" customHeight="1">
      <c r="A8" s="12" t="s">
        <v>5</v>
      </c>
      <c r="B8" s="57" t="s">
        <v>49</v>
      </c>
      <c r="C8" s="84">
        <v>105.1</v>
      </c>
      <c r="D8" s="35">
        <v>265.9</v>
      </c>
      <c r="E8" s="35">
        <v>318.8</v>
      </c>
      <c r="F8" s="10">
        <f aca="true" t="shared" si="8" ref="F8:F32">E8/D8*100</f>
        <v>119.89469725460702</v>
      </c>
      <c r="G8" s="35">
        <v>278.2</v>
      </c>
      <c r="H8" s="35">
        <v>171.7</v>
      </c>
      <c r="I8" s="10">
        <f aca="true" t="shared" si="9" ref="I8:I45">H8/G8*100</f>
        <v>61.718188353702374</v>
      </c>
      <c r="J8" s="35">
        <v>251.1</v>
      </c>
      <c r="K8" s="35">
        <v>334.6</v>
      </c>
      <c r="L8" s="10">
        <f aca="true" t="shared" si="10" ref="L8:L45">K8/J8*100</f>
        <v>133.25368379131822</v>
      </c>
      <c r="M8" s="71">
        <f>D8+G8+J8</f>
        <v>795.1999999999999</v>
      </c>
      <c r="N8" s="71">
        <f>E8+H8+K8</f>
        <v>825.1</v>
      </c>
      <c r="O8" s="10">
        <f t="shared" si="1"/>
        <v>103.76006036217305</v>
      </c>
      <c r="P8" s="35">
        <v>264.4</v>
      </c>
      <c r="Q8" s="35">
        <v>239.7</v>
      </c>
      <c r="R8" s="10">
        <f aca="true" t="shared" si="11" ref="R8:R45">Q8/P8*100</f>
        <v>90.65809379727686</v>
      </c>
      <c r="S8" s="35">
        <v>273.7</v>
      </c>
      <c r="T8" s="35">
        <v>280.9</v>
      </c>
      <c r="U8" s="10">
        <f aca="true" t="shared" si="12" ref="U8:U20">T8/S8*100</f>
        <v>102.63061746437705</v>
      </c>
      <c r="V8" s="35">
        <v>273.9</v>
      </c>
      <c r="W8" s="35">
        <v>235.7</v>
      </c>
      <c r="X8" s="10">
        <f aca="true" t="shared" si="13" ref="X8:X24">W8/V8*100</f>
        <v>86.05330412559329</v>
      </c>
      <c r="Y8" s="71">
        <f aca="true" t="shared" si="14" ref="Y8:Y20">P8+S8+V8</f>
        <v>811.9999999999999</v>
      </c>
      <c r="Z8" s="71">
        <f aca="true" t="shared" si="15" ref="Z8:Z20">Q8+T8+W8</f>
        <v>756.3</v>
      </c>
      <c r="AA8" s="10">
        <f t="shared" si="2"/>
        <v>93.14039408866995</v>
      </c>
      <c r="AB8" s="35">
        <v>310</v>
      </c>
      <c r="AC8" s="35">
        <v>328.4</v>
      </c>
      <c r="AD8" s="10">
        <f t="shared" si="3"/>
        <v>105.93548387096774</v>
      </c>
      <c r="AE8" s="35">
        <v>338.9</v>
      </c>
      <c r="AF8" s="35">
        <v>344.6</v>
      </c>
      <c r="AG8" s="10">
        <f t="shared" si="4"/>
        <v>101.68191206845678</v>
      </c>
      <c r="AH8" s="35">
        <v>323.5</v>
      </c>
      <c r="AI8" s="35">
        <v>279.3</v>
      </c>
      <c r="AJ8" s="10">
        <f aca="true" t="shared" si="16" ref="AJ8:AJ45">AI8/AH8*100</f>
        <v>86.33693972179289</v>
      </c>
      <c r="AK8" s="71">
        <f>AB8+AE8+AH8</f>
        <v>972.4</v>
      </c>
      <c r="AL8" s="71">
        <f>AC8+AF8+AI8</f>
        <v>952.3</v>
      </c>
      <c r="AM8" s="10">
        <f t="shared" si="5"/>
        <v>97.93294940353763</v>
      </c>
      <c r="AN8" s="35"/>
      <c r="AO8" s="35"/>
      <c r="AP8" s="35"/>
      <c r="AQ8" s="35"/>
      <c r="AR8" s="35"/>
      <c r="AS8" s="35"/>
      <c r="AT8" s="58">
        <f>M8+Y8+AK8+AN8+AP8+AR8</f>
        <v>2579.6</v>
      </c>
      <c r="AU8" s="58">
        <f>N8+Z8+AL8+AO8+AQ8+AS8</f>
        <v>2533.7</v>
      </c>
      <c r="AV8" s="10">
        <f t="shared" si="7"/>
        <v>98.22065436501782</v>
      </c>
      <c r="AW8" s="58">
        <f>AT8-AU8</f>
        <v>45.90000000000009</v>
      </c>
      <c r="AX8" s="16">
        <f aca="true" t="shared" si="17" ref="AX8:AX20">C8+AT8-AU8</f>
        <v>151</v>
      </c>
      <c r="AY8" s="20">
        <f aca="true" t="shared" si="18" ref="AY8:AY45">M8+P8+S8+V8+AB8+AE8+AH8</f>
        <v>2579.6</v>
      </c>
      <c r="AZ8" s="20">
        <f aca="true" t="shared" si="19" ref="AZ8:AZ45">N8+Q8+T8+W8+AC8+AF8+AI8</f>
        <v>2533.7</v>
      </c>
      <c r="BA8" s="39">
        <f aca="true" t="shared" si="20" ref="BA8:BA45">C8+AY8-AZ8</f>
        <v>151</v>
      </c>
    </row>
    <row r="9" spans="1:53" ht="34.5" customHeight="1">
      <c r="A9" s="12" t="s">
        <v>6</v>
      </c>
      <c r="B9" s="59" t="s">
        <v>65</v>
      </c>
      <c r="C9" s="93">
        <v>17</v>
      </c>
      <c r="D9" s="35">
        <v>11.7</v>
      </c>
      <c r="E9" s="35">
        <v>7.8</v>
      </c>
      <c r="F9" s="10">
        <f t="shared" si="8"/>
        <v>66.66666666666667</v>
      </c>
      <c r="G9" s="35">
        <v>12.1</v>
      </c>
      <c r="H9" s="35">
        <v>16.2</v>
      </c>
      <c r="I9" s="10">
        <f t="shared" si="9"/>
        <v>133.88429752066116</v>
      </c>
      <c r="J9" s="35">
        <v>11.5</v>
      </c>
      <c r="K9" s="35">
        <v>12.5</v>
      </c>
      <c r="L9" s="10">
        <f t="shared" si="10"/>
        <v>108.69565217391303</v>
      </c>
      <c r="M9" s="71">
        <f aca="true" t="shared" si="21" ref="M9:M42">D9+G9+J9</f>
        <v>35.3</v>
      </c>
      <c r="N9" s="71">
        <f aca="true" t="shared" si="22" ref="N9:N42">E9+H9+K9</f>
        <v>36.5</v>
      </c>
      <c r="O9" s="10">
        <f t="shared" si="1"/>
        <v>103.39943342776206</v>
      </c>
      <c r="P9" s="35">
        <v>12.7</v>
      </c>
      <c r="Q9" s="35">
        <v>6.5</v>
      </c>
      <c r="R9" s="10">
        <f t="shared" si="11"/>
        <v>51.181102362204726</v>
      </c>
      <c r="S9" s="35">
        <v>11.8</v>
      </c>
      <c r="T9" s="35">
        <v>15</v>
      </c>
      <c r="U9" s="10">
        <f t="shared" si="12"/>
        <v>127.11864406779661</v>
      </c>
      <c r="V9" s="35">
        <v>13.6</v>
      </c>
      <c r="W9" s="35">
        <v>10.9</v>
      </c>
      <c r="X9" s="10">
        <f t="shared" si="13"/>
        <v>80.14705882352942</v>
      </c>
      <c r="Y9" s="71">
        <f t="shared" si="14"/>
        <v>38.1</v>
      </c>
      <c r="Z9" s="71">
        <f t="shared" si="15"/>
        <v>32.4</v>
      </c>
      <c r="AA9" s="10">
        <f t="shared" si="2"/>
        <v>85.03937007874015</v>
      </c>
      <c r="AB9" s="35">
        <v>12.8</v>
      </c>
      <c r="AC9" s="35">
        <v>18.6</v>
      </c>
      <c r="AD9" s="10">
        <f t="shared" si="3"/>
        <v>145.3125</v>
      </c>
      <c r="AE9" s="35">
        <v>13.7</v>
      </c>
      <c r="AF9" s="35">
        <v>14.8</v>
      </c>
      <c r="AG9" s="10">
        <f t="shared" si="4"/>
        <v>108.02919708029196</v>
      </c>
      <c r="AH9" s="35">
        <v>16.1</v>
      </c>
      <c r="AI9" s="35">
        <v>10.4</v>
      </c>
      <c r="AJ9" s="10">
        <f t="shared" si="16"/>
        <v>64.59627329192547</v>
      </c>
      <c r="AK9" s="71">
        <f aca="true" t="shared" si="23" ref="AK9:AK42">AB9+AE9+AH9</f>
        <v>42.6</v>
      </c>
      <c r="AL9" s="71">
        <f aca="true" t="shared" si="24" ref="AL9:AL42">AC9+AF9+AI9</f>
        <v>43.800000000000004</v>
      </c>
      <c r="AM9" s="10">
        <f t="shared" si="5"/>
        <v>102.8169014084507</v>
      </c>
      <c r="AN9" s="35"/>
      <c r="AO9" s="35"/>
      <c r="AP9" s="35"/>
      <c r="AQ9" s="35"/>
      <c r="AR9" s="35"/>
      <c r="AS9" s="35"/>
      <c r="AT9" s="58">
        <f aca="true" t="shared" si="25" ref="AT9:AT42">M9+Y9+AK9+AN9+AP9+AR9</f>
        <v>116</v>
      </c>
      <c r="AU9" s="58">
        <f aca="true" t="shared" si="26" ref="AU9:AU42">N9+Z9+AL9+AO9+AQ9+AS9</f>
        <v>112.70000000000002</v>
      </c>
      <c r="AV9" s="10">
        <f t="shared" si="7"/>
        <v>97.15517241379312</v>
      </c>
      <c r="AW9" s="58">
        <f aca="true" t="shared" si="27" ref="AW9:AW28">AT9-AU9</f>
        <v>3.299999999999983</v>
      </c>
      <c r="AX9" s="16">
        <f t="shared" si="17"/>
        <v>20.299999999999983</v>
      </c>
      <c r="AY9" s="20">
        <f t="shared" si="18"/>
        <v>116</v>
      </c>
      <c r="AZ9" s="20">
        <f t="shared" si="19"/>
        <v>112.7</v>
      </c>
      <c r="BA9" s="39">
        <f t="shared" si="20"/>
        <v>20.299999999999997</v>
      </c>
    </row>
    <row r="10" spans="1:53" ht="34.5" customHeight="1">
      <c r="A10" s="12" t="s">
        <v>7</v>
      </c>
      <c r="B10" s="61" t="s">
        <v>87</v>
      </c>
      <c r="C10" s="84"/>
      <c r="D10" s="35"/>
      <c r="E10" s="35"/>
      <c r="F10" s="85" t="e">
        <f t="shared" si="8"/>
        <v>#DIV/0!</v>
      </c>
      <c r="G10" s="35"/>
      <c r="H10" s="35"/>
      <c r="I10" s="85" t="e">
        <f t="shared" si="9"/>
        <v>#DIV/0!</v>
      </c>
      <c r="J10" s="35"/>
      <c r="K10" s="35"/>
      <c r="L10" s="10" t="e">
        <f t="shared" si="10"/>
        <v>#DIV/0!</v>
      </c>
      <c r="M10" s="124">
        <f t="shared" si="21"/>
        <v>0</v>
      </c>
      <c r="N10" s="124">
        <f t="shared" si="22"/>
        <v>0</v>
      </c>
      <c r="O10" s="85" t="e">
        <f t="shared" si="1"/>
        <v>#DIV/0!</v>
      </c>
      <c r="P10" s="35"/>
      <c r="Q10" s="35"/>
      <c r="R10" s="85" t="e">
        <f t="shared" si="11"/>
        <v>#DIV/0!</v>
      </c>
      <c r="S10" s="35"/>
      <c r="T10" s="35"/>
      <c r="U10" s="10"/>
      <c r="V10" s="35"/>
      <c r="W10" s="35"/>
      <c r="X10" s="10"/>
      <c r="Y10" s="71"/>
      <c r="Z10" s="71"/>
      <c r="AA10" s="10"/>
      <c r="AB10" s="35"/>
      <c r="AC10" s="35"/>
      <c r="AD10" s="85" t="e">
        <f t="shared" si="3"/>
        <v>#DIV/0!</v>
      </c>
      <c r="AE10" s="35"/>
      <c r="AF10" s="35"/>
      <c r="AG10" s="85" t="e">
        <f t="shared" si="4"/>
        <v>#DIV/0!</v>
      </c>
      <c r="AH10" s="35"/>
      <c r="AI10" s="35"/>
      <c r="AJ10" s="10"/>
      <c r="AK10" s="71"/>
      <c r="AL10" s="71"/>
      <c r="AM10" s="10"/>
      <c r="AN10" s="35"/>
      <c r="AO10" s="35"/>
      <c r="AP10" s="35"/>
      <c r="AQ10" s="35"/>
      <c r="AR10" s="35"/>
      <c r="AS10" s="35"/>
      <c r="AT10" s="58"/>
      <c r="AU10" s="58"/>
      <c r="AV10" s="85"/>
      <c r="AW10" s="58"/>
      <c r="AX10" s="16"/>
      <c r="AY10" s="20">
        <f t="shared" si="18"/>
        <v>0</v>
      </c>
      <c r="AZ10" s="20">
        <f t="shared" si="19"/>
        <v>0</v>
      </c>
      <c r="BA10" s="39">
        <f t="shared" si="20"/>
        <v>0</v>
      </c>
    </row>
    <row r="11" spans="1:53" ht="34.5" customHeight="1">
      <c r="A11" s="12" t="s">
        <v>8</v>
      </c>
      <c r="B11" s="57" t="s">
        <v>50</v>
      </c>
      <c r="C11" s="84">
        <v>-16.1</v>
      </c>
      <c r="D11" s="35">
        <v>47.3</v>
      </c>
      <c r="E11" s="35">
        <v>52.2</v>
      </c>
      <c r="F11" s="10">
        <f t="shared" si="8"/>
        <v>110.35940803382664</v>
      </c>
      <c r="G11" s="35">
        <v>46.4</v>
      </c>
      <c r="H11" s="35">
        <v>45.9</v>
      </c>
      <c r="I11" s="10">
        <f t="shared" si="9"/>
        <v>98.92241379310344</v>
      </c>
      <c r="J11" s="35">
        <v>50.1</v>
      </c>
      <c r="K11" s="35">
        <v>54.4</v>
      </c>
      <c r="L11" s="10">
        <f t="shared" si="10"/>
        <v>108.58283433133732</v>
      </c>
      <c r="M11" s="71">
        <f t="shared" si="21"/>
        <v>143.79999999999998</v>
      </c>
      <c r="N11" s="71">
        <f t="shared" si="22"/>
        <v>152.5</v>
      </c>
      <c r="O11" s="10">
        <f t="shared" si="1"/>
        <v>106.05006954102922</v>
      </c>
      <c r="P11" s="35">
        <v>42</v>
      </c>
      <c r="Q11" s="35">
        <v>47</v>
      </c>
      <c r="R11" s="10">
        <f t="shared" si="11"/>
        <v>111.90476190476191</v>
      </c>
      <c r="S11" s="35">
        <v>51.4</v>
      </c>
      <c r="T11" s="35">
        <v>38.5</v>
      </c>
      <c r="U11" s="10">
        <f t="shared" si="12"/>
        <v>74.90272373540856</v>
      </c>
      <c r="V11" s="35">
        <v>118</v>
      </c>
      <c r="W11" s="35">
        <v>97.4</v>
      </c>
      <c r="X11" s="10">
        <f t="shared" si="13"/>
        <v>82.54237288135594</v>
      </c>
      <c r="Y11" s="71">
        <f t="shared" si="14"/>
        <v>211.4</v>
      </c>
      <c r="Z11" s="71">
        <f t="shared" si="15"/>
        <v>182.9</v>
      </c>
      <c r="AA11" s="10">
        <f t="shared" si="2"/>
        <v>86.51844843897824</v>
      </c>
      <c r="AB11" s="35">
        <v>65.4</v>
      </c>
      <c r="AC11" s="35">
        <v>70.4</v>
      </c>
      <c r="AD11" s="10">
        <f t="shared" si="3"/>
        <v>107.64525993883791</v>
      </c>
      <c r="AE11" s="35">
        <v>71.8</v>
      </c>
      <c r="AF11" s="35">
        <v>90.6</v>
      </c>
      <c r="AG11" s="10">
        <f t="shared" si="4"/>
        <v>126.18384401114207</v>
      </c>
      <c r="AH11" s="35">
        <v>75.2</v>
      </c>
      <c r="AI11" s="35">
        <v>86.4</v>
      </c>
      <c r="AJ11" s="10">
        <f t="shared" si="16"/>
        <v>114.89361702127661</v>
      </c>
      <c r="AK11" s="71">
        <f t="shared" si="23"/>
        <v>212.39999999999998</v>
      </c>
      <c r="AL11" s="71">
        <f t="shared" si="24"/>
        <v>247.4</v>
      </c>
      <c r="AM11" s="10">
        <f t="shared" si="5"/>
        <v>116.47834274952919</v>
      </c>
      <c r="AN11" s="35"/>
      <c r="AO11" s="35"/>
      <c r="AP11" s="35"/>
      <c r="AQ11" s="35"/>
      <c r="AR11" s="35"/>
      <c r="AS11" s="35"/>
      <c r="AT11" s="58">
        <f t="shared" si="25"/>
        <v>567.5999999999999</v>
      </c>
      <c r="AU11" s="58">
        <f t="shared" si="26"/>
        <v>582.8</v>
      </c>
      <c r="AV11" s="10">
        <f t="shared" si="7"/>
        <v>102.67794221282594</v>
      </c>
      <c r="AW11" s="58">
        <f t="shared" si="27"/>
        <v>-15.200000000000045</v>
      </c>
      <c r="AX11" s="16">
        <f t="shared" si="17"/>
        <v>-31.300000000000068</v>
      </c>
      <c r="AY11" s="20">
        <f t="shared" si="18"/>
        <v>567.6</v>
      </c>
      <c r="AZ11" s="20">
        <f t="shared" si="19"/>
        <v>582.8</v>
      </c>
      <c r="BA11" s="39">
        <f t="shared" si="20"/>
        <v>-31.299999999999955</v>
      </c>
    </row>
    <row r="12" spans="1:53" ht="34.5" customHeight="1">
      <c r="A12" s="12" t="s">
        <v>9</v>
      </c>
      <c r="B12" s="57" t="s">
        <v>51</v>
      </c>
      <c r="C12" s="84">
        <v>13.5</v>
      </c>
      <c r="D12" s="35">
        <v>10.8</v>
      </c>
      <c r="E12" s="35">
        <v>15.4</v>
      </c>
      <c r="F12" s="10">
        <f t="shared" si="8"/>
        <v>142.59259259259258</v>
      </c>
      <c r="G12" s="35">
        <v>13.9</v>
      </c>
      <c r="H12" s="35">
        <v>13.9</v>
      </c>
      <c r="I12" s="10">
        <f t="shared" si="9"/>
        <v>100</v>
      </c>
      <c r="J12" s="35">
        <v>11.5</v>
      </c>
      <c r="K12" s="35">
        <v>12.9</v>
      </c>
      <c r="L12" s="10">
        <f t="shared" si="10"/>
        <v>112.17391304347825</v>
      </c>
      <c r="M12" s="71">
        <f t="shared" si="21"/>
        <v>36.2</v>
      </c>
      <c r="N12" s="71">
        <f t="shared" si="22"/>
        <v>42.2</v>
      </c>
      <c r="O12" s="10">
        <f t="shared" si="1"/>
        <v>116.57458563535911</v>
      </c>
      <c r="P12" s="35">
        <v>11.3</v>
      </c>
      <c r="Q12" s="35">
        <v>10</v>
      </c>
      <c r="R12" s="10">
        <f t="shared" si="11"/>
        <v>88.49557522123894</v>
      </c>
      <c r="S12" s="35">
        <v>9.8</v>
      </c>
      <c r="T12" s="35">
        <v>12.8</v>
      </c>
      <c r="U12" s="10">
        <f t="shared" si="12"/>
        <v>130.6122448979592</v>
      </c>
      <c r="V12" s="35">
        <v>10.1</v>
      </c>
      <c r="W12" s="35">
        <v>9.2</v>
      </c>
      <c r="X12" s="10">
        <f t="shared" si="13"/>
        <v>91.08910891089108</v>
      </c>
      <c r="Y12" s="71">
        <f t="shared" si="14"/>
        <v>31.200000000000003</v>
      </c>
      <c r="Z12" s="71">
        <f t="shared" si="15"/>
        <v>32</v>
      </c>
      <c r="AA12" s="10">
        <f t="shared" si="2"/>
        <v>102.56410256410255</v>
      </c>
      <c r="AB12" s="35">
        <v>11.2</v>
      </c>
      <c r="AC12" s="35">
        <v>8.7</v>
      </c>
      <c r="AD12" s="10">
        <f t="shared" si="3"/>
        <v>77.67857142857143</v>
      </c>
      <c r="AE12" s="35">
        <v>10.8</v>
      </c>
      <c r="AF12" s="35">
        <v>11</v>
      </c>
      <c r="AG12" s="10">
        <f t="shared" si="4"/>
        <v>101.85185185185183</v>
      </c>
      <c r="AH12" s="35">
        <v>9.9</v>
      </c>
      <c r="AI12" s="35">
        <v>11.8</v>
      </c>
      <c r="AJ12" s="10">
        <f t="shared" si="16"/>
        <v>119.1919191919192</v>
      </c>
      <c r="AK12" s="71">
        <f t="shared" si="23"/>
        <v>31.9</v>
      </c>
      <c r="AL12" s="71">
        <f t="shared" si="24"/>
        <v>31.5</v>
      </c>
      <c r="AM12" s="10">
        <f t="shared" si="5"/>
        <v>98.7460815047022</v>
      </c>
      <c r="AN12" s="35"/>
      <c r="AO12" s="35"/>
      <c r="AP12" s="35"/>
      <c r="AQ12" s="35"/>
      <c r="AR12" s="35"/>
      <c r="AS12" s="35"/>
      <c r="AT12" s="58">
        <f t="shared" si="25"/>
        <v>99.30000000000001</v>
      </c>
      <c r="AU12" s="58">
        <f t="shared" si="26"/>
        <v>105.7</v>
      </c>
      <c r="AV12" s="10">
        <f t="shared" si="7"/>
        <v>106.44511581067471</v>
      </c>
      <c r="AW12" s="58">
        <f t="shared" si="27"/>
        <v>-6.3999999999999915</v>
      </c>
      <c r="AX12" s="16">
        <f t="shared" si="17"/>
        <v>7.1000000000000085</v>
      </c>
      <c r="AY12" s="20">
        <f t="shared" si="18"/>
        <v>99.3</v>
      </c>
      <c r="AZ12" s="20">
        <f t="shared" si="19"/>
        <v>105.7</v>
      </c>
      <c r="BA12" s="39">
        <f t="shared" si="20"/>
        <v>7.099999999999994</v>
      </c>
    </row>
    <row r="13" spans="1:53" ht="34.5" customHeight="1">
      <c r="A13" s="12" t="s">
        <v>10</v>
      </c>
      <c r="B13" s="57" t="s">
        <v>52</v>
      </c>
      <c r="C13" s="84">
        <v>28.1</v>
      </c>
      <c r="D13" s="35">
        <v>42.9</v>
      </c>
      <c r="E13" s="35">
        <v>25.3</v>
      </c>
      <c r="F13" s="10">
        <f t="shared" si="8"/>
        <v>58.97435897435898</v>
      </c>
      <c r="G13" s="35">
        <v>39.3</v>
      </c>
      <c r="H13" s="35">
        <v>39.9</v>
      </c>
      <c r="I13" s="10">
        <f t="shared" si="9"/>
        <v>101.52671755725191</v>
      </c>
      <c r="J13" s="35">
        <v>42.6</v>
      </c>
      <c r="K13" s="35">
        <v>42.6</v>
      </c>
      <c r="L13" s="10">
        <f t="shared" si="10"/>
        <v>100</v>
      </c>
      <c r="M13" s="71">
        <f t="shared" si="21"/>
        <v>124.79999999999998</v>
      </c>
      <c r="N13" s="71">
        <f t="shared" si="22"/>
        <v>107.80000000000001</v>
      </c>
      <c r="O13" s="10">
        <f t="shared" si="1"/>
        <v>86.37820512820515</v>
      </c>
      <c r="P13" s="35">
        <v>42.6</v>
      </c>
      <c r="Q13" s="35">
        <v>43.3</v>
      </c>
      <c r="R13" s="10">
        <f t="shared" si="11"/>
        <v>101.6431924882629</v>
      </c>
      <c r="S13" s="35">
        <v>44.2</v>
      </c>
      <c r="T13" s="35">
        <v>48.1</v>
      </c>
      <c r="U13" s="102">
        <f t="shared" si="12"/>
        <v>108.8235294117647</v>
      </c>
      <c r="V13" s="35">
        <v>78.7</v>
      </c>
      <c r="W13" s="35">
        <v>20.8</v>
      </c>
      <c r="X13" s="10">
        <f t="shared" si="13"/>
        <v>26.429479034307494</v>
      </c>
      <c r="Y13" s="71">
        <f t="shared" si="14"/>
        <v>165.5</v>
      </c>
      <c r="Z13" s="71">
        <f t="shared" si="15"/>
        <v>112.2</v>
      </c>
      <c r="AA13" s="10">
        <f t="shared" si="2"/>
        <v>67.79456193353475</v>
      </c>
      <c r="AB13" s="35">
        <v>95.2</v>
      </c>
      <c r="AC13" s="35">
        <v>117.3</v>
      </c>
      <c r="AD13" s="10">
        <f t="shared" si="3"/>
        <v>123.2142857142857</v>
      </c>
      <c r="AE13" s="35">
        <v>126.2</v>
      </c>
      <c r="AF13" s="35">
        <v>129.9</v>
      </c>
      <c r="AG13" s="10">
        <f t="shared" si="4"/>
        <v>102.93185419968304</v>
      </c>
      <c r="AH13" s="35">
        <v>158.2</v>
      </c>
      <c r="AI13" s="35">
        <v>169.5</v>
      </c>
      <c r="AJ13" s="10">
        <f t="shared" si="16"/>
        <v>107.14285714285714</v>
      </c>
      <c r="AK13" s="71">
        <f t="shared" si="23"/>
        <v>379.6</v>
      </c>
      <c r="AL13" s="71">
        <f t="shared" si="24"/>
        <v>416.7</v>
      </c>
      <c r="AM13" s="10">
        <f t="shared" si="5"/>
        <v>109.77344573234984</v>
      </c>
      <c r="AN13" s="35"/>
      <c r="AO13" s="35"/>
      <c r="AP13" s="35"/>
      <c r="AQ13" s="35"/>
      <c r="AR13" s="35"/>
      <c r="AS13" s="35"/>
      <c r="AT13" s="58">
        <f t="shared" si="25"/>
        <v>669.9</v>
      </c>
      <c r="AU13" s="58">
        <f t="shared" si="26"/>
        <v>636.7</v>
      </c>
      <c r="AV13" s="10">
        <f t="shared" si="7"/>
        <v>95.04403642334678</v>
      </c>
      <c r="AW13" s="58">
        <f t="shared" si="27"/>
        <v>33.19999999999993</v>
      </c>
      <c r="AX13" s="16">
        <f t="shared" si="17"/>
        <v>61.299999999999955</v>
      </c>
      <c r="AY13" s="20">
        <f t="shared" si="18"/>
        <v>669.8999999999999</v>
      </c>
      <c r="AZ13" s="20">
        <f t="shared" si="19"/>
        <v>636.7</v>
      </c>
      <c r="BA13" s="39">
        <f t="shared" si="20"/>
        <v>61.29999999999984</v>
      </c>
    </row>
    <row r="14" spans="1:53" ht="34.5" customHeight="1">
      <c r="A14" s="12" t="s">
        <v>11</v>
      </c>
      <c r="B14" s="57" t="s">
        <v>88</v>
      </c>
      <c r="C14" s="84">
        <v>-0.3</v>
      </c>
      <c r="D14" s="35">
        <v>6.3</v>
      </c>
      <c r="E14" s="35">
        <v>6.1</v>
      </c>
      <c r="F14" s="10">
        <f t="shared" si="8"/>
        <v>96.82539682539682</v>
      </c>
      <c r="G14" s="35">
        <v>8.3</v>
      </c>
      <c r="H14" s="35">
        <v>8.5</v>
      </c>
      <c r="I14" s="10">
        <f t="shared" si="9"/>
        <v>102.40963855421685</v>
      </c>
      <c r="J14" s="35">
        <v>8.4</v>
      </c>
      <c r="K14" s="35">
        <v>8.2</v>
      </c>
      <c r="L14" s="10">
        <f t="shared" si="10"/>
        <v>97.6190476190476</v>
      </c>
      <c r="M14" s="71">
        <f t="shared" si="21"/>
        <v>23</v>
      </c>
      <c r="N14" s="71">
        <f t="shared" si="22"/>
        <v>22.799999999999997</v>
      </c>
      <c r="O14" s="10">
        <f t="shared" si="1"/>
        <v>99.13043478260867</v>
      </c>
      <c r="P14" s="35">
        <v>18.1</v>
      </c>
      <c r="Q14" s="35">
        <v>18.5</v>
      </c>
      <c r="R14" s="10">
        <f t="shared" si="11"/>
        <v>102.20994475138122</v>
      </c>
      <c r="S14" s="35">
        <v>9</v>
      </c>
      <c r="T14" s="35">
        <v>13.3</v>
      </c>
      <c r="U14" s="10">
        <f t="shared" si="12"/>
        <v>147.77777777777777</v>
      </c>
      <c r="V14" s="35">
        <v>9</v>
      </c>
      <c r="W14" s="35">
        <v>4.4</v>
      </c>
      <c r="X14" s="10">
        <f t="shared" si="13"/>
        <v>48.88888888888889</v>
      </c>
      <c r="Y14" s="71">
        <f t="shared" si="14"/>
        <v>36.1</v>
      </c>
      <c r="Z14" s="71">
        <f t="shared" si="15"/>
        <v>36.2</v>
      </c>
      <c r="AA14" s="10">
        <f t="shared" si="2"/>
        <v>100.2770083102493</v>
      </c>
      <c r="AB14" s="35">
        <v>12.8</v>
      </c>
      <c r="AC14" s="35">
        <v>13.1</v>
      </c>
      <c r="AD14" s="10">
        <f t="shared" si="3"/>
        <v>102.34375</v>
      </c>
      <c r="AE14" s="35">
        <v>8.4</v>
      </c>
      <c r="AF14" s="35">
        <v>8.1</v>
      </c>
      <c r="AG14" s="10">
        <f t="shared" si="4"/>
        <v>96.42857142857142</v>
      </c>
      <c r="AH14" s="35">
        <v>9.9</v>
      </c>
      <c r="AI14" s="35">
        <v>10</v>
      </c>
      <c r="AJ14" s="10">
        <f t="shared" si="16"/>
        <v>101.01010101010101</v>
      </c>
      <c r="AK14" s="71">
        <f t="shared" si="23"/>
        <v>31.1</v>
      </c>
      <c r="AL14" s="71">
        <f t="shared" si="24"/>
        <v>31.2</v>
      </c>
      <c r="AM14" s="10">
        <f t="shared" si="5"/>
        <v>100.32154340836013</v>
      </c>
      <c r="AN14" s="35"/>
      <c r="AO14" s="35"/>
      <c r="AP14" s="35"/>
      <c r="AQ14" s="35"/>
      <c r="AR14" s="35"/>
      <c r="AS14" s="35"/>
      <c r="AT14" s="58">
        <f t="shared" si="25"/>
        <v>90.2</v>
      </c>
      <c r="AU14" s="58">
        <f t="shared" si="26"/>
        <v>90.2</v>
      </c>
      <c r="AV14" s="10">
        <f t="shared" si="7"/>
        <v>100</v>
      </c>
      <c r="AW14" s="58">
        <f t="shared" si="27"/>
        <v>0</v>
      </c>
      <c r="AX14" s="16">
        <f t="shared" si="17"/>
        <v>-0.29999999999999716</v>
      </c>
      <c r="AY14" s="20">
        <f t="shared" si="18"/>
        <v>90.20000000000002</v>
      </c>
      <c r="AZ14" s="20">
        <f t="shared" si="19"/>
        <v>90.19999999999999</v>
      </c>
      <c r="BA14" s="39">
        <f t="shared" si="20"/>
        <v>-0.29999999999996874</v>
      </c>
    </row>
    <row r="15" spans="1:53" ht="34.5" customHeight="1">
      <c r="A15" s="12" t="s">
        <v>12</v>
      </c>
      <c r="B15" s="57" t="s">
        <v>53</v>
      </c>
      <c r="C15" s="84">
        <v>544.8</v>
      </c>
      <c r="D15" s="35">
        <v>135.6</v>
      </c>
      <c r="E15" s="35">
        <v>140.6</v>
      </c>
      <c r="F15" s="10">
        <f t="shared" si="8"/>
        <v>103.6873156342183</v>
      </c>
      <c r="G15" s="35">
        <v>147.2</v>
      </c>
      <c r="H15" s="35">
        <v>61.2</v>
      </c>
      <c r="I15" s="10">
        <f t="shared" si="9"/>
        <v>41.57608695652175</v>
      </c>
      <c r="J15" s="35">
        <v>153.2</v>
      </c>
      <c r="K15" s="35">
        <v>577.4</v>
      </c>
      <c r="L15" s="10">
        <f t="shared" si="10"/>
        <v>376.89295039164494</v>
      </c>
      <c r="M15" s="71">
        <f t="shared" si="21"/>
        <v>435.99999999999994</v>
      </c>
      <c r="N15" s="71">
        <f t="shared" si="22"/>
        <v>779.2</v>
      </c>
      <c r="O15" s="10">
        <f t="shared" si="1"/>
        <v>178.71559633027528</v>
      </c>
      <c r="P15" s="35">
        <v>147.6</v>
      </c>
      <c r="Q15" s="35">
        <v>99.7</v>
      </c>
      <c r="R15" s="10">
        <f t="shared" si="11"/>
        <v>67.54742547425475</v>
      </c>
      <c r="S15" s="35">
        <v>148.3</v>
      </c>
      <c r="T15" s="35">
        <v>101.5</v>
      </c>
      <c r="U15" s="102">
        <f t="shared" si="12"/>
        <v>68.44234659474039</v>
      </c>
      <c r="V15" s="35">
        <v>137.8</v>
      </c>
      <c r="W15" s="35">
        <v>108.1</v>
      </c>
      <c r="X15" s="10">
        <f t="shared" si="13"/>
        <v>78.44702467343976</v>
      </c>
      <c r="Y15" s="71">
        <f t="shared" si="14"/>
        <v>433.7</v>
      </c>
      <c r="Z15" s="71">
        <f t="shared" si="15"/>
        <v>309.29999999999995</v>
      </c>
      <c r="AA15" s="10">
        <f t="shared" si="2"/>
        <v>71.31657827991698</v>
      </c>
      <c r="AB15" s="35">
        <v>153.6</v>
      </c>
      <c r="AC15" s="35">
        <v>101.3</v>
      </c>
      <c r="AD15" s="10">
        <f t="shared" si="3"/>
        <v>65.95052083333334</v>
      </c>
      <c r="AE15" s="35">
        <v>142</v>
      </c>
      <c r="AF15" s="35">
        <v>103.5</v>
      </c>
      <c r="AG15" s="10">
        <f t="shared" si="4"/>
        <v>72.88732394366197</v>
      </c>
      <c r="AH15" s="35">
        <v>151.9</v>
      </c>
      <c r="AI15" s="35">
        <v>135.8</v>
      </c>
      <c r="AJ15" s="10">
        <f t="shared" si="16"/>
        <v>89.40092165898618</v>
      </c>
      <c r="AK15" s="71">
        <f t="shared" si="23"/>
        <v>447.5</v>
      </c>
      <c r="AL15" s="71">
        <f t="shared" si="24"/>
        <v>340.6</v>
      </c>
      <c r="AM15" s="10">
        <f t="shared" si="5"/>
        <v>76.11173184357543</v>
      </c>
      <c r="AN15" s="35"/>
      <c r="AO15" s="35"/>
      <c r="AP15" s="35"/>
      <c r="AQ15" s="35"/>
      <c r="AR15" s="35"/>
      <c r="AS15" s="35"/>
      <c r="AT15" s="58">
        <f t="shared" si="25"/>
        <v>1317.1999999999998</v>
      </c>
      <c r="AU15" s="58">
        <f t="shared" si="26"/>
        <v>1429.1</v>
      </c>
      <c r="AV15" s="10">
        <f t="shared" si="7"/>
        <v>108.49529304585485</v>
      </c>
      <c r="AW15" s="58">
        <f t="shared" si="27"/>
        <v>-111.90000000000009</v>
      </c>
      <c r="AX15" s="16">
        <f t="shared" si="17"/>
        <v>432.89999999999986</v>
      </c>
      <c r="AY15" s="20">
        <f t="shared" si="18"/>
        <v>1317.1999999999998</v>
      </c>
      <c r="AZ15" s="20">
        <f t="shared" si="19"/>
        <v>1429.1</v>
      </c>
      <c r="BA15" s="39">
        <f t="shared" si="20"/>
        <v>432.89999999999986</v>
      </c>
    </row>
    <row r="16" spans="1:53" ht="34.5" customHeight="1">
      <c r="A16" s="12" t="s">
        <v>13</v>
      </c>
      <c r="B16" s="57" t="s">
        <v>54</v>
      </c>
      <c r="C16" s="90">
        <v>1.3</v>
      </c>
      <c r="D16" s="35">
        <v>0.9</v>
      </c>
      <c r="E16" s="35">
        <v>0.9</v>
      </c>
      <c r="F16" s="10">
        <f t="shared" si="8"/>
        <v>100</v>
      </c>
      <c r="G16" s="35">
        <v>0.8</v>
      </c>
      <c r="H16" s="35">
        <v>0.6</v>
      </c>
      <c r="I16" s="10">
        <f t="shared" si="9"/>
        <v>74.99999999999999</v>
      </c>
      <c r="J16" s="35">
        <v>0.9</v>
      </c>
      <c r="K16" s="35">
        <v>0.9</v>
      </c>
      <c r="L16" s="10">
        <f t="shared" si="10"/>
        <v>100</v>
      </c>
      <c r="M16" s="71">
        <f t="shared" si="21"/>
        <v>2.6</v>
      </c>
      <c r="N16" s="71">
        <f t="shared" si="22"/>
        <v>2.4</v>
      </c>
      <c r="O16" s="10">
        <f t="shared" si="1"/>
        <v>92.3076923076923</v>
      </c>
      <c r="P16" s="35">
        <v>0.9</v>
      </c>
      <c r="Q16" s="35">
        <v>0.5</v>
      </c>
      <c r="R16" s="10">
        <f t="shared" si="11"/>
        <v>55.55555555555556</v>
      </c>
      <c r="S16" s="35">
        <v>0.9</v>
      </c>
      <c r="T16" s="35">
        <v>1</v>
      </c>
      <c r="U16" s="10">
        <f t="shared" si="12"/>
        <v>111.11111111111111</v>
      </c>
      <c r="V16" s="35">
        <v>0</v>
      </c>
      <c r="W16" s="35">
        <v>0</v>
      </c>
      <c r="X16" s="85" t="e">
        <f t="shared" si="13"/>
        <v>#DIV/0!</v>
      </c>
      <c r="Y16" s="71">
        <f t="shared" si="14"/>
        <v>1.8</v>
      </c>
      <c r="Z16" s="71">
        <f t="shared" si="15"/>
        <v>1.5</v>
      </c>
      <c r="AA16" s="10">
        <f t="shared" si="2"/>
        <v>83.33333333333333</v>
      </c>
      <c r="AB16" s="35">
        <v>1.2</v>
      </c>
      <c r="AC16" s="35">
        <v>1.4</v>
      </c>
      <c r="AD16" s="10">
        <f t="shared" si="3"/>
        <v>116.66666666666667</v>
      </c>
      <c r="AE16" s="35">
        <v>2.6</v>
      </c>
      <c r="AF16" s="35">
        <v>1.6</v>
      </c>
      <c r="AG16" s="10">
        <f t="shared" si="4"/>
        <v>61.53846153846154</v>
      </c>
      <c r="AH16" s="35">
        <v>2.8</v>
      </c>
      <c r="AI16" s="35">
        <v>2.1</v>
      </c>
      <c r="AJ16" s="10">
        <f t="shared" si="16"/>
        <v>75.00000000000001</v>
      </c>
      <c r="AK16" s="71">
        <f t="shared" si="23"/>
        <v>6.6</v>
      </c>
      <c r="AL16" s="71">
        <f t="shared" si="24"/>
        <v>5.1</v>
      </c>
      <c r="AM16" s="10">
        <f t="shared" si="5"/>
        <v>77.27272727272727</v>
      </c>
      <c r="AN16" s="35"/>
      <c r="AO16" s="35"/>
      <c r="AP16" s="35"/>
      <c r="AQ16" s="35"/>
      <c r="AR16" s="35"/>
      <c r="AS16" s="35"/>
      <c r="AT16" s="58">
        <f t="shared" si="25"/>
        <v>11</v>
      </c>
      <c r="AU16" s="58">
        <f t="shared" si="26"/>
        <v>9</v>
      </c>
      <c r="AV16" s="10">
        <f t="shared" si="7"/>
        <v>81.81818181818183</v>
      </c>
      <c r="AW16" s="58">
        <f>AT16-AU16</f>
        <v>2</v>
      </c>
      <c r="AX16" s="16">
        <f t="shared" si="17"/>
        <v>3.3000000000000007</v>
      </c>
      <c r="AY16" s="20">
        <f t="shared" si="18"/>
        <v>11</v>
      </c>
      <c r="AZ16" s="20">
        <f t="shared" si="19"/>
        <v>9</v>
      </c>
      <c r="BA16" s="39">
        <f t="shared" si="20"/>
        <v>3.3000000000000007</v>
      </c>
    </row>
    <row r="17" spans="1:53" ht="34.5" customHeight="1">
      <c r="A17" s="12" t="s">
        <v>14</v>
      </c>
      <c r="B17" s="61" t="s">
        <v>89</v>
      </c>
      <c r="C17" s="90">
        <f>394.4+70</f>
        <v>464.4</v>
      </c>
      <c r="D17" s="35">
        <f>170+59.6</f>
        <v>229.6</v>
      </c>
      <c r="E17" s="35">
        <f>74.6+57.1</f>
        <v>131.7</v>
      </c>
      <c r="F17" s="10">
        <f t="shared" si="8"/>
        <v>57.36062717770034</v>
      </c>
      <c r="G17" s="35">
        <f>136.7+53.1</f>
        <v>189.79999999999998</v>
      </c>
      <c r="H17" s="35">
        <f>165.8+52.7</f>
        <v>218.5</v>
      </c>
      <c r="I17" s="10">
        <f t="shared" si="9"/>
        <v>115.12118018967334</v>
      </c>
      <c r="J17" s="35">
        <f>130.1+49.1</f>
        <v>179.2</v>
      </c>
      <c r="K17" s="35">
        <f>163.3+41.7</f>
        <v>205</v>
      </c>
      <c r="L17" s="10">
        <f t="shared" si="10"/>
        <v>114.39732142857144</v>
      </c>
      <c r="M17" s="71">
        <f t="shared" si="21"/>
        <v>598.5999999999999</v>
      </c>
      <c r="N17" s="71">
        <f t="shared" si="22"/>
        <v>555.2</v>
      </c>
      <c r="O17" s="10">
        <f t="shared" si="1"/>
        <v>92.74974941530239</v>
      </c>
      <c r="P17" s="35">
        <f>132.7+48.4</f>
        <v>181.1</v>
      </c>
      <c r="Q17" s="35">
        <f>15.3+46.9</f>
        <v>62.2</v>
      </c>
      <c r="R17" s="10">
        <f t="shared" si="11"/>
        <v>34.345665378244064</v>
      </c>
      <c r="S17" s="35">
        <f>47.6+125.7</f>
        <v>173.3</v>
      </c>
      <c r="T17" s="35">
        <f>45.9+12.3</f>
        <v>58.2</v>
      </c>
      <c r="U17" s="10">
        <f t="shared" si="12"/>
        <v>33.58338141950375</v>
      </c>
      <c r="V17" s="35">
        <f>41.7+17.2</f>
        <v>58.900000000000006</v>
      </c>
      <c r="W17" s="35">
        <f>40.3+11.6</f>
        <v>51.9</v>
      </c>
      <c r="X17" s="10">
        <f t="shared" si="13"/>
        <v>88.11544991511035</v>
      </c>
      <c r="Y17" s="71">
        <f t="shared" si="14"/>
        <v>413.29999999999995</v>
      </c>
      <c r="Z17" s="71">
        <f t="shared" si="15"/>
        <v>172.3</v>
      </c>
      <c r="AA17" s="10">
        <f t="shared" si="2"/>
        <v>41.688845874667315</v>
      </c>
      <c r="AB17" s="35">
        <f>44.4+42.1</f>
        <v>86.5</v>
      </c>
      <c r="AC17" s="35">
        <f>170+41.4</f>
        <v>211.4</v>
      </c>
      <c r="AD17" s="10">
        <f t="shared" si="3"/>
        <v>244.39306358381506</v>
      </c>
      <c r="AE17" s="35">
        <f>88+41.3</f>
        <v>129.3</v>
      </c>
      <c r="AF17" s="35">
        <f>113.9+40.1</f>
        <v>154</v>
      </c>
      <c r="AG17" s="10">
        <f t="shared" si="4"/>
        <v>119.10286156225831</v>
      </c>
      <c r="AH17" s="35">
        <f>42.1+152.6</f>
        <v>194.7</v>
      </c>
      <c r="AI17" s="35">
        <f>41.7+20.8</f>
        <v>62.5</v>
      </c>
      <c r="AJ17" s="10">
        <f t="shared" si="16"/>
        <v>32.100667693888035</v>
      </c>
      <c r="AK17" s="71">
        <f t="shared" si="23"/>
        <v>410.5</v>
      </c>
      <c r="AL17" s="71">
        <f t="shared" si="24"/>
        <v>427.9</v>
      </c>
      <c r="AM17" s="10">
        <f t="shared" si="5"/>
        <v>104.23873325213154</v>
      </c>
      <c r="AN17" s="35"/>
      <c r="AO17" s="35"/>
      <c r="AP17" s="35"/>
      <c r="AQ17" s="35"/>
      <c r="AR17" s="35"/>
      <c r="AS17" s="35"/>
      <c r="AT17" s="58">
        <f t="shared" si="25"/>
        <v>1422.3999999999999</v>
      </c>
      <c r="AU17" s="58">
        <f t="shared" si="26"/>
        <v>1155.4</v>
      </c>
      <c r="AV17" s="10">
        <f t="shared" si="7"/>
        <v>81.22890888638922</v>
      </c>
      <c r="AW17" s="58">
        <f t="shared" si="27"/>
        <v>266.9999999999998</v>
      </c>
      <c r="AX17" s="16">
        <f t="shared" si="17"/>
        <v>731.3999999999996</v>
      </c>
      <c r="AY17" s="20">
        <f t="shared" si="18"/>
        <v>1422.4</v>
      </c>
      <c r="AZ17" s="20">
        <f t="shared" si="19"/>
        <v>1155.4</v>
      </c>
      <c r="BA17" s="39">
        <f t="shared" si="20"/>
        <v>731.4000000000001</v>
      </c>
    </row>
    <row r="18" spans="1:53" ht="34.5" customHeight="1">
      <c r="A18" s="12" t="s">
        <v>15</v>
      </c>
      <c r="B18" s="61" t="s">
        <v>55</v>
      </c>
      <c r="C18" s="84">
        <v>10.8</v>
      </c>
      <c r="D18" s="35">
        <v>11</v>
      </c>
      <c r="E18" s="35">
        <v>13.1</v>
      </c>
      <c r="F18" s="10">
        <f t="shared" si="8"/>
        <v>119.0909090909091</v>
      </c>
      <c r="G18" s="35">
        <v>9.8</v>
      </c>
      <c r="H18" s="35">
        <v>6.3</v>
      </c>
      <c r="I18" s="10">
        <f t="shared" si="9"/>
        <v>64.28571428571428</v>
      </c>
      <c r="J18" s="35">
        <v>12.1</v>
      </c>
      <c r="K18" s="35">
        <v>15.7</v>
      </c>
      <c r="L18" s="10">
        <f t="shared" si="10"/>
        <v>129.75206611570246</v>
      </c>
      <c r="M18" s="71">
        <f t="shared" si="21"/>
        <v>32.9</v>
      </c>
      <c r="N18" s="71">
        <f t="shared" si="22"/>
        <v>35.099999999999994</v>
      </c>
      <c r="O18" s="10">
        <f t="shared" si="1"/>
        <v>106.68693009118539</v>
      </c>
      <c r="P18" s="35">
        <v>9.4</v>
      </c>
      <c r="Q18" s="35">
        <v>6.9</v>
      </c>
      <c r="R18" s="10">
        <f t="shared" si="11"/>
        <v>73.40425531914893</v>
      </c>
      <c r="S18" s="35">
        <v>10.4</v>
      </c>
      <c r="T18" s="35">
        <v>10.1</v>
      </c>
      <c r="U18" s="10">
        <f t="shared" si="12"/>
        <v>97.1153846153846</v>
      </c>
      <c r="V18" s="35">
        <v>10.5</v>
      </c>
      <c r="W18" s="35">
        <v>11.8</v>
      </c>
      <c r="X18" s="10">
        <f t="shared" si="13"/>
        <v>112.38095238095238</v>
      </c>
      <c r="Y18" s="71">
        <f t="shared" si="14"/>
        <v>30.3</v>
      </c>
      <c r="Z18" s="71">
        <f t="shared" si="15"/>
        <v>28.8</v>
      </c>
      <c r="AA18" s="10">
        <f t="shared" si="2"/>
        <v>95.04950495049505</v>
      </c>
      <c r="AB18" s="35">
        <v>9</v>
      </c>
      <c r="AC18" s="35">
        <v>7.3</v>
      </c>
      <c r="AD18" s="10">
        <f t="shared" si="3"/>
        <v>81.11111111111111</v>
      </c>
      <c r="AE18" s="35">
        <v>11.3</v>
      </c>
      <c r="AF18" s="35">
        <v>6.6</v>
      </c>
      <c r="AG18" s="10">
        <f t="shared" si="4"/>
        <v>58.40707964601769</v>
      </c>
      <c r="AH18" s="35">
        <v>9.6</v>
      </c>
      <c r="AI18" s="35">
        <v>14</v>
      </c>
      <c r="AJ18" s="10">
        <f t="shared" si="16"/>
        <v>145.83333333333334</v>
      </c>
      <c r="AK18" s="71">
        <f t="shared" si="23"/>
        <v>29.9</v>
      </c>
      <c r="AL18" s="71">
        <f t="shared" si="24"/>
        <v>27.9</v>
      </c>
      <c r="AM18" s="10">
        <f t="shared" si="5"/>
        <v>93.31103678929766</v>
      </c>
      <c r="AN18" s="35"/>
      <c r="AO18" s="35"/>
      <c r="AP18" s="35"/>
      <c r="AQ18" s="35"/>
      <c r="AR18" s="35"/>
      <c r="AS18" s="35"/>
      <c r="AT18" s="58">
        <f t="shared" si="25"/>
        <v>93.1</v>
      </c>
      <c r="AU18" s="58">
        <f t="shared" si="26"/>
        <v>91.79999999999998</v>
      </c>
      <c r="AV18" s="10">
        <f t="shared" si="7"/>
        <v>98.60365198711062</v>
      </c>
      <c r="AW18" s="58">
        <f t="shared" si="27"/>
        <v>1.3000000000000114</v>
      </c>
      <c r="AX18" s="16">
        <f t="shared" si="17"/>
        <v>12.100000000000009</v>
      </c>
      <c r="AY18" s="20">
        <f t="shared" si="18"/>
        <v>93.09999999999998</v>
      </c>
      <c r="AZ18" s="20">
        <f t="shared" si="19"/>
        <v>91.79999999999998</v>
      </c>
      <c r="BA18" s="39">
        <f t="shared" si="20"/>
        <v>12.099999999999994</v>
      </c>
    </row>
    <row r="19" spans="1:53" ht="34.5" customHeight="1">
      <c r="A19" s="12" t="s">
        <v>16</v>
      </c>
      <c r="B19" s="57" t="s">
        <v>56</v>
      </c>
      <c r="C19" s="84">
        <v>366.1</v>
      </c>
      <c r="D19" s="35">
        <v>187.9</v>
      </c>
      <c r="E19" s="35">
        <v>85.7</v>
      </c>
      <c r="F19" s="10">
        <f t="shared" si="8"/>
        <v>45.6093666844066</v>
      </c>
      <c r="G19" s="35">
        <v>187.7</v>
      </c>
      <c r="H19" s="35">
        <v>230.2</v>
      </c>
      <c r="I19" s="10">
        <f t="shared" si="9"/>
        <v>122.64251465103891</v>
      </c>
      <c r="J19" s="35">
        <v>173.2</v>
      </c>
      <c r="K19" s="35">
        <v>255.5</v>
      </c>
      <c r="L19" s="10">
        <f t="shared" si="10"/>
        <v>147.51732101616628</v>
      </c>
      <c r="M19" s="71">
        <f t="shared" si="21"/>
        <v>548.8</v>
      </c>
      <c r="N19" s="71">
        <f t="shared" si="22"/>
        <v>571.4</v>
      </c>
      <c r="O19" s="10">
        <f t="shared" si="1"/>
        <v>104.11807580174927</v>
      </c>
      <c r="P19" s="35">
        <v>168.8</v>
      </c>
      <c r="Q19" s="35">
        <v>174.8</v>
      </c>
      <c r="R19" s="10">
        <f t="shared" si="11"/>
        <v>103.55450236966826</v>
      </c>
      <c r="S19" s="35">
        <v>242.4</v>
      </c>
      <c r="T19" s="35">
        <v>67.5</v>
      </c>
      <c r="U19" s="102">
        <f t="shared" si="12"/>
        <v>27.846534653465344</v>
      </c>
      <c r="V19" s="35">
        <v>240.8</v>
      </c>
      <c r="W19" s="35">
        <v>353.6</v>
      </c>
      <c r="X19" s="10">
        <f t="shared" si="13"/>
        <v>146.843853820598</v>
      </c>
      <c r="Y19" s="71">
        <f t="shared" si="14"/>
        <v>652</v>
      </c>
      <c r="Z19" s="71">
        <f t="shared" si="15"/>
        <v>595.9000000000001</v>
      </c>
      <c r="AA19" s="10">
        <f t="shared" si="2"/>
        <v>91.39570552147241</v>
      </c>
      <c r="AB19" s="35">
        <v>345.5</v>
      </c>
      <c r="AC19" s="35">
        <v>77.4</v>
      </c>
      <c r="AD19" s="10">
        <f t="shared" si="3"/>
        <v>22.40231548480463</v>
      </c>
      <c r="AE19" s="35">
        <v>294</v>
      </c>
      <c r="AF19" s="35">
        <v>225.8</v>
      </c>
      <c r="AG19" s="10">
        <f t="shared" si="4"/>
        <v>76.80272108843538</v>
      </c>
      <c r="AH19" s="35">
        <v>263.2</v>
      </c>
      <c r="AI19" s="35">
        <v>358.1</v>
      </c>
      <c r="AJ19" s="10">
        <f t="shared" si="16"/>
        <v>136.05623100303953</v>
      </c>
      <c r="AK19" s="71">
        <f t="shared" si="23"/>
        <v>902.7</v>
      </c>
      <c r="AL19" s="71">
        <f t="shared" si="24"/>
        <v>661.3000000000001</v>
      </c>
      <c r="AM19" s="10">
        <f t="shared" si="5"/>
        <v>73.25800376647834</v>
      </c>
      <c r="AN19" s="35"/>
      <c r="AO19" s="35"/>
      <c r="AP19" s="35"/>
      <c r="AQ19" s="35"/>
      <c r="AR19" s="35"/>
      <c r="AS19" s="35"/>
      <c r="AT19" s="58">
        <f t="shared" si="25"/>
        <v>2103.5</v>
      </c>
      <c r="AU19" s="58">
        <f t="shared" si="26"/>
        <v>1828.6000000000004</v>
      </c>
      <c r="AV19" s="10">
        <f t="shared" si="7"/>
        <v>86.93130496791063</v>
      </c>
      <c r="AW19" s="58">
        <f t="shared" si="27"/>
        <v>274.89999999999964</v>
      </c>
      <c r="AX19" s="16">
        <f t="shared" si="17"/>
        <v>640.9999999999995</v>
      </c>
      <c r="AY19" s="20">
        <f t="shared" si="18"/>
        <v>2103.5</v>
      </c>
      <c r="AZ19" s="20">
        <f t="shared" si="19"/>
        <v>1828.6000000000004</v>
      </c>
      <c r="BA19" s="39">
        <f t="shared" si="20"/>
        <v>640.9999999999995</v>
      </c>
    </row>
    <row r="20" spans="1:53" ht="34.5" customHeight="1">
      <c r="A20" s="12" t="s">
        <v>17</v>
      </c>
      <c r="B20" s="61" t="s">
        <v>57</v>
      </c>
      <c r="C20" s="91">
        <v>-49.7</v>
      </c>
      <c r="D20" s="35">
        <v>6.5</v>
      </c>
      <c r="E20" s="35">
        <v>3.3</v>
      </c>
      <c r="F20" s="10">
        <f t="shared" si="8"/>
        <v>50.76923076923077</v>
      </c>
      <c r="G20" s="35">
        <v>5.2</v>
      </c>
      <c r="H20" s="35">
        <v>4.1</v>
      </c>
      <c r="I20" s="10">
        <f t="shared" si="9"/>
        <v>78.84615384615384</v>
      </c>
      <c r="J20" s="35">
        <v>6.5</v>
      </c>
      <c r="K20" s="35">
        <v>3.6</v>
      </c>
      <c r="L20" s="10">
        <f t="shared" si="10"/>
        <v>55.38461538461539</v>
      </c>
      <c r="M20" s="71">
        <f t="shared" si="21"/>
        <v>18.2</v>
      </c>
      <c r="N20" s="71">
        <f t="shared" si="22"/>
        <v>11</v>
      </c>
      <c r="O20" s="10">
        <f t="shared" si="1"/>
        <v>60.439560439560445</v>
      </c>
      <c r="P20" s="35">
        <v>8.2</v>
      </c>
      <c r="Q20" s="35">
        <v>4.4</v>
      </c>
      <c r="R20" s="10">
        <f t="shared" si="11"/>
        <v>53.658536585365866</v>
      </c>
      <c r="S20" s="35">
        <v>22.8</v>
      </c>
      <c r="T20" s="35">
        <v>6.3</v>
      </c>
      <c r="U20" s="102">
        <f t="shared" si="12"/>
        <v>27.631578947368418</v>
      </c>
      <c r="V20" s="35">
        <v>10</v>
      </c>
      <c r="W20" s="35">
        <v>5.5</v>
      </c>
      <c r="X20" s="10">
        <f t="shared" si="13"/>
        <v>55.00000000000001</v>
      </c>
      <c r="Y20" s="71">
        <f t="shared" si="14"/>
        <v>41</v>
      </c>
      <c r="Z20" s="71">
        <f t="shared" si="15"/>
        <v>16.2</v>
      </c>
      <c r="AA20" s="10">
        <f t="shared" si="2"/>
        <v>39.512195121951216</v>
      </c>
      <c r="AB20" s="35">
        <v>8.9</v>
      </c>
      <c r="AC20" s="35">
        <v>7.6</v>
      </c>
      <c r="AD20" s="10">
        <f t="shared" si="3"/>
        <v>85.39325842696628</v>
      </c>
      <c r="AE20" s="35">
        <v>7.3</v>
      </c>
      <c r="AF20" s="35">
        <v>6.5</v>
      </c>
      <c r="AG20" s="10">
        <f t="shared" si="4"/>
        <v>89.04109589041096</v>
      </c>
      <c r="AH20" s="35">
        <v>7</v>
      </c>
      <c r="AI20" s="35">
        <v>6.9</v>
      </c>
      <c r="AJ20" s="10">
        <f t="shared" si="16"/>
        <v>98.57142857142858</v>
      </c>
      <c r="AK20" s="71">
        <f t="shared" si="23"/>
        <v>23.2</v>
      </c>
      <c r="AL20" s="71">
        <f t="shared" si="24"/>
        <v>21</v>
      </c>
      <c r="AM20" s="10">
        <f t="shared" si="5"/>
        <v>90.51724137931035</v>
      </c>
      <c r="AN20" s="35"/>
      <c r="AO20" s="35"/>
      <c r="AP20" s="35"/>
      <c r="AQ20" s="35"/>
      <c r="AR20" s="35"/>
      <c r="AS20" s="35"/>
      <c r="AT20" s="58">
        <f t="shared" si="25"/>
        <v>82.4</v>
      </c>
      <c r="AU20" s="58">
        <f t="shared" si="26"/>
        <v>48.2</v>
      </c>
      <c r="AV20" s="10">
        <f t="shared" si="7"/>
        <v>58.495145631067956</v>
      </c>
      <c r="AW20" s="58">
        <f t="shared" si="27"/>
        <v>34.2</v>
      </c>
      <c r="AX20" s="16">
        <f t="shared" si="17"/>
        <v>-15.5</v>
      </c>
      <c r="AY20" s="20">
        <f t="shared" si="18"/>
        <v>82.4</v>
      </c>
      <c r="AZ20" s="20">
        <f t="shared" si="19"/>
        <v>48.199999999999996</v>
      </c>
      <c r="BA20" s="39">
        <f t="shared" si="20"/>
        <v>-15.499999999999993</v>
      </c>
    </row>
    <row r="21" spans="1:53" ht="34.5" customHeight="1">
      <c r="A21" s="12" t="s">
        <v>18</v>
      </c>
      <c r="B21" s="61" t="s">
        <v>58</v>
      </c>
      <c r="C21" s="84"/>
      <c r="D21" s="35"/>
      <c r="E21" s="35"/>
      <c r="F21" s="85" t="e">
        <f t="shared" si="8"/>
        <v>#DIV/0!</v>
      </c>
      <c r="G21" s="35"/>
      <c r="H21" s="35"/>
      <c r="I21" s="85" t="e">
        <f t="shared" si="9"/>
        <v>#DIV/0!</v>
      </c>
      <c r="J21" s="35"/>
      <c r="K21" s="35"/>
      <c r="L21" s="85" t="e">
        <f t="shared" si="10"/>
        <v>#DIV/0!</v>
      </c>
      <c r="M21" s="124">
        <f t="shared" si="21"/>
        <v>0</v>
      </c>
      <c r="N21" s="124">
        <f t="shared" si="22"/>
        <v>0</v>
      </c>
      <c r="O21" s="85" t="e">
        <f t="shared" si="1"/>
        <v>#DIV/0!</v>
      </c>
      <c r="P21" s="123"/>
      <c r="Q21" s="123"/>
      <c r="R21" s="85" t="e">
        <f t="shared" si="11"/>
        <v>#DIV/0!</v>
      </c>
      <c r="S21" s="35"/>
      <c r="T21" s="35"/>
      <c r="U21" s="60"/>
      <c r="V21" s="35"/>
      <c r="W21" s="35"/>
      <c r="X21" s="85" t="e">
        <f t="shared" si="13"/>
        <v>#DIV/0!</v>
      </c>
      <c r="Y21" s="71"/>
      <c r="Z21" s="71"/>
      <c r="AA21" s="10"/>
      <c r="AB21" s="35"/>
      <c r="AC21" s="35"/>
      <c r="AD21" s="85" t="e">
        <f t="shared" si="3"/>
        <v>#DIV/0!</v>
      </c>
      <c r="AE21" s="35"/>
      <c r="AF21" s="35"/>
      <c r="AG21" s="85" t="e">
        <f t="shared" si="4"/>
        <v>#DIV/0!</v>
      </c>
      <c r="AH21" s="35"/>
      <c r="AI21" s="35"/>
      <c r="AJ21" s="10" t="e">
        <f t="shared" si="16"/>
        <v>#DIV/0!</v>
      </c>
      <c r="AK21" s="71"/>
      <c r="AL21" s="71"/>
      <c r="AM21" s="10"/>
      <c r="AN21" s="35"/>
      <c r="AO21" s="35"/>
      <c r="AP21" s="35"/>
      <c r="AQ21" s="35"/>
      <c r="AR21" s="35"/>
      <c r="AS21" s="35"/>
      <c r="AT21" s="58"/>
      <c r="AU21" s="58"/>
      <c r="AV21" s="10"/>
      <c r="AW21" s="58"/>
      <c r="AX21" s="16"/>
      <c r="AY21" s="20">
        <f t="shared" si="18"/>
        <v>0</v>
      </c>
      <c r="AZ21" s="20">
        <f t="shared" si="19"/>
        <v>0</v>
      </c>
      <c r="BA21" s="39">
        <f t="shared" si="20"/>
        <v>0</v>
      </c>
    </row>
    <row r="22" spans="1:53" ht="34.5" customHeight="1">
      <c r="A22" s="12" t="s">
        <v>19</v>
      </c>
      <c r="B22" s="61" t="s">
        <v>41</v>
      </c>
      <c r="C22" s="92">
        <v>11.9</v>
      </c>
      <c r="D22" s="35">
        <v>12.4</v>
      </c>
      <c r="E22" s="35">
        <v>14.1</v>
      </c>
      <c r="F22" s="10">
        <f t="shared" si="8"/>
        <v>113.70967741935483</v>
      </c>
      <c r="G22" s="35">
        <v>9.8</v>
      </c>
      <c r="H22" s="35">
        <v>4.5</v>
      </c>
      <c r="I22" s="10">
        <f t="shared" si="9"/>
        <v>45.91836734693877</v>
      </c>
      <c r="J22" s="35">
        <v>7.7</v>
      </c>
      <c r="K22" s="35">
        <v>6.7</v>
      </c>
      <c r="L22" s="10">
        <f t="shared" si="10"/>
        <v>87.01298701298701</v>
      </c>
      <c r="M22" s="71">
        <f t="shared" si="21"/>
        <v>29.900000000000002</v>
      </c>
      <c r="N22" s="71">
        <f t="shared" si="22"/>
        <v>25.3</v>
      </c>
      <c r="O22" s="10">
        <f t="shared" si="1"/>
        <v>84.61538461538461</v>
      </c>
      <c r="P22" s="35">
        <v>9.9</v>
      </c>
      <c r="Q22" s="35">
        <v>15.5</v>
      </c>
      <c r="R22" s="10">
        <f t="shared" si="11"/>
        <v>156.56565656565655</v>
      </c>
      <c r="S22" s="35">
        <v>47.9</v>
      </c>
      <c r="T22" s="35">
        <v>28.1</v>
      </c>
      <c r="U22" s="102">
        <f>T22/S22*100</f>
        <v>58.663883089770366</v>
      </c>
      <c r="V22" s="35">
        <v>30.8</v>
      </c>
      <c r="W22" s="35">
        <v>28.1</v>
      </c>
      <c r="X22" s="10">
        <f t="shared" si="13"/>
        <v>91.23376623376623</v>
      </c>
      <c r="Y22" s="71">
        <f aca="true" t="shared" si="28" ref="Y22:Z28">P22+S22+V22</f>
        <v>88.6</v>
      </c>
      <c r="Z22" s="71">
        <f t="shared" si="28"/>
        <v>71.7</v>
      </c>
      <c r="AA22" s="10">
        <f aca="true" t="shared" si="29" ref="AA22:AA28">Z22/Y22*100</f>
        <v>80.9255079006772</v>
      </c>
      <c r="AB22" s="35">
        <v>9.2</v>
      </c>
      <c r="AC22" s="35">
        <v>35.2</v>
      </c>
      <c r="AD22" s="10">
        <f t="shared" si="3"/>
        <v>382.608695652174</v>
      </c>
      <c r="AE22" s="35">
        <v>9.1</v>
      </c>
      <c r="AF22" s="35">
        <v>9.2</v>
      </c>
      <c r="AG22" s="10">
        <f t="shared" si="4"/>
        <v>101.0989010989011</v>
      </c>
      <c r="AH22" s="35">
        <v>10.9</v>
      </c>
      <c r="AI22" s="35">
        <v>7.6</v>
      </c>
      <c r="AJ22" s="10">
        <f t="shared" si="16"/>
        <v>69.72477064220183</v>
      </c>
      <c r="AK22" s="71">
        <f t="shared" si="23"/>
        <v>29.199999999999996</v>
      </c>
      <c r="AL22" s="71">
        <f t="shared" si="24"/>
        <v>52.00000000000001</v>
      </c>
      <c r="AM22" s="10">
        <f aca="true" t="shared" si="30" ref="AM22:AM28">AL22/AK22*100</f>
        <v>178.08219178082197</v>
      </c>
      <c r="AN22" s="35"/>
      <c r="AO22" s="35"/>
      <c r="AP22" s="35"/>
      <c r="AQ22" s="35"/>
      <c r="AR22" s="35"/>
      <c r="AS22" s="35"/>
      <c r="AT22" s="58">
        <f t="shared" si="25"/>
        <v>147.7</v>
      </c>
      <c r="AU22" s="58">
        <f t="shared" si="26"/>
        <v>149</v>
      </c>
      <c r="AV22" s="10">
        <f t="shared" si="7"/>
        <v>100.88016249153691</v>
      </c>
      <c r="AW22" s="58">
        <f t="shared" si="27"/>
        <v>-1.3000000000000114</v>
      </c>
      <c r="AX22" s="16">
        <f aca="true" t="shared" si="31" ref="AX22:AX28">C22+AT22-AU22</f>
        <v>10.599999999999994</v>
      </c>
      <c r="AY22" s="20">
        <f t="shared" si="18"/>
        <v>147.70000000000002</v>
      </c>
      <c r="AZ22" s="20">
        <f t="shared" si="19"/>
        <v>148.99999999999997</v>
      </c>
      <c r="BA22" s="39">
        <f t="shared" si="20"/>
        <v>10.600000000000051</v>
      </c>
    </row>
    <row r="23" spans="1:53" ht="34.5" customHeight="1">
      <c r="A23" s="12" t="s">
        <v>20</v>
      </c>
      <c r="B23" s="61" t="s">
        <v>90</v>
      </c>
      <c r="C23" s="84">
        <v>5</v>
      </c>
      <c r="D23" s="35">
        <v>4.1</v>
      </c>
      <c r="E23" s="35">
        <v>4.6</v>
      </c>
      <c r="F23" s="10">
        <f t="shared" si="8"/>
        <v>112.19512195121952</v>
      </c>
      <c r="G23" s="35">
        <v>3.8</v>
      </c>
      <c r="H23" s="35">
        <v>4.5</v>
      </c>
      <c r="I23" s="10">
        <f t="shared" si="9"/>
        <v>118.42105263157896</v>
      </c>
      <c r="J23" s="35">
        <v>3.4</v>
      </c>
      <c r="K23" s="35">
        <v>3.9</v>
      </c>
      <c r="L23" s="10">
        <f t="shared" si="10"/>
        <v>114.70588235294117</v>
      </c>
      <c r="M23" s="71">
        <f t="shared" si="21"/>
        <v>11.299999999999999</v>
      </c>
      <c r="N23" s="71">
        <f t="shared" si="22"/>
        <v>13</v>
      </c>
      <c r="O23" s="10">
        <f t="shared" si="1"/>
        <v>115.04424778761062</v>
      </c>
      <c r="P23" s="35">
        <v>4.5</v>
      </c>
      <c r="Q23" s="35">
        <v>3.2</v>
      </c>
      <c r="R23" s="10">
        <f t="shared" si="11"/>
        <v>71.11111111111111</v>
      </c>
      <c r="S23" s="35">
        <v>4.8</v>
      </c>
      <c r="T23" s="35">
        <v>4.2</v>
      </c>
      <c r="U23" s="10">
        <f>T23/S23*100</f>
        <v>87.50000000000001</v>
      </c>
      <c r="V23" s="35">
        <v>2.1</v>
      </c>
      <c r="W23" s="35">
        <v>5.3</v>
      </c>
      <c r="X23" s="10">
        <f t="shared" si="13"/>
        <v>252.38095238095238</v>
      </c>
      <c r="Y23" s="71">
        <f t="shared" si="28"/>
        <v>11.4</v>
      </c>
      <c r="Z23" s="71">
        <f t="shared" si="28"/>
        <v>12.7</v>
      </c>
      <c r="AA23" s="10">
        <f t="shared" si="29"/>
        <v>111.40350877192982</v>
      </c>
      <c r="AB23" s="35">
        <v>2.3</v>
      </c>
      <c r="AC23" s="35">
        <v>2</v>
      </c>
      <c r="AD23" s="10">
        <f t="shared" si="3"/>
        <v>86.95652173913044</v>
      </c>
      <c r="AE23" s="35">
        <v>3.5</v>
      </c>
      <c r="AF23" s="35">
        <v>2</v>
      </c>
      <c r="AG23" s="10">
        <f t="shared" si="4"/>
        <v>57.14285714285714</v>
      </c>
      <c r="AH23" s="35">
        <v>2.2</v>
      </c>
      <c r="AI23" s="35">
        <v>1.9</v>
      </c>
      <c r="AJ23" s="10">
        <f t="shared" si="16"/>
        <v>86.36363636363636</v>
      </c>
      <c r="AK23" s="71">
        <f t="shared" si="23"/>
        <v>8</v>
      </c>
      <c r="AL23" s="71">
        <f t="shared" si="24"/>
        <v>5.9</v>
      </c>
      <c r="AM23" s="10">
        <f t="shared" si="30"/>
        <v>73.75</v>
      </c>
      <c r="AN23" s="35"/>
      <c r="AO23" s="35"/>
      <c r="AP23" s="35"/>
      <c r="AQ23" s="35"/>
      <c r="AR23" s="35"/>
      <c r="AS23" s="35"/>
      <c r="AT23" s="58">
        <f t="shared" si="25"/>
        <v>30.7</v>
      </c>
      <c r="AU23" s="58">
        <f t="shared" si="26"/>
        <v>31.6</v>
      </c>
      <c r="AV23" s="10">
        <f t="shared" si="7"/>
        <v>102.93159609120521</v>
      </c>
      <c r="AW23" s="58">
        <f t="shared" si="27"/>
        <v>-0.9000000000000021</v>
      </c>
      <c r="AX23" s="16">
        <f t="shared" si="31"/>
        <v>4.100000000000001</v>
      </c>
      <c r="AY23" s="20">
        <f t="shared" si="18"/>
        <v>30.7</v>
      </c>
      <c r="AZ23" s="20">
        <f t="shared" si="19"/>
        <v>31.599999999999998</v>
      </c>
      <c r="BA23" s="39">
        <f t="shared" si="20"/>
        <v>4.100000000000005</v>
      </c>
    </row>
    <row r="24" spans="1:53" ht="34.5" customHeight="1">
      <c r="A24" s="12" t="s">
        <v>21</v>
      </c>
      <c r="B24" s="61" t="s">
        <v>40</v>
      </c>
      <c r="C24" s="84">
        <v>40.5</v>
      </c>
      <c r="D24" s="35">
        <v>111.8</v>
      </c>
      <c r="E24" s="35">
        <v>121.1</v>
      </c>
      <c r="F24" s="10">
        <f t="shared" si="8"/>
        <v>108.31842576028623</v>
      </c>
      <c r="G24" s="35">
        <v>124.2</v>
      </c>
      <c r="H24" s="35">
        <v>85.4</v>
      </c>
      <c r="I24" s="10">
        <f t="shared" si="9"/>
        <v>68.76006441223834</v>
      </c>
      <c r="J24" s="35">
        <v>121.3</v>
      </c>
      <c r="K24" s="35">
        <v>156.7</v>
      </c>
      <c r="L24" s="10">
        <f t="shared" si="10"/>
        <v>129.1838417147568</v>
      </c>
      <c r="M24" s="71">
        <f t="shared" si="21"/>
        <v>357.3</v>
      </c>
      <c r="N24" s="71">
        <f t="shared" si="22"/>
        <v>363.2</v>
      </c>
      <c r="O24" s="10">
        <f t="shared" si="1"/>
        <v>101.65127343968653</v>
      </c>
      <c r="P24" s="35">
        <v>132.5</v>
      </c>
      <c r="Q24" s="35">
        <v>109.9</v>
      </c>
      <c r="R24" s="10">
        <f t="shared" si="11"/>
        <v>82.9433962264151</v>
      </c>
      <c r="S24" s="35">
        <v>164.2</v>
      </c>
      <c r="T24" s="35">
        <v>167.2</v>
      </c>
      <c r="U24" s="10">
        <f>T24/S24*100</f>
        <v>101.82704019488429</v>
      </c>
      <c r="V24" s="35">
        <v>222.7</v>
      </c>
      <c r="W24" s="35">
        <v>196.6</v>
      </c>
      <c r="X24" s="10">
        <f t="shared" si="13"/>
        <v>88.2801975752133</v>
      </c>
      <c r="Y24" s="71">
        <f t="shared" si="28"/>
        <v>519.4</v>
      </c>
      <c r="Z24" s="71">
        <f t="shared" si="28"/>
        <v>473.70000000000005</v>
      </c>
      <c r="AA24" s="10">
        <f t="shared" si="29"/>
        <v>91.2013862148633</v>
      </c>
      <c r="AB24" s="35">
        <v>203.3</v>
      </c>
      <c r="AC24" s="35">
        <v>199.7</v>
      </c>
      <c r="AD24" s="10">
        <f t="shared" si="3"/>
        <v>98.22921790457451</v>
      </c>
      <c r="AE24" s="35">
        <v>214.3</v>
      </c>
      <c r="AF24" s="35">
        <v>163.8</v>
      </c>
      <c r="AG24" s="10">
        <f t="shared" si="4"/>
        <v>76.43490433971068</v>
      </c>
      <c r="AH24" s="35">
        <v>194.6</v>
      </c>
      <c r="AI24" s="35">
        <v>214.8</v>
      </c>
      <c r="AJ24" s="10">
        <f t="shared" si="16"/>
        <v>110.38026721479959</v>
      </c>
      <c r="AK24" s="71">
        <f t="shared" si="23"/>
        <v>612.2</v>
      </c>
      <c r="AL24" s="71">
        <f t="shared" si="24"/>
        <v>578.3</v>
      </c>
      <c r="AM24" s="10">
        <f t="shared" si="30"/>
        <v>94.46259392355438</v>
      </c>
      <c r="AN24" s="35"/>
      <c r="AO24" s="35"/>
      <c r="AP24" s="35"/>
      <c r="AQ24" s="35"/>
      <c r="AR24" s="35"/>
      <c r="AS24" s="35"/>
      <c r="AT24" s="58">
        <f t="shared" si="25"/>
        <v>1488.9</v>
      </c>
      <c r="AU24" s="58">
        <f t="shared" si="26"/>
        <v>1415.2</v>
      </c>
      <c r="AV24" s="10">
        <f t="shared" si="7"/>
        <v>95.05003694002284</v>
      </c>
      <c r="AW24" s="58">
        <f t="shared" si="27"/>
        <v>73.70000000000005</v>
      </c>
      <c r="AX24" s="16">
        <f t="shared" si="31"/>
        <v>114.20000000000005</v>
      </c>
      <c r="AY24" s="20">
        <f t="shared" si="18"/>
        <v>1488.8999999999999</v>
      </c>
      <c r="AZ24" s="20">
        <f t="shared" si="19"/>
        <v>1415.1999999999998</v>
      </c>
      <c r="BA24" s="39">
        <f t="shared" si="20"/>
        <v>114.20000000000005</v>
      </c>
    </row>
    <row r="25" spans="1:53" ht="34.5" customHeight="1">
      <c r="A25" s="12" t="s">
        <v>22</v>
      </c>
      <c r="B25" s="57" t="s">
        <v>43</v>
      </c>
      <c r="C25" s="84">
        <v>48.5</v>
      </c>
      <c r="D25" s="35">
        <v>25.5</v>
      </c>
      <c r="E25" s="35">
        <v>28</v>
      </c>
      <c r="F25" s="10">
        <f t="shared" si="8"/>
        <v>109.80392156862746</v>
      </c>
      <c r="G25" s="35">
        <v>25.5</v>
      </c>
      <c r="H25" s="35">
        <v>28</v>
      </c>
      <c r="I25" s="10">
        <f t="shared" si="9"/>
        <v>109.80392156862746</v>
      </c>
      <c r="J25" s="35">
        <v>44.9</v>
      </c>
      <c r="K25" s="35">
        <v>48.7</v>
      </c>
      <c r="L25" s="10">
        <f t="shared" si="10"/>
        <v>108.46325167037863</v>
      </c>
      <c r="M25" s="71">
        <f t="shared" si="21"/>
        <v>95.9</v>
      </c>
      <c r="N25" s="71">
        <f t="shared" si="22"/>
        <v>104.7</v>
      </c>
      <c r="O25" s="10">
        <f t="shared" si="1"/>
        <v>109.17622523461938</v>
      </c>
      <c r="P25" s="35">
        <v>34.5</v>
      </c>
      <c r="Q25" s="35">
        <v>48.7</v>
      </c>
      <c r="R25" s="10">
        <f t="shared" si="11"/>
        <v>141.1594202898551</v>
      </c>
      <c r="S25" s="35">
        <v>25.5</v>
      </c>
      <c r="T25" s="35">
        <v>44.5</v>
      </c>
      <c r="U25" s="10">
        <f>T25/S25*100</f>
        <v>174.50980392156862</v>
      </c>
      <c r="V25" s="35">
        <v>28.5</v>
      </c>
      <c r="W25" s="35">
        <v>22.8</v>
      </c>
      <c r="X25" s="10">
        <f>W25/V25*100</f>
        <v>80</v>
      </c>
      <c r="Y25" s="71">
        <f t="shared" si="28"/>
        <v>88.5</v>
      </c>
      <c r="Z25" s="71">
        <f t="shared" si="28"/>
        <v>116</v>
      </c>
      <c r="AA25" s="10">
        <f t="shared" si="29"/>
        <v>131.0734463276836</v>
      </c>
      <c r="AB25" s="35">
        <v>29.6</v>
      </c>
      <c r="AC25" s="35">
        <v>46.7</v>
      </c>
      <c r="AD25" s="10">
        <f t="shared" si="3"/>
        <v>157.77027027027026</v>
      </c>
      <c r="AE25" s="35">
        <v>27.6</v>
      </c>
      <c r="AF25" s="35">
        <v>20.8</v>
      </c>
      <c r="AG25" s="10">
        <f t="shared" si="4"/>
        <v>75.36231884057972</v>
      </c>
      <c r="AH25" s="35">
        <v>27.9</v>
      </c>
      <c r="AI25" s="35">
        <v>20.7</v>
      </c>
      <c r="AJ25" s="10">
        <f t="shared" si="16"/>
        <v>74.19354838709677</v>
      </c>
      <c r="AK25" s="71">
        <f t="shared" si="23"/>
        <v>85.1</v>
      </c>
      <c r="AL25" s="71">
        <f t="shared" si="24"/>
        <v>88.2</v>
      </c>
      <c r="AM25" s="10">
        <f t="shared" si="30"/>
        <v>103.6427732079906</v>
      </c>
      <c r="AN25" s="35"/>
      <c r="AO25" s="35"/>
      <c r="AP25" s="35"/>
      <c r="AQ25" s="35"/>
      <c r="AR25" s="35"/>
      <c r="AS25" s="35"/>
      <c r="AT25" s="58">
        <f t="shared" si="25"/>
        <v>269.5</v>
      </c>
      <c r="AU25" s="58">
        <f t="shared" si="26"/>
        <v>308.9</v>
      </c>
      <c r="AV25" s="10">
        <f t="shared" si="7"/>
        <v>114.61966604823748</v>
      </c>
      <c r="AW25" s="58">
        <f t="shared" si="27"/>
        <v>-39.39999999999998</v>
      </c>
      <c r="AX25" s="16">
        <f t="shared" si="31"/>
        <v>9.100000000000023</v>
      </c>
      <c r="AY25" s="20">
        <f t="shared" si="18"/>
        <v>269.5</v>
      </c>
      <c r="AZ25" s="20">
        <f t="shared" si="19"/>
        <v>308.90000000000003</v>
      </c>
      <c r="BA25" s="39">
        <f t="shared" si="20"/>
        <v>9.099999999999966</v>
      </c>
    </row>
    <row r="26" spans="1:53" ht="34.5" customHeight="1">
      <c r="A26" s="12" t="s">
        <v>23</v>
      </c>
      <c r="B26" s="61" t="s">
        <v>91</v>
      </c>
      <c r="C26" s="84">
        <v>2.8</v>
      </c>
      <c r="D26" s="35">
        <v>2.1</v>
      </c>
      <c r="E26" s="35">
        <v>4</v>
      </c>
      <c r="F26" s="10">
        <f t="shared" si="8"/>
        <v>190.47619047619045</v>
      </c>
      <c r="G26" s="35">
        <v>2</v>
      </c>
      <c r="H26" s="35">
        <v>1.9</v>
      </c>
      <c r="I26" s="10">
        <f t="shared" si="9"/>
        <v>95</v>
      </c>
      <c r="J26" s="35">
        <v>1.4</v>
      </c>
      <c r="K26" s="35">
        <v>1.6</v>
      </c>
      <c r="L26" s="10">
        <f t="shared" si="10"/>
        <v>114.2857142857143</v>
      </c>
      <c r="M26" s="71">
        <f t="shared" si="21"/>
        <v>5.5</v>
      </c>
      <c r="N26" s="71">
        <f t="shared" si="22"/>
        <v>7.5</v>
      </c>
      <c r="O26" s="10">
        <f t="shared" si="1"/>
        <v>136.36363636363635</v>
      </c>
      <c r="P26" s="35">
        <v>0.6</v>
      </c>
      <c r="Q26" s="35">
        <v>0.6</v>
      </c>
      <c r="R26" s="10">
        <f t="shared" si="11"/>
        <v>100</v>
      </c>
      <c r="S26" s="35">
        <v>0.1</v>
      </c>
      <c r="T26" s="35">
        <v>0.3</v>
      </c>
      <c r="U26" s="10">
        <v>0</v>
      </c>
      <c r="V26" s="35">
        <v>0.1</v>
      </c>
      <c r="W26" s="35">
        <v>1</v>
      </c>
      <c r="X26" s="10">
        <v>0</v>
      </c>
      <c r="Y26" s="71">
        <f t="shared" si="28"/>
        <v>0.7999999999999999</v>
      </c>
      <c r="Z26" s="71">
        <f t="shared" si="28"/>
        <v>1.9</v>
      </c>
      <c r="AA26" s="10">
        <f t="shared" si="29"/>
        <v>237.5</v>
      </c>
      <c r="AB26" s="35">
        <v>0.2</v>
      </c>
      <c r="AC26" s="35">
        <v>0.1</v>
      </c>
      <c r="AD26" s="10">
        <f t="shared" si="3"/>
        <v>50</v>
      </c>
      <c r="AE26" s="35">
        <v>0.1</v>
      </c>
      <c r="AF26" s="35">
        <v>0.1</v>
      </c>
      <c r="AG26" s="10">
        <f t="shared" si="4"/>
        <v>100</v>
      </c>
      <c r="AH26" s="35">
        <v>0.1</v>
      </c>
      <c r="AI26" s="35">
        <v>0.1</v>
      </c>
      <c r="AJ26" s="10">
        <f t="shared" si="16"/>
        <v>100</v>
      </c>
      <c r="AK26" s="71">
        <f t="shared" si="23"/>
        <v>0.4</v>
      </c>
      <c r="AL26" s="71">
        <f t="shared" si="24"/>
        <v>0.30000000000000004</v>
      </c>
      <c r="AM26" s="10">
        <f t="shared" si="30"/>
        <v>75.00000000000001</v>
      </c>
      <c r="AN26" s="35"/>
      <c r="AO26" s="35"/>
      <c r="AP26" s="35"/>
      <c r="AQ26" s="35"/>
      <c r="AR26" s="35"/>
      <c r="AS26" s="35"/>
      <c r="AT26" s="58">
        <f t="shared" si="25"/>
        <v>6.7</v>
      </c>
      <c r="AU26" s="58">
        <f t="shared" si="26"/>
        <v>9.700000000000001</v>
      </c>
      <c r="AV26" s="10">
        <f t="shared" si="7"/>
        <v>144.7761194029851</v>
      </c>
      <c r="AW26" s="58">
        <f t="shared" si="27"/>
        <v>-3.000000000000001</v>
      </c>
      <c r="AX26" s="16">
        <f t="shared" si="31"/>
        <v>-0.20000000000000107</v>
      </c>
      <c r="AY26" s="20">
        <f t="shared" si="18"/>
        <v>6.699999999999998</v>
      </c>
      <c r="AZ26" s="20">
        <f t="shared" si="19"/>
        <v>9.7</v>
      </c>
      <c r="BA26" s="39">
        <f t="shared" si="20"/>
        <v>-0.20000000000000107</v>
      </c>
    </row>
    <row r="27" spans="1:53" ht="34.5" customHeight="1">
      <c r="A27" s="12" t="s">
        <v>24</v>
      </c>
      <c r="B27" s="61" t="s">
        <v>59</v>
      </c>
      <c r="C27" s="84">
        <v>0</v>
      </c>
      <c r="D27" s="35">
        <v>7.8</v>
      </c>
      <c r="E27" s="35">
        <v>7.8</v>
      </c>
      <c r="F27" s="10">
        <f t="shared" si="8"/>
        <v>100</v>
      </c>
      <c r="G27" s="35">
        <v>9.2</v>
      </c>
      <c r="H27" s="35">
        <v>9.2</v>
      </c>
      <c r="I27" s="10">
        <f t="shared" si="9"/>
        <v>100</v>
      </c>
      <c r="J27" s="35">
        <v>20.4</v>
      </c>
      <c r="K27" s="35">
        <v>20.4</v>
      </c>
      <c r="L27" s="10">
        <f t="shared" si="10"/>
        <v>100</v>
      </c>
      <c r="M27" s="71">
        <f t="shared" si="21"/>
        <v>37.4</v>
      </c>
      <c r="N27" s="71">
        <f t="shared" si="22"/>
        <v>37.4</v>
      </c>
      <c r="O27" s="10">
        <f t="shared" si="1"/>
        <v>100</v>
      </c>
      <c r="P27" s="35">
        <v>10.5</v>
      </c>
      <c r="Q27" s="35">
        <v>10.5</v>
      </c>
      <c r="R27" s="10">
        <f t="shared" si="11"/>
        <v>100</v>
      </c>
      <c r="S27" s="35">
        <v>13</v>
      </c>
      <c r="T27" s="35">
        <v>13</v>
      </c>
      <c r="U27" s="10">
        <v>0</v>
      </c>
      <c r="V27" s="35">
        <v>0</v>
      </c>
      <c r="W27" s="35">
        <v>0</v>
      </c>
      <c r="X27" s="10">
        <v>0</v>
      </c>
      <c r="Y27" s="71">
        <f t="shared" si="28"/>
        <v>23.5</v>
      </c>
      <c r="Z27" s="71">
        <f t="shared" si="28"/>
        <v>23.5</v>
      </c>
      <c r="AA27" s="10">
        <f t="shared" si="29"/>
        <v>100</v>
      </c>
      <c r="AB27" s="35">
        <v>10.3</v>
      </c>
      <c r="AC27" s="35">
        <v>10.3</v>
      </c>
      <c r="AD27" s="10">
        <f t="shared" si="3"/>
        <v>100</v>
      </c>
      <c r="AE27" s="35">
        <v>21.8</v>
      </c>
      <c r="AF27" s="35">
        <v>21.8</v>
      </c>
      <c r="AG27" s="10">
        <f t="shared" si="4"/>
        <v>100</v>
      </c>
      <c r="AH27" s="35">
        <v>6.2</v>
      </c>
      <c r="AI27" s="35">
        <v>6.2</v>
      </c>
      <c r="AJ27" s="10">
        <f t="shared" si="16"/>
        <v>100</v>
      </c>
      <c r="AK27" s="71">
        <f t="shared" si="23"/>
        <v>38.300000000000004</v>
      </c>
      <c r="AL27" s="71">
        <f t="shared" si="24"/>
        <v>38.300000000000004</v>
      </c>
      <c r="AM27" s="10">
        <f t="shared" si="30"/>
        <v>100</v>
      </c>
      <c r="AN27" s="35"/>
      <c r="AO27" s="35"/>
      <c r="AP27" s="35"/>
      <c r="AQ27" s="35"/>
      <c r="AR27" s="35"/>
      <c r="AS27" s="35"/>
      <c r="AT27" s="58">
        <f t="shared" si="25"/>
        <v>99.2</v>
      </c>
      <c r="AU27" s="58">
        <f t="shared" si="26"/>
        <v>99.2</v>
      </c>
      <c r="AV27" s="10">
        <f t="shared" si="7"/>
        <v>100</v>
      </c>
      <c r="AW27" s="58">
        <f t="shared" si="27"/>
        <v>0</v>
      </c>
      <c r="AX27" s="16">
        <f t="shared" si="31"/>
        <v>0</v>
      </c>
      <c r="AY27" s="20">
        <f t="shared" si="18"/>
        <v>99.2</v>
      </c>
      <c r="AZ27" s="20">
        <f t="shared" si="19"/>
        <v>99.2</v>
      </c>
      <c r="BA27" s="39">
        <f t="shared" si="20"/>
        <v>0</v>
      </c>
    </row>
    <row r="28" spans="1:53" ht="34.5" customHeight="1">
      <c r="A28" s="12" t="s">
        <v>25</v>
      </c>
      <c r="B28" s="113" t="s">
        <v>92</v>
      </c>
      <c r="C28" s="91">
        <v>89.6</v>
      </c>
      <c r="D28" s="35">
        <v>91.8</v>
      </c>
      <c r="E28" s="35">
        <v>76.1</v>
      </c>
      <c r="F28" s="10">
        <f t="shared" si="8"/>
        <v>82.89760348583877</v>
      </c>
      <c r="G28" s="35">
        <v>90.6</v>
      </c>
      <c r="H28" s="35">
        <v>89.7</v>
      </c>
      <c r="I28" s="10">
        <f t="shared" si="9"/>
        <v>99.00662251655629</v>
      </c>
      <c r="J28" s="35">
        <v>91.8</v>
      </c>
      <c r="K28" s="35">
        <v>93.4</v>
      </c>
      <c r="L28" s="10">
        <f t="shared" si="10"/>
        <v>101.74291938997821</v>
      </c>
      <c r="M28" s="71">
        <f t="shared" si="21"/>
        <v>274.2</v>
      </c>
      <c r="N28" s="71">
        <f t="shared" si="22"/>
        <v>259.20000000000005</v>
      </c>
      <c r="O28" s="10">
        <f t="shared" si="1"/>
        <v>94.52954048140046</v>
      </c>
      <c r="P28" s="35">
        <v>107.8</v>
      </c>
      <c r="Q28" s="35">
        <v>112.8</v>
      </c>
      <c r="R28" s="10">
        <f t="shared" si="11"/>
        <v>104.63821892393321</v>
      </c>
      <c r="S28" s="35">
        <v>91.4</v>
      </c>
      <c r="T28" s="35">
        <v>96.4</v>
      </c>
      <c r="U28" s="10">
        <v>0</v>
      </c>
      <c r="V28" s="35">
        <v>106.3</v>
      </c>
      <c r="W28" s="35">
        <v>82.5</v>
      </c>
      <c r="X28" s="10">
        <v>0</v>
      </c>
      <c r="Y28" s="71">
        <f t="shared" si="28"/>
        <v>305.5</v>
      </c>
      <c r="Z28" s="71">
        <f t="shared" si="28"/>
        <v>291.7</v>
      </c>
      <c r="AA28" s="10">
        <f t="shared" si="29"/>
        <v>95.48281505728315</v>
      </c>
      <c r="AB28" s="35">
        <v>94.8</v>
      </c>
      <c r="AC28" s="35">
        <v>123.7</v>
      </c>
      <c r="AD28" s="10">
        <f t="shared" si="3"/>
        <v>130.48523206751054</v>
      </c>
      <c r="AE28" s="35">
        <v>94.7</v>
      </c>
      <c r="AF28" s="79">
        <v>58.7</v>
      </c>
      <c r="AG28" s="10">
        <f t="shared" si="4"/>
        <v>61.98521647307287</v>
      </c>
      <c r="AH28" s="35">
        <v>83.6</v>
      </c>
      <c r="AI28" s="79">
        <v>98.2</v>
      </c>
      <c r="AJ28" s="10">
        <f t="shared" si="16"/>
        <v>117.4641148325359</v>
      </c>
      <c r="AK28" s="71">
        <f t="shared" si="23"/>
        <v>273.1</v>
      </c>
      <c r="AL28" s="71">
        <f t="shared" si="24"/>
        <v>280.6</v>
      </c>
      <c r="AM28" s="10">
        <f t="shared" si="30"/>
        <v>102.7462467960454</v>
      </c>
      <c r="AN28" s="35"/>
      <c r="AO28" s="79"/>
      <c r="AP28" s="35"/>
      <c r="AQ28" s="79"/>
      <c r="AR28" s="35"/>
      <c r="AS28" s="79"/>
      <c r="AT28" s="58">
        <f t="shared" si="25"/>
        <v>852.8000000000001</v>
      </c>
      <c r="AU28" s="58">
        <f t="shared" si="26"/>
        <v>831.5000000000001</v>
      </c>
      <c r="AV28" s="10">
        <f t="shared" si="7"/>
        <v>97.50234521575986</v>
      </c>
      <c r="AW28" s="58">
        <f t="shared" si="27"/>
        <v>21.299999999999955</v>
      </c>
      <c r="AX28" s="16">
        <f t="shared" si="31"/>
        <v>110.89999999999998</v>
      </c>
      <c r="AY28" s="20">
        <f t="shared" si="18"/>
        <v>852.8</v>
      </c>
      <c r="AZ28" s="20">
        <f t="shared" si="19"/>
        <v>831.5000000000002</v>
      </c>
      <c r="BA28" s="39">
        <f t="shared" si="20"/>
        <v>110.89999999999975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8"/>
        <v>#DIV/0!</v>
      </c>
      <c r="G29" s="62"/>
      <c r="H29" s="62"/>
      <c r="I29" s="85" t="e">
        <f t="shared" si="9"/>
        <v>#DIV/0!</v>
      </c>
      <c r="J29" s="62"/>
      <c r="K29" s="62"/>
      <c r="L29" s="85" t="e">
        <f t="shared" si="10"/>
        <v>#DIV/0!</v>
      </c>
      <c r="M29" s="124">
        <f t="shared" si="21"/>
        <v>0</v>
      </c>
      <c r="N29" s="124">
        <f t="shared" si="22"/>
        <v>0</v>
      </c>
      <c r="O29" s="85" t="e">
        <f t="shared" si="1"/>
        <v>#DIV/0!</v>
      </c>
      <c r="P29" s="141"/>
      <c r="Q29" s="141"/>
      <c r="R29" s="85" t="e">
        <f t="shared" si="11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85" t="e">
        <f t="shared" si="3"/>
        <v>#DIV/0!</v>
      </c>
      <c r="AE29" s="53"/>
      <c r="AF29" s="53"/>
      <c r="AG29" s="85" t="e">
        <f t="shared" si="4"/>
        <v>#DIV/0!</v>
      </c>
      <c r="AH29" s="53"/>
      <c r="AI29" s="53"/>
      <c r="AJ29" s="10" t="e">
        <f t="shared" si="16"/>
        <v>#DIV/0!</v>
      </c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8"/>
        <v>0</v>
      </c>
      <c r="AZ29" s="20">
        <f t="shared" si="19"/>
        <v>0</v>
      </c>
      <c r="BA29" s="39">
        <f t="shared" si="20"/>
        <v>0</v>
      </c>
    </row>
    <row r="30" spans="1:53" ht="34.5" customHeight="1">
      <c r="A30" s="12" t="s">
        <v>27</v>
      </c>
      <c r="B30" s="61" t="s">
        <v>39</v>
      </c>
      <c r="C30" s="93">
        <v>0.6</v>
      </c>
      <c r="D30" s="35">
        <v>31.1</v>
      </c>
      <c r="E30" s="35">
        <v>29.4</v>
      </c>
      <c r="F30" s="10">
        <f t="shared" si="8"/>
        <v>94.5337620578778</v>
      </c>
      <c r="G30" s="35">
        <v>28.5</v>
      </c>
      <c r="H30" s="35">
        <v>25.3</v>
      </c>
      <c r="I30" s="10">
        <f t="shared" si="9"/>
        <v>88.7719298245614</v>
      </c>
      <c r="J30" s="35">
        <v>31.1</v>
      </c>
      <c r="K30" s="35">
        <v>30.8</v>
      </c>
      <c r="L30" s="10">
        <f t="shared" si="10"/>
        <v>99.03536977491962</v>
      </c>
      <c r="M30" s="71">
        <f t="shared" si="21"/>
        <v>90.7</v>
      </c>
      <c r="N30" s="71">
        <f t="shared" si="22"/>
        <v>85.5</v>
      </c>
      <c r="O30" s="10">
        <f t="shared" si="1"/>
        <v>94.26681367144431</v>
      </c>
      <c r="P30" s="35">
        <v>30.6</v>
      </c>
      <c r="Q30" s="35">
        <v>27.6</v>
      </c>
      <c r="R30" s="10">
        <f t="shared" si="11"/>
        <v>90.19607843137256</v>
      </c>
      <c r="S30" s="35">
        <v>27.8</v>
      </c>
      <c r="T30" s="35">
        <v>30.8</v>
      </c>
      <c r="U30" s="102">
        <f aca="true" t="shared" si="32" ref="U30:U45">T30/S30*100</f>
        <v>110.79136690647482</v>
      </c>
      <c r="V30" s="35">
        <v>28.3</v>
      </c>
      <c r="W30" s="35">
        <v>28.2</v>
      </c>
      <c r="X30" s="102">
        <f aca="true" t="shared" si="33" ref="X30:X45">W30/V30*100</f>
        <v>99.64664310954063</v>
      </c>
      <c r="Y30" s="71">
        <f aca="true" t="shared" si="34" ref="Y30:Y42">P30+S30+V30</f>
        <v>86.7</v>
      </c>
      <c r="Z30" s="71">
        <f aca="true" t="shared" si="35" ref="Z30:Z42">Q30+T30+W30</f>
        <v>86.60000000000001</v>
      </c>
      <c r="AA30" s="10">
        <f aca="true" t="shared" si="36" ref="AA30:AA45">Z30/Y30*100</f>
        <v>99.88465974625144</v>
      </c>
      <c r="AB30" s="35">
        <v>22.1</v>
      </c>
      <c r="AC30" s="35">
        <v>21.1</v>
      </c>
      <c r="AD30" s="10">
        <f t="shared" si="3"/>
        <v>95.47511312217195</v>
      </c>
      <c r="AE30" s="35">
        <v>14</v>
      </c>
      <c r="AF30" s="35">
        <v>14.1</v>
      </c>
      <c r="AG30" s="10">
        <f t="shared" si="4"/>
        <v>100.71428571428571</v>
      </c>
      <c r="AH30" s="35">
        <v>13.1</v>
      </c>
      <c r="AI30" s="35">
        <v>11.8</v>
      </c>
      <c r="AJ30" s="10">
        <f t="shared" si="16"/>
        <v>90.0763358778626</v>
      </c>
      <c r="AK30" s="71">
        <f t="shared" si="23"/>
        <v>49.2</v>
      </c>
      <c r="AL30" s="71">
        <f t="shared" si="24"/>
        <v>47</v>
      </c>
      <c r="AM30" s="10">
        <f aca="true" t="shared" si="37" ref="AM30:AM45">AL30/AK30*100</f>
        <v>95.52845528455283</v>
      </c>
      <c r="AN30" s="35"/>
      <c r="AO30" s="35"/>
      <c r="AP30" s="35"/>
      <c r="AQ30" s="35"/>
      <c r="AR30" s="35"/>
      <c r="AS30" s="35"/>
      <c r="AT30" s="58">
        <f t="shared" si="25"/>
        <v>226.60000000000002</v>
      </c>
      <c r="AU30" s="58">
        <f t="shared" si="26"/>
        <v>219.10000000000002</v>
      </c>
      <c r="AV30" s="10">
        <f t="shared" si="7"/>
        <v>96.69020300088262</v>
      </c>
      <c r="AW30" s="58">
        <f aca="true" t="shared" si="38" ref="AW30:AW44">AT30-AU30</f>
        <v>7.5</v>
      </c>
      <c r="AX30" s="16">
        <f aca="true" t="shared" si="39" ref="AX30:AX42">C30+AT30-AU30</f>
        <v>8.099999999999994</v>
      </c>
      <c r="AY30" s="20">
        <f t="shared" si="18"/>
        <v>226.60000000000002</v>
      </c>
      <c r="AZ30" s="20">
        <f t="shared" si="19"/>
        <v>219.1</v>
      </c>
      <c r="BA30" s="39">
        <f t="shared" si="20"/>
        <v>8.100000000000023</v>
      </c>
    </row>
    <row r="31" spans="1:53" ht="34.5" customHeight="1">
      <c r="A31" s="12" t="s">
        <v>28</v>
      </c>
      <c r="B31" s="61" t="s">
        <v>3</v>
      </c>
      <c r="C31" s="84">
        <v>17.3</v>
      </c>
      <c r="D31" s="35">
        <v>12.6</v>
      </c>
      <c r="E31" s="35">
        <v>11.1</v>
      </c>
      <c r="F31" s="10">
        <f t="shared" si="8"/>
        <v>88.09523809523809</v>
      </c>
      <c r="G31" s="35">
        <v>7.8</v>
      </c>
      <c r="H31" s="35">
        <v>9.1</v>
      </c>
      <c r="I31" s="10">
        <f t="shared" si="9"/>
        <v>116.66666666666667</v>
      </c>
      <c r="J31" s="35">
        <v>22.7</v>
      </c>
      <c r="K31" s="35">
        <v>22.8</v>
      </c>
      <c r="L31" s="10">
        <f t="shared" si="10"/>
        <v>100.44052863436124</v>
      </c>
      <c r="M31" s="71">
        <f t="shared" si="21"/>
        <v>43.099999999999994</v>
      </c>
      <c r="N31" s="71">
        <f t="shared" si="22"/>
        <v>43</v>
      </c>
      <c r="O31" s="10">
        <f t="shared" si="1"/>
        <v>99.7679814385151</v>
      </c>
      <c r="P31" s="35">
        <v>13.9</v>
      </c>
      <c r="Q31" s="35">
        <v>15</v>
      </c>
      <c r="R31" s="10">
        <f t="shared" si="11"/>
        <v>107.91366906474819</v>
      </c>
      <c r="S31" s="35">
        <v>19.2</v>
      </c>
      <c r="T31" s="35">
        <v>23.7</v>
      </c>
      <c r="U31" s="10">
        <f t="shared" si="32"/>
        <v>123.4375</v>
      </c>
      <c r="V31" s="35">
        <v>13.8</v>
      </c>
      <c r="W31" s="35">
        <v>21.3</v>
      </c>
      <c r="X31" s="10">
        <f t="shared" si="33"/>
        <v>154.34782608695653</v>
      </c>
      <c r="Y31" s="71">
        <f t="shared" si="34"/>
        <v>46.900000000000006</v>
      </c>
      <c r="Z31" s="71">
        <f t="shared" si="35"/>
        <v>60</v>
      </c>
      <c r="AA31" s="10">
        <f t="shared" si="36"/>
        <v>127.93176972281448</v>
      </c>
      <c r="AB31" s="35">
        <v>14.2</v>
      </c>
      <c r="AC31" s="35">
        <v>13.5</v>
      </c>
      <c r="AD31" s="10">
        <f t="shared" si="3"/>
        <v>95.07042253521128</v>
      </c>
      <c r="AE31" s="35">
        <v>11.2</v>
      </c>
      <c r="AF31" s="35">
        <v>12.8</v>
      </c>
      <c r="AG31" s="10">
        <f t="shared" si="4"/>
        <v>114.2857142857143</v>
      </c>
      <c r="AH31" s="35">
        <v>14.4</v>
      </c>
      <c r="AI31" s="35">
        <v>12.3</v>
      </c>
      <c r="AJ31" s="10">
        <f t="shared" si="16"/>
        <v>85.41666666666667</v>
      </c>
      <c r="AK31" s="71">
        <f t="shared" si="23"/>
        <v>39.8</v>
      </c>
      <c r="AL31" s="71">
        <f t="shared" si="24"/>
        <v>38.6</v>
      </c>
      <c r="AM31" s="10">
        <f t="shared" si="37"/>
        <v>96.98492462311559</v>
      </c>
      <c r="AN31" s="35"/>
      <c r="AO31" s="35"/>
      <c r="AP31" s="35"/>
      <c r="AQ31" s="35"/>
      <c r="AR31" s="35"/>
      <c r="AS31" s="35"/>
      <c r="AT31" s="58">
        <f t="shared" si="25"/>
        <v>129.8</v>
      </c>
      <c r="AU31" s="58">
        <f t="shared" si="26"/>
        <v>141.6</v>
      </c>
      <c r="AV31" s="10">
        <f t="shared" si="7"/>
        <v>109.09090909090908</v>
      </c>
      <c r="AW31" s="58">
        <f t="shared" si="38"/>
        <v>-11.799999999999983</v>
      </c>
      <c r="AX31" s="16">
        <f t="shared" si="39"/>
        <v>5.500000000000028</v>
      </c>
      <c r="AY31" s="20">
        <f t="shared" si="18"/>
        <v>129.79999999999998</v>
      </c>
      <c r="AZ31" s="20">
        <f t="shared" si="19"/>
        <v>141.60000000000002</v>
      </c>
      <c r="BA31" s="39">
        <f t="shared" si="20"/>
        <v>5.499999999999972</v>
      </c>
    </row>
    <row r="32" spans="1:53" ht="34.5" customHeight="1">
      <c r="A32" s="12" t="s">
        <v>29</v>
      </c>
      <c r="B32" s="61" t="s">
        <v>93</v>
      </c>
      <c r="C32" s="67">
        <f>SUM(C33:C34)</f>
        <v>223.8</v>
      </c>
      <c r="D32" s="67">
        <f>SUM(D33:D34)</f>
        <v>189.5</v>
      </c>
      <c r="E32" s="67">
        <f>SUM(E33:E34)</f>
        <v>142.10000000000002</v>
      </c>
      <c r="F32" s="10">
        <f t="shared" si="8"/>
        <v>74.98680738786281</v>
      </c>
      <c r="G32" s="67">
        <f>SUM(G33:G34)</f>
        <v>183.7</v>
      </c>
      <c r="H32" s="67">
        <f>SUM(H33:H34)</f>
        <v>190.10000000000002</v>
      </c>
      <c r="I32" s="10">
        <f t="shared" si="9"/>
        <v>103.48394120849214</v>
      </c>
      <c r="J32" s="67">
        <f>SUM(J33:J34)</f>
        <v>195.8</v>
      </c>
      <c r="K32" s="67">
        <f>SUM(K33:K34)</f>
        <v>165</v>
      </c>
      <c r="L32" s="10">
        <f t="shared" si="10"/>
        <v>84.26966292134831</v>
      </c>
      <c r="M32" s="10">
        <f>M33+M34</f>
        <v>569</v>
      </c>
      <c r="N32" s="10">
        <f>N33+N34</f>
        <v>497.20000000000005</v>
      </c>
      <c r="O32" s="10">
        <f t="shared" si="1"/>
        <v>87.38137082601055</v>
      </c>
      <c r="P32" s="10">
        <f aca="true" t="shared" si="40" ref="P32:AB32">P33+P34</f>
        <v>180.1</v>
      </c>
      <c r="Q32" s="10">
        <f t="shared" si="40"/>
        <v>106.5</v>
      </c>
      <c r="R32" s="10">
        <f t="shared" si="40"/>
        <v>131.95777600552805</v>
      </c>
      <c r="S32" s="10">
        <f t="shared" si="40"/>
        <v>187.7</v>
      </c>
      <c r="T32" s="10">
        <f t="shared" si="40"/>
        <v>94.1</v>
      </c>
      <c r="U32" s="10">
        <f t="shared" si="40"/>
        <v>111.53247800412645</v>
      </c>
      <c r="V32" s="10">
        <f t="shared" si="40"/>
        <v>152.3</v>
      </c>
      <c r="W32" s="10">
        <f t="shared" si="40"/>
        <v>211</v>
      </c>
      <c r="X32" s="10">
        <f t="shared" si="40"/>
        <v>392.63692082771036</v>
      </c>
      <c r="Y32" s="10">
        <f t="shared" si="40"/>
        <v>520.1</v>
      </c>
      <c r="Z32" s="10">
        <f t="shared" si="40"/>
        <v>411.6</v>
      </c>
      <c r="AA32" s="10">
        <f t="shared" si="36"/>
        <v>79.13862718707941</v>
      </c>
      <c r="AB32" s="10">
        <f t="shared" si="40"/>
        <v>227.7</v>
      </c>
      <c r="AC32" s="10">
        <f>AC33+AC34</f>
        <v>218.79999999999998</v>
      </c>
      <c r="AD32" s="10">
        <f t="shared" si="3"/>
        <v>96.09134826526132</v>
      </c>
      <c r="AE32" s="10">
        <f>AE33+AE34</f>
        <v>286.5</v>
      </c>
      <c r="AF32" s="10">
        <f>AF33+AF34</f>
        <v>191.3</v>
      </c>
      <c r="AG32" s="10">
        <f t="shared" si="4"/>
        <v>66.77137870855148</v>
      </c>
      <c r="AH32" s="10">
        <f>AH33+AH34</f>
        <v>297.20000000000005</v>
      </c>
      <c r="AI32" s="10">
        <f>AI33+AI34</f>
        <v>217.8</v>
      </c>
      <c r="AJ32" s="10">
        <f t="shared" si="16"/>
        <v>73.28398384925976</v>
      </c>
      <c r="AK32" s="10"/>
      <c r="AL32" s="10"/>
      <c r="AM32" s="10"/>
      <c r="AN32" s="120"/>
      <c r="AO32" s="120"/>
      <c r="AP32" s="120"/>
      <c r="AQ32" s="120"/>
      <c r="AR32" s="120"/>
      <c r="AS32" s="120"/>
      <c r="AT32" s="67">
        <f>SUM(AT33:AT34)</f>
        <v>1900.5</v>
      </c>
      <c r="AU32" s="67">
        <f>SUM(AU33:AU34)</f>
        <v>1536.7</v>
      </c>
      <c r="AV32" s="10">
        <f t="shared" si="7"/>
        <v>80.85766903446462</v>
      </c>
      <c r="AW32" s="67">
        <f>SUM(AW33:AW34)</f>
        <v>363.80000000000007</v>
      </c>
      <c r="AX32" s="67">
        <f>SUM(AX33:AX34)</f>
        <v>587.6000000000001</v>
      </c>
      <c r="AY32" s="20">
        <f t="shared" si="18"/>
        <v>1900.5</v>
      </c>
      <c r="AZ32" s="20">
        <f t="shared" si="19"/>
        <v>1536.7</v>
      </c>
      <c r="BA32" s="39">
        <f t="shared" si="20"/>
        <v>587.6000000000001</v>
      </c>
    </row>
    <row r="33" spans="1:53" ht="34.5" customHeight="1">
      <c r="A33" s="12"/>
      <c r="B33" s="61" t="s">
        <v>109</v>
      </c>
      <c r="C33" s="84">
        <v>96.6</v>
      </c>
      <c r="D33" s="79">
        <v>83.1</v>
      </c>
      <c r="E33" s="79">
        <v>55.2</v>
      </c>
      <c r="F33" s="54">
        <f>E33/D33*100</f>
        <v>66.4259927797834</v>
      </c>
      <c r="G33" s="35">
        <v>93.2</v>
      </c>
      <c r="H33" s="35">
        <v>106.9</v>
      </c>
      <c r="I33" s="10">
        <f t="shared" si="9"/>
        <v>114.69957081545064</v>
      </c>
      <c r="J33" s="35">
        <v>93.2</v>
      </c>
      <c r="K33" s="35">
        <v>69.1</v>
      </c>
      <c r="L33" s="10">
        <f t="shared" si="10"/>
        <v>74.14163090128754</v>
      </c>
      <c r="M33" s="71">
        <f t="shared" si="21"/>
        <v>269.5</v>
      </c>
      <c r="N33" s="71">
        <f t="shared" si="22"/>
        <v>231.20000000000002</v>
      </c>
      <c r="O33" s="10">
        <f t="shared" si="1"/>
        <v>85.78849721706865</v>
      </c>
      <c r="P33" s="35">
        <v>69.8</v>
      </c>
      <c r="Q33" s="35">
        <v>67.3</v>
      </c>
      <c r="R33" s="10">
        <f t="shared" si="11"/>
        <v>96.41833810888252</v>
      </c>
      <c r="S33" s="35">
        <v>74.5</v>
      </c>
      <c r="T33" s="35">
        <v>61.9</v>
      </c>
      <c r="U33" s="10">
        <f t="shared" si="32"/>
        <v>83.08724832214764</v>
      </c>
      <c r="V33" s="35">
        <v>28.8</v>
      </c>
      <c r="W33" s="35">
        <v>83.3</v>
      </c>
      <c r="X33" s="10">
        <f t="shared" si="33"/>
        <v>289.23611111111114</v>
      </c>
      <c r="Y33" s="71">
        <f t="shared" si="34"/>
        <v>173.10000000000002</v>
      </c>
      <c r="Z33" s="71">
        <f t="shared" si="35"/>
        <v>212.5</v>
      </c>
      <c r="AA33" s="10">
        <f t="shared" si="36"/>
        <v>122.76140958983245</v>
      </c>
      <c r="AB33" s="35">
        <v>65</v>
      </c>
      <c r="AC33" s="35">
        <v>53.6</v>
      </c>
      <c r="AD33" s="10">
        <f t="shared" si="3"/>
        <v>82.46153846153847</v>
      </c>
      <c r="AE33" s="35">
        <v>115.8</v>
      </c>
      <c r="AF33" s="35">
        <v>59.3</v>
      </c>
      <c r="AG33" s="10">
        <f t="shared" si="4"/>
        <v>51.20898100172712</v>
      </c>
      <c r="AH33" s="35">
        <v>122.9</v>
      </c>
      <c r="AI33" s="35">
        <v>109.8</v>
      </c>
      <c r="AJ33" s="10">
        <f t="shared" si="16"/>
        <v>89.34092758340113</v>
      </c>
      <c r="AK33" s="71">
        <f t="shared" si="23"/>
        <v>303.70000000000005</v>
      </c>
      <c r="AL33" s="71">
        <f t="shared" si="24"/>
        <v>222.7</v>
      </c>
      <c r="AM33" s="10">
        <f t="shared" si="37"/>
        <v>73.32894303589067</v>
      </c>
      <c r="AN33" s="35"/>
      <c r="AO33" s="35"/>
      <c r="AP33" s="35"/>
      <c r="AQ33" s="35"/>
      <c r="AR33" s="35"/>
      <c r="AS33" s="35"/>
      <c r="AT33" s="58">
        <f t="shared" si="25"/>
        <v>746.3000000000001</v>
      </c>
      <c r="AU33" s="58">
        <f t="shared" si="26"/>
        <v>666.4000000000001</v>
      </c>
      <c r="AV33" s="10">
        <f t="shared" si="7"/>
        <v>89.29384965831434</v>
      </c>
      <c r="AW33" s="58">
        <f t="shared" si="38"/>
        <v>79.89999999999998</v>
      </c>
      <c r="AX33" s="16">
        <f t="shared" si="39"/>
        <v>176.5</v>
      </c>
      <c r="AY33" s="20">
        <f t="shared" si="18"/>
        <v>746.3</v>
      </c>
      <c r="AZ33" s="20">
        <f t="shared" si="19"/>
        <v>666.4</v>
      </c>
      <c r="BA33" s="39">
        <f t="shared" si="20"/>
        <v>176.5</v>
      </c>
    </row>
    <row r="34" spans="1:53" ht="34.5" customHeight="1">
      <c r="A34" s="12"/>
      <c r="B34" s="61" t="s">
        <v>94</v>
      </c>
      <c r="C34" s="88">
        <v>127.2</v>
      </c>
      <c r="D34" s="79">
        <v>106.4</v>
      </c>
      <c r="E34" s="79">
        <v>86.9</v>
      </c>
      <c r="F34" s="54">
        <f>E34/D34*100</f>
        <v>81.67293233082707</v>
      </c>
      <c r="G34" s="35">
        <v>90.5</v>
      </c>
      <c r="H34" s="35">
        <v>83.2</v>
      </c>
      <c r="I34" s="10">
        <f t="shared" si="9"/>
        <v>91.93370165745857</v>
      </c>
      <c r="J34" s="35">
        <v>102.6</v>
      </c>
      <c r="K34" s="35">
        <v>95.9</v>
      </c>
      <c r="L34" s="10">
        <f t="shared" si="10"/>
        <v>93.46978557504875</v>
      </c>
      <c r="M34" s="71">
        <f t="shared" si="21"/>
        <v>299.5</v>
      </c>
      <c r="N34" s="71">
        <f t="shared" si="22"/>
        <v>266</v>
      </c>
      <c r="O34" s="10">
        <f t="shared" si="1"/>
        <v>88.81469115191987</v>
      </c>
      <c r="P34" s="35">
        <v>110.3</v>
      </c>
      <c r="Q34" s="35">
        <v>39.2</v>
      </c>
      <c r="R34" s="10">
        <f t="shared" si="11"/>
        <v>35.539437896645516</v>
      </c>
      <c r="S34" s="35">
        <v>113.2</v>
      </c>
      <c r="T34" s="35">
        <v>32.2</v>
      </c>
      <c r="U34" s="10">
        <f t="shared" si="32"/>
        <v>28.4452296819788</v>
      </c>
      <c r="V34" s="35">
        <v>123.5</v>
      </c>
      <c r="W34" s="35">
        <v>127.7</v>
      </c>
      <c r="X34" s="10">
        <f t="shared" si="33"/>
        <v>103.4008097165992</v>
      </c>
      <c r="Y34" s="71">
        <f>P34+S34+V34</f>
        <v>347</v>
      </c>
      <c r="Z34" s="71">
        <f>Q34+T34+W34</f>
        <v>199.10000000000002</v>
      </c>
      <c r="AA34" s="10">
        <f>Z34/Y34*100</f>
        <v>57.37752161383286</v>
      </c>
      <c r="AB34" s="35">
        <v>162.7</v>
      </c>
      <c r="AC34" s="35">
        <v>165.2</v>
      </c>
      <c r="AD34" s="10">
        <f t="shared" si="3"/>
        <v>101.53657037492316</v>
      </c>
      <c r="AE34" s="35">
        <v>170.7</v>
      </c>
      <c r="AF34" s="35">
        <v>132</v>
      </c>
      <c r="AG34" s="10">
        <f t="shared" si="4"/>
        <v>77.3286467486819</v>
      </c>
      <c r="AH34" s="35">
        <v>174.3</v>
      </c>
      <c r="AI34" s="35">
        <v>108</v>
      </c>
      <c r="AJ34" s="10">
        <f t="shared" si="16"/>
        <v>61.96213425129088</v>
      </c>
      <c r="AK34" s="71">
        <f t="shared" si="23"/>
        <v>507.7</v>
      </c>
      <c r="AL34" s="71">
        <f t="shared" si="24"/>
        <v>405.2</v>
      </c>
      <c r="AM34" s="10">
        <f t="shared" si="37"/>
        <v>79.81091195587946</v>
      </c>
      <c r="AN34" s="35"/>
      <c r="AO34" s="35"/>
      <c r="AP34" s="35"/>
      <c r="AQ34" s="35"/>
      <c r="AR34" s="35"/>
      <c r="AS34" s="35"/>
      <c r="AT34" s="58">
        <f t="shared" si="25"/>
        <v>1154.2</v>
      </c>
      <c r="AU34" s="58">
        <f t="shared" si="26"/>
        <v>870.3</v>
      </c>
      <c r="AV34" s="10">
        <f t="shared" si="7"/>
        <v>75.40287645122163</v>
      </c>
      <c r="AW34" s="58">
        <f t="shared" si="38"/>
        <v>283.9000000000001</v>
      </c>
      <c r="AX34" s="16">
        <f t="shared" si="39"/>
        <v>411.10000000000014</v>
      </c>
      <c r="AY34" s="20">
        <f t="shared" si="18"/>
        <v>1154.2</v>
      </c>
      <c r="AZ34" s="20">
        <f t="shared" si="19"/>
        <v>870.3</v>
      </c>
      <c r="BA34" s="39">
        <f t="shared" si="20"/>
        <v>411.10000000000014</v>
      </c>
    </row>
    <row r="35" spans="1:53" ht="34.5" customHeight="1">
      <c r="A35" s="12" t="s">
        <v>30</v>
      </c>
      <c r="B35" s="61" t="s">
        <v>60</v>
      </c>
      <c r="C35" s="88">
        <v>1056.9</v>
      </c>
      <c r="D35" s="34">
        <v>329.2</v>
      </c>
      <c r="E35" s="34">
        <v>272.1</v>
      </c>
      <c r="F35" s="10">
        <f>E35/D35*100</f>
        <v>82.65492102065615</v>
      </c>
      <c r="G35" s="35">
        <v>291</v>
      </c>
      <c r="H35" s="35">
        <v>284.1</v>
      </c>
      <c r="I35" s="10">
        <f t="shared" si="9"/>
        <v>97.62886597938146</v>
      </c>
      <c r="J35" s="35">
        <v>298.9</v>
      </c>
      <c r="K35" s="35">
        <v>443.4</v>
      </c>
      <c r="L35" s="10">
        <f t="shared" si="10"/>
        <v>148.34392773502844</v>
      </c>
      <c r="M35" s="71">
        <f t="shared" si="21"/>
        <v>919.1</v>
      </c>
      <c r="N35" s="71">
        <f t="shared" si="22"/>
        <v>999.6</v>
      </c>
      <c r="O35" s="10">
        <f t="shared" si="1"/>
        <v>108.75856816450874</v>
      </c>
      <c r="P35" s="35">
        <v>329.5</v>
      </c>
      <c r="Q35" s="35">
        <v>313.2</v>
      </c>
      <c r="R35" s="10">
        <f t="shared" si="11"/>
        <v>95.05311077389985</v>
      </c>
      <c r="S35" s="35">
        <v>310.2</v>
      </c>
      <c r="T35" s="35">
        <v>120</v>
      </c>
      <c r="U35" s="10">
        <f t="shared" si="32"/>
        <v>38.684719535783366</v>
      </c>
      <c r="V35" s="35">
        <v>341.6</v>
      </c>
      <c r="W35" s="35">
        <v>367</v>
      </c>
      <c r="X35" s="10">
        <f t="shared" si="33"/>
        <v>107.43559718969556</v>
      </c>
      <c r="Y35" s="71">
        <f t="shared" si="34"/>
        <v>981.3000000000001</v>
      </c>
      <c r="Z35" s="71">
        <f t="shared" si="35"/>
        <v>800.2</v>
      </c>
      <c r="AA35" s="10">
        <f t="shared" si="36"/>
        <v>81.54488943238562</v>
      </c>
      <c r="AB35" s="35">
        <v>341.9</v>
      </c>
      <c r="AC35" s="35">
        <v>278.3</v>
      </c>
      <c r="AD35" s="10">
        <f t="shared" si="3"/>
        <v>81.39806961099738</v>
      </c>
      <c r="AE35" s="35">
        <v>356.2</v>
      </c>
      <c r="AF35" s="35">
        <v>283.7</v>
      </c>
      <c r="AG35" s="10">
        <f t="shared" si="4"/>
        <v>79.64626614261651</v>
      </c>
      <c r="AH35" s="35">
        <v>309.8</v>
      </c>
      <c r="AI35" s="35">
        <v>234</v>
      </c>
      <c r="AJ35" s="10">
        <f t="shared" si="16"/>
        <v>75.53260167850226</v>
      </c>
      <c r="AK35" s="71">
        <f t="shared" si="23"/>
        <v>1007.8999999999999</v>
      </c>
      <c r="AL35" s="71">
        <f t="shared" si="24"/>
        <v>796</v>
      </c>
      <c r="AM35" s="10">
        <f t="shared" si="37"/>
        <v>78.97608889770812</v>
      </c>
      <c r="AN35" s="35"/>
      <c r="AO35" s="35"/>
      <c r="AP35" s="35"/>
      <c r="AQ35" s="35"/>
      <c r="AR35" s="35"/>
      <c r="AS35" s="35"/>
      <c r="AT35" s="58">
        <f t="shared" si="25"/>
        <v>2908.3</v>
      </c>
      <c r="AU35" s="58">
        <f t="shared" si="26"/>
        <v>2595.8</v>
      </c>
      <c r="AV35" s="10">
        <f t="shared" si="7"/>
        <v>89.25489117353781</v>
      </c>
      <c r="AW35" s="58">
        <f t="shared" si="38"/>
        <v>312.5</v>
      </c>
      <c r="AX35" s="16">
        <f t="shared" si="39"/>
        <v>1369.4</v>
      </c>
      <c r="AY35" s="20">
        <f t="shared" si="18"/>
        <v>2908.3</v>
      </c>
      <c r="AZ35" s="20">
        <f t="shared" si="19"/>
        <v>2595.7999999999997</v>
      </c>
      <c r="BA35" s="39">
        <f t="shared" si="20"/>
        <v>1369.4000000000005</v>
      </c>
    </row>
    <row r="36" spans="1:53" ht="34.5" customHeight="1">
      <c r="A36" s="12" t="s">
        <v>31</v>
      </c>
      <c r="B36" s="114" t="s">
        <v>61</v>
      </c>
      <c r="C36" s="90">
        <v>30.5</v>
      </c>
      <c r="D36" s="64">
        <v>15.4</v>
      </c>
      <c r="E36" s="64">
        <v>11.5</v>
      </c>
      <c r="F36" s="10">
        <f aca="true" t="shared" si="41" ref="F36:F44">E36/D36*100</f>
        <v>74.67532467532467</v>
      </c>
      <c r="G36" s="35">
        <v>15.1</v>
      </c>
      <c r="H36" s="35">
        <v>12.2</v>
      </c>
      <c r="I36" s="10">
        <f t="shared" si="9"/>
        <v>80.79470198675497</v>
      </c>
      <c r="J36" s="35">
        <v>15.1</v>
      </c>
      <c r="K36" s="35">
        <v>14.2</v>
      </c>
      <c r="L36" s="10">
        <f t="shared" si="10"/>
        <v>94.03973509933775</v>
      </c>
      <c r="M36" s="71">
        <f t="shared" si="21"/>
        <v>45.6</v>
      </c>
      <c r="N36" s="71">
        <f t="shared" si="22"/>
        <v>37.9</v>
      </c>
      <c r="O36" s="10">
        <f t="shared" si="1"/>
        <v>83.1140350877193</v>
      </c>
      <c r="P36" s="35">
        <v>17.9</v>
      </c>
      <c r="Q36" s="35">
        <v>32.8</v>
      </c>
      <c r="R36" s="10">
        <f t="shared" si="11"/>
        <v>183.24022346368716</v>
      </c>
      <c r="S36" s="35">
        <v>16.7</v>
      </c>
      <c r="T36" s="35">
        <v>16.7</v>
      </c>
      <c r="U36" s="102">
        <f t="shared" si="32"/>
        <v>100</v>
      </c>
      <c r="V36" s="35">
        <v>20.2</v>
      </c>
      <c r="W36" s="35">
        <v>14.8</v>
      </c>
      <c r="X36" s="102">
        <f t="shared" si="33"/>
        <v>73.26732673267328</v>
      </c>
      <c r="Y36" s="71">
        <f t="shared" si="34"/>
        <v>54.8</v>
      </c>
      <c r="Z36" s="71">
        <f t="shared" si="35"/>
        <v>64.3</v>
      </c>
      <c r="AA36" s="10">
        <f t="shared" si="36"/>
        <v>117.33576642335765</v>
      </c>
      <c r="AB36" s="35">
        <v>24.4</v>
      </c>
      <c r="AC36" s="35">
        <v>32.4</v>
      </c>
      <c r="AD36" s="10">
        <f t="shared" si="3"/>
        <v>132.78688524590163</v>
      </c>
      <c r="AE36" s="35">
        <v>18.2</v>
      </c>
      <c r="AF36" s="35">
        <v>15.9</v>
      </c>
      <c r="AG36" s="10">
        <f t="shared" si="4"/>
        <v>87.36263736263736</v>
      </c>
      <c r="AH36" s="35">
        <v>17.1</v>
      </c>
      <c r="AI36" s="35">
        <v>14.6</v>
      </c>
      <c r="AJ36" s="10">
        <f t="shared" si="16"/>
        <v>85.38011695906432</v>
      </c>
      <c r="AK36" s="71">
        <f>AB36+AE36+AH36</f>
        <v>59.699999999999996</v>
      </c>
      <c r="AL36" s="71">
        <f>AC36+AF36+AI36</f>
        <v>62.9</v>
      </c>
      <c r="AM36" s="10">
        <f t="shared" si="37"/>
        <v>105.3601340033501</v>
      </c>
      <c r="AN36" s="35"/>
      <c r="AO36" s="35"/>
      <c r="AP36" s="35"/>
      <c r="AQ36" s="35"/>
      <c r="AR36" s="35"/>
      <c r="AS36" s="35"/>
      <c r="AT36" s="58">
        <f t="shared" si="25"/>
        <v>160.1</v>
      </c>
      <c r="AU36" s="58">
        <f t="shared" si="26"/>
        <v>165.1</v>
      </c>
      <c r="AV36" s="10">
        <f t="shared" si="7"/>
        <v>103.12304809494066</v>
      </c>
      <c r="AW36" s="58">
        <f t="shared" si="38"/>
        <v>-5</v>
      </c>
      <c r="AX36" s="16">
        <f t="shared" si="39"/>
        <v>25.5</v>
      </c>
      <c r="AY36" s="20">
        <f t="shared" si="18"/>
        <v>160.1</v>
      </c>
      <c r="AZ36" s="20">
        <f t="shared" si="19"/>
        <v>165.1</v>
      </c>
      <c r="BA36" s="39">
        <f t="shared" si="20"/>
        <v>25.5</v>
      </c>
    </row>
    <row r="37" spans="1:53" ht="34.5" customHeight="1">
      <c r="A37" s="12" t="s">
        <v>32</v>
      </c>
      <c r="B37" s="115" t="s">
        <v>62</v>
      </c>
      <c r="C37" s="84">
        <v>85.8</v>
      </c>
      <c r="D37" s="35">
        <v>184.4</v>
      </c>
      <c r="E37" s="35">
        <v>188.5</v>
      </c>
      <c r="F37" s="10">
        <f t="shared" si="41"/>
        <v>102.22342733188721</v>
      </c>
      <c r="G37" s="35">
        <v>169.1</v>
      </c>
      <c r="H37" s="35">
        <v>173.1</v>
      </c>
      <c r="I37" s="10">
        <f t="shared" si="9"/>
        <v>102.36546422235364</v>
      </c>
      <c r="J37" s="35">
        <v>146.3</v>
      </c>
      <c r="K37" s="35">
        <v>143.6</v>
      </c>
      <c r="L37" s="10">
        <f t="shared" si="10"/>
        <v>98.15447710184552</v>
      </c>
      <c r="M37" s="71">
        <f t="shared" si="21"/>
        <v>499.8</v>
      </c>
      <c r="N37" s="71">
        <f t="shared" si="22"/>
        <v>505.20000000000005</v>
      </c>
      <c r="O37" s="10">
        <f t="shared" si="1"/>
        <v>101.08043217286915</v>
      </c>
      <c r="P37" s="35">
        <v>172.8</v>
      </c>
      <c r="Q37" s="35">
        <v>148.2</v>
      </c>
      <c r="R37" s="10">
        <f t="shared" si="11"/>
        <v>85.76388888888887</v>
      </c>
      <c r="S37" s="35">
        <v>214.4</v>
      </c>
      <c r="T37" s="35">
        <v>222.4</v>
      </c>
      <c r="U37" s="10">
        <f t="shared" si="32"/>
        <v>103.73134328358209</v>
      </c>
      <c r="V37" s="35">
        <v>234.2</v>
      </c>
      <c r="W37" s="35">
        <v>248.8</v>
      </c>
      <c r="X37" s="10">
        <f t="shared" si="33"/>
        <v>106.23398804440649</v>
      </c>
      <c r="Y37" s="71">
        <f t="shared" si="34"/>
        <v>621.4000000000001</v>
      </c>
      <c r="Z37" s="71">
        <f t="shared" si="35"/>
        <v>619.4000000000001</v>
      </c>
      <c r="AA37" s="10">
        <f t="shared" si="36"/>
        <v>99.67814612166077</v>
      </c>
      <c r="AB37" s="35">
        <v>176.1</v>
      </c>
      <c r="AC37" s="35">
        <v>188</v>
      </c>
      <c r="AD37" s="10">
        <f t="shared" si="3"/>
        <v>106.75752413401476</v>
      </c>
      <c r="AE37" s="35">
        <v>199.9</v>
      </c>
      <c r="AF37" s="35">
        <v>187.3</v>
      </c>
      <c r="AG37" s="10">
        <f t="shared" si="4"/>
        <v>93.6968484242121</v>
      </c>
      <c r="AH37" s="35">
        <v>197</v>
      </c>
      <c r="AI37" s="35">
        <v>193</v>
      </c>
      <c r="AJ37" s="10">
        <f t="shared" si="16"/>
        <v>97.96954314720813</v>
      </c>
      <c r="AK37" s="71">
        <f t="shared" si="23"/>
        <v>573</v>
      </c>
      <c r="AL37" s="71">
        <f t="shared" si="24"/>
        <v>568.3</v>
      </c>
      <c r="AM37" s="10">
        <f t="shared" si="37"/>
        <v>99.17975567190226</v>
      </c>
      <c r="AN37" s="35"/>
      <c r="AO37" s="35"/>
      <c r="AP37" s="35"/>
      <c r="AQ37" s="35"/>
      <c r="AR37" s="35"/>
      <c r="AS37" s="35"/>
      <c r="AT37" s="58">
        <f t="shared" si="25"/>
        <v>1694.2</v>
      </c>
      <c r="AU37" s="58">
        <f t="shared" si="26"/>
        <v>1692.9</v>
      </c>
      <c r="AV37" s="10">
        <f t="shared" si="7"/>
        <v>99.9232676189352</v>
      </c>
      <c r="AW37" s="58">
        <f t="shared" si="38"/>
        <v>1.2999999999999545</v>
      </c>
      <c r="AX37" s="16">
        <f t="shared" si="39"/>
        <v>87.09999999999991</v>
      </c>
      <c r="AY37" s="20">
        <f t="shared" si="18"/>
        <v>1694.2</v>
      </c>
      <c r="AZ37" s="20">
        <f t="shared" si="19"/>
        <v>1692.9</v>
      </c>
      <c r="BA37" s="39">
        <f t="shared" si="20"/>
        <v>87.09999999999991</v>
      </c>
    </row>
    <row r="38" spans="1:53" ht="34.5" customHeight="1">
      <c r="A38" s="12" t="s">
        <v>33</v>
      </c>
      <c r="B38" s="115" t="s">
        <v>95</v>
      </c>
      <c r="C38" s="84">
        <v>582.2</v>
      </c>
      <c r="D38" s="35">
        <v>914.9</v>
      </c>
      <c r="E38" s="35">
        <v>981.9</v>
      </c>
      <c r="F38" s="10">
        <f t="shared" si="41"/>
        <v>107.32320472182752</v>
      </c>
      <c r="G38" s="35">
        <v>831.8</v>
      </c>
      <c r="H38" s="35">
        <v>884.8</v>
      </c>
      <c r="I38" s="10">
        <f t="shared" si="9"/>
        <v>106.37172397210868</v>
      </c>
      <c r="J38" s="35">
        <v>879.7</v>
      </c>
      <c r="K38" s="35">
        <v>1017.1</v>
      </c>
      <c r="L38" s="10">
        <f t="shared" si="10"/>
        <v>115.61896100943503</v>
      </c>
      <c r="M38" s="71">
        <f t="shared" si="21"/>
        <v>2626.3999999999996</v>
      </c>
      <c r="N38" s="71">
        <f t="shared" si="22"/>
        <v>2883.7999999999997</v>
      </c>
      <c r="O38" s="10">
        <f t="shared" si="1"/>
        <v>109.80048735912276</v>
      </c>
      <c r="P38" s="35">
        <v>866.2</v>
      </c>
      <c r="Q38" s="35">
        <v>778.7</v>
      </c>
      <c r="R38" s="10">
        <f t="shared" si="11"/>
        <v>89.89840683444932</v>
      </c>
      <c r="S38" s="35">
        <v>826.8</v>
      </c>
      <c r="T38" s="35">
        <v>697.7</v>
      </c>
      <c r="U38" s="10">
        <f t="shared" si="32"/>
        <v>84.38558297048864</v>
      </c>
      <c r="V38" s="35">
        <v>764.8</v>
      </c>
      <c r="W38" s="35">
        <v>753.2</v>
      </c>
      <c r="X38" s="10">
        <f t="shared" si="33"/>
        <v>98.48326359832637</v>
      </c>
      <c r="Y38" s="71">
        <f t="shared" si="34"/>
        <v>2457.8</v>
      </c>
      <c r="Z38" s="71">
        <f t="shared" si="35"/>
        <v>2229.6000000000004</v>
      </c>
      <c r="AA38" s="10">
        <f t="shared" si="36"/>
        <v>90.71527382211735</v>
      </c>
      <c r="AB38" s="35">
        <v>779.9</v>
      </c>
      <c r="AC38" s="35">
        <v>340.2</v>
      </c>
      <c r="AD38" s="10">
        <f t="shared" si="3"/>
        <v>43.62097704833953</v>
      </c>
      <c r="AE38" s="35">
        <v>809</v>
      </c>
      <c r="AF38" s="35">
        <v>937.5</v>
      </c>
      <c r="AG38" s="10">
        <f t="shared" si="4"/>
        <v>115.88380716934488</v>
      </c>
      <c r="AH38" s="35">
        <v>811.6</v>
      </c>
      <c r="AI38" s="35">
        <v>839.4</v>
      </c>
      <c r="AJ38" s="10">
        <f t="shared" si="16"/>
        <v>103.42533267619515</v>
      </c>
      <c r="AK38" s="71">
        <f t="shared" si="23"/>
        <v>2400.5</v>
      </c>
      <c r="AL38" s="71">
        <f t="shared" si="24"/>
        <v>2117.1</v>
      </c>
      <c r="AM38" s="10">
        <f t="shared" si="37"/>
        <v>88.19412622370339</v>
      </c>
      <c r="AN38" s="35"/>
      <c r="AO38" s="35"/>
      <c r="AP38" s="35"/>
      <c r="AQ38" s="35"/>
      <c r="AR38" s="35"/>
      <c r="AS38" s="35"/>
      <c r="AT38" s="58">
        <f t="shared" si="25"/>
        <v>7484.7</v>
      </c>
      <c r="AU38" s="58">
        <f t="shared" si="26"/>
        <v>7230.5</v>
      </c>
      <c r="AV38" s="10">
        <f t="shared" si="7"/>
        <v>96.60373829278394</v>
      </c>
      <c r="AW38" s="58">
        <f t="shared" si="38"/>
        <v>254.19999999999982</v>
      </c>
      <c r="AX38" s="16">
        <f t="shared" si="39"/>
        <v>836.3999999999996</v>
      </c>
      <c r="AY38" s="20">
        <f t="shared" si="18"/>
        <v>7484.7</v>
      </c>
      <c r="AZ38" s="20">
        <f t="shared" si="19"/>
        <v>7230.499999999999</v>
      </c>
      <c r="BA38" s="39">
        <f t="shared" si="20"/>
        <v>836.4000000000005</v>
      </c>
    </row>
    <row r="39" spans="1:53" ht="34.5" customHeight="1">
      <c r="A39" s="12" t="s">
        <v>34</v>
      </c>
      <c r="B39" s="115" t="s">
        <v>4</v>
      </c>
      <c r="C39" s="84">
        <v>1094.2</v>
      </c>
      <c r="D39" s="35">
        <v>538.4</v>
      </c>
      <c r="E39" s="35">
        <v>0</v>
      </c>
      <c r="F39" s="10">
        <f t="shared" si="41"/>
        <v>0</v>
      </c>
      <c r="G39" s="35">
        <v>456.7</v>
      </c>
      <c r="H39" s="35">
        <v>426.7</v>
      </c>
      <c r="I39" s="10">
        <f t="shared" si="9"/>
        <v>93.43113641340048</v>
      </c>
      <c r="J39" s="35">
        <v>411.3</v>
      </c>
      <c r="K39" s="35">
        <v>564.3</v>
      </c>
      <c r="L39" s="10">
        <f t="shared" si="10"/>
        <v>137.199124726477</v>
      </c>
      <c r="M39" s="71">
        <f t="shared" si="21"/>
        <v>1406.3999999999999</v>
      </c>
      <c r="N39" s="71">
        <f t="shared" si="22"/>
        <v>991</v>
      </c>
      <c r="O39" s="10">
        <f t="shared" si="1"/>
        <v>70.46359499431173</v>
      </c>
      <c r="P39" s="35">
        <v>419.8</v>
      </c>
      <c r="Q39" s="35">
        <v>291.7</v>
      </c>
      <c r="R39" s="10">
        <f t="shared" si="11"/>
        <v>69.48546927108147</v>
      </c>
      <c r="S39" s="35">
        <v>459.4</v>
      </c>
      <c r="T39" s="35">
        <v>429.6</v>
      </c>
      <c r="U39" s="10">
        <f t="shared" si="32"/>
        <v>93.51327818894211</v>
      </c>
      <c r="V39" s="35">
        <v>515.1</v>
      </c>
      <c r="W39" s="35">
        <v>447</v>
      </c>
      <c r="X39" s="10">
        <f t="shared" si="33"/>
        <v>86.7792661619103</v>
      </c>
      <c r="Y39" s="71">
        <f t="shared" si="34"/>
        <v>1394.3000000000002</v>
      </c>
      <c r="Z39" s="71">
        <f t="shared" si="35"/>
        <v>1168.3</v>
      </c>
      <c r="AA39" s="10">
        <f t="shared" si="36"/>
        <v>83.79114968084342</v>
      </c>
      <c r="AB39" s="35">
        <v>486</v>
      </c>
      <c r="AC39" s="35">
        <v>430.5</v>
      </c>
      <c r="AD39" s="10">
        <f t="shared" si="3"/>
        <v>88.58024691358025</v>
      </c>
      <c r="AE39" s="35">
        <v>434.6</v>
      </c>
      <c r="AF39" s="35">
        <v>522.7</v>
      </c>
      <c r="AG39" s="10">
        <f t="shared" si="4"/>
        <v>120.2715140358951</v>
      </c>
      <c r="AH39" s="35">
        <v>438.7</v>
      </c>
      <c r="AI39" s="35">
        <v>433.1</v>
      </c>
      <c r="AJ39" s="10">
        <f t="shared" si="16"/>
        <v>98.72350125370414</v>
      </c>
      <c r="AK39" s="71">
        <f t="shared" si="23"/>
        <v>1359.3</v>
      </c>
      <c r="AL39" s="71">
        <f t="shared" si="24"/>
        <v>1386.3000000000002</v>
      </c>
      <c r="AM39" s="10">
        <f t="shared" si="37"/>
        <v>101.98631648642686</v>
      </c>
      <c r="AN39" s="35"/>
      <c r="AO39" s="35"/>
      <c r="AP39" s="35"/>
      <c r="AQ39" s="35"/>
      <c r="AR39" s="35"/>
      <c r="AS39" s="35"/>
      <c r="AT39" s="58">
        <f t="shared" si="25"/>
        <v>4160</v>
      </c>
      <c r="AU39" s="58">
        <f t="shared" si="26"/>
        <v>3545.6000000000004</v>
      </c>
      <c r="AV39" s="10">
        <f t="shared" si="7"/>
        <v>85.23076923076924</v>
      </c>
      <c r="AW39" s="58">
        <f t="shared" si="38"/>
        <v>614.3999999999996</v>
      </c>
      <c r="AX39" s="16">
        <f t="shared" si="39"/>
        <v>1708.5999999999995</v>
      </c>
      <c r="AY39" s="20">
        <f t="shared" si="18"/>
        <v>4160</v>
      </c>
      <c r="AZ39" s="20">
        <f t="shared" si="19"/>
        <v>3545.6</v>
      </c>
      <c r="BA39" s="39">
        <f t="shared" si="20"/>
        <v>1708.6</v>
      </c>
    </row>
    <row r="40" spans="1:53" ht="34.5" customHeight="1">
      <c r="A40" s="12" t="s">
        <v>35</v>
      </c>
      <c r="B40" s="115" t="s">
        <v>63</v>
      </c>
      <c r="C40" s="84">
        <v>339.4</v>
      </c>
      <c r="D40" s="35">
        <v>254.3</v>
      </c>
      <c r="E40" s="35">
        <v>210.1</v>
      </c>
      <c r="F40" s="10">
        <f t="shared" si="41"/>
        <v>82.6189539913488</v>
      </c>
      <c r="G40" s="35">
        <v>213</v>
      </c>
      <c r="H40" s="35">
        <v>240.5</v>
      </c>
      <c r="I40" s="10">
        <f t="shared" si="9"/>
        <v>112.91079812206573</v>
      </c>
      <c r="J40" s="35">
        <v>209.5</v>
      </c>
      <c r="K40" s="35">
        <v>218.5</v>
      </c>
      <c r="L40" s="10">
        <f t="shared" si="10"/>
        <v>104.29594272076372</v>
      </c>
      <c r="M40" s="71">
        <f t="shared" si="21"/>
        <v>676.8</v>
      </c>
      <c r="N40" s="71">
        <f t="shared" si="22"/>
        <v>669.1</v>
      </c>
      <c r="O40" s="10">
        <f t="shared" si="1"/>
        <v>98.86229314420805</v>
      </c>
      <c r="P40" s="35">
        <v>243.4</v>
      </c>
      <c r="Q40" s="35">
        <v>201.6</v>
      </c>
      <c r="R40" s="10">
        <f t="shared" si="11"/>
        <v>82.8266228430567</v>
      </c>
      <c r="S40" s="35">
        <v>165.1</v>
      </c>
      <c r="T40" s="35">
        <v>243.2</v>
      </c>
      <c r="U40" s="10">
        <f t="shared" si="32"/>
        <v>147.3046638400969</v>
      </c>
      <c r="V40" s="35">
        <v>191.2</v>
      </c>
      <c r="W40" s="35">
        <v>152.7</v>
      </c>
      <c r="X40" s="10">
        <f t="shared" si="33"/>
        <v>79.86401673640168</v>
      </c>
      <c r="Y40" s="71">
        <f t="shared" si="34"/>
        <v>599.7</v>
      </c>
      <c r="Z40" s="71">
        <f t="shared" si="35"/>
        <v>597.5</v>
      </c>
      <c r="AA40" s="10">
        <f t="shared" si="36"/>
        <v>99.63314990828746</v>
      </c>
      <c r="AB40" s="35">
        <v>200.3</v>
      </c>
      <c r="AC40" s="35">
        <v>174.6</v>
      </c>
      <c r="AD40" s="10">
        <f t="shared" si="3"/>
        <v>87.16924613080378</v>
      </c>
      <c r="AE40" s="35">
        <v>231.2</v>
      </c>
      <c r="AF40" s="35">
        <v>210.8</v>
      </c>
      <c r="AG40" s="10">
        <f t="shared" si="4"/>
        <v>91.1764705882353</v>
      </c>
      <c r="AH40" s="35">
        <v>190.7</v>
      </c>
      <c r="AI40" s="35">
        <v>233.1</v>
      </c>
      <c r="AJ40" s="10">
        <f t="shared" si="16"/>
        <v>122.23387519664395</v>
      </c>
      <c r="AK40" s="71">
        <f t="shared" si="23"/>
        <v>622.2</v>
      </c>
      <c r="AL40" s="71">
        <f t="shared" si="24"/>
        <v>618.5</v>
      </c>
      <c r="AM40" s="10">
        <f t="shared" si="37"/>
        <v>99.40533590485374</v>
      </c>
      <c r="AN40" s="35"/>
      <c r="AO40" s="35"/>
      <c r="AP40" s="35"/>
      <c r="AQ40" s="35"/>
      <c r="AR40" s="35"/>
      <c r="AS40" s="35"/>
      <c r="AT40" s="58">
        <f t="shared" si="25"/>
        <v>1898.7</v>
      </c>
      <c r="AU40" s="58">
        <f t="shared" si="26"/>
        <v>1885.1</v>
      </c>
      <c r="AV40" s="10">
        <f t="shared" si="7"/>
        <v>99.28372044030125</v>
      </c>
      <c r="AW40" s="58">
        <f t="shared" si="38"/>
        <v>13.600000000000136</v>
      </c>
      <c r="AX40" s="16">
        <f t="shared" si="39"/>
        <v>353</v>
      </c>
      <c r="AY40" s="20">
        <f t="shared" si="18"/>
        <v>1898.7</v>
      </c>
      <c r="AZ40" s="20">
        <f t="shared" si="19"/>
        <v>1885.1</v>
      </c>
      <c r="BA40" s="39">
        <f t="shared" si="20"/>
        <v>353</v>
      </c>
    </row>
    <row r="41" spans="1:53" ht="34.5" customHeight="1">
      <c r="A41" s="12" t="s">
        <v>36</v>
      </c>
      <c r="B41" s="59" t="s">
        <v>64</v>
      </c>
      <c r="C41" s="90">
        <v>94.1</v>
      </c>
      <c r="D41" s="35">
        <v>135.7</v>
      </c>
      <c r="E41" s="35">
        <v>60.2</v>
      </c>
      <c r="F41" s="10">
        <f t="shared" si="41"/>
        <v>44.36256448047163</v>
      </c>
      <c r="G41" s="35">
        <v>124.4</v>
      </c>
      <c r="H41" s="35">
        <v>168.4</v>
      </c>
      <c r="I41" s="10">
        <f t="shared" si="9"/>
        <v>135.36977491961414</v>
      </c>
      <c r="J41" s="35">
        <v>141.4</v>
      </c>
      <c r="K41" s="35">
        <v>128.1</v>
      </c>
      <c r="L41" s="10">
        <f t="shared" si="10"/>
        <v>90.59405940594058</v>
      </c>
      <c r="M41" s="71">
        <f t="shared" si="21"/>
        <v>401.5</v>
      </c>
      <c r="N41" s="71">
        <f t="shared" si="22"/>
        <v>356.70000000000005</v>
      </c>
      <c r="O41" s="10">
        <f t="shared" si="1"/>
        <v>88.84184308841844</v>
      </c>
      <c r="P41" s="35">
        <v>124</v>
      </c>
      <c r="Q41" s="35">
        <v>144</v>
      </c>
      <c r="R41" s="10">
        <f t="shared" si="11"/>
        <v>116.12903225806453</v>
      </c>
      <c r="S41" s="35">
        <v>135.6</v>
      </c>
      <c r="T41" s="35">
        <v>79.9</v>
      </c>
      <c r="U41" s="102">
        <f t="shared" si="32"/>
        <v>58.92330383480827</v>
      </c>
      <c r="V41" s="35">
        <v>114</v>
      </c>
      <c r="W41" s="35">
        <v>169.8</v>
      </c>
      <c r="X41" s="102">
        <f t="shared" si="33"/>
        <v>148.94736842105266</v>
      </c>
      <c r="Y41" s="71">
        <f t="shared" si="34"/>
        <v>373.6</v>
      </c>
      <c r="Z41" s="71">
        <f t="shared" si="35"/>
        <v>393.70000000000005</v>
      </c>
      <c r="AA41" s="10">
        <f t="shared" si="36"/>
        <v>105.38008565310493</v>
      </c>
      <c r="AB41" s="35">
        <v>160.6</v>
      </c>
      <c r="AC41" s="35">
        <v>125.5</v>
      </c>
      <c r="AD41" s="10">
        <f t="shared" si="3"/>
        <v>78.14445828144459</v>
      </c>
      <c r="AE41" s="35">
        <v>142.3</v>
      </c>
      <c r="AF41" s="35">
        <v>153.9</v>
      </c>
      <c r="AG41" s="10">
        <f t="shared" si="4"/>
        <v>108.15179198875614</v>
      </c>
      <c r="AH41" s="35">
        <v>131.8</v>
      </c>
      <c r="AI41" s="35">
        <v>158.1</v>
      </c>
      <c r="AJ41" s="10">
        <f t="shared" si="16"/>
        <v>119.9544764795144</v>
      </c>
      <c r="AK41" s="71">
        <f t="shared" si="23"/>
        <v>434.7</v>
      </c>
      <c r="AL41" s="71">
        <f t="shared" si="24"/>
        <v>437.5</v>
      </c>
      <c r="AM41" s="10">
        <f t="shared" si="37"/>
        <v>100.64412238325282</v>
      </c>
      <c r="AN41" s="35"/>
      <c r="AO41" s="35"/>
      <c r="AP41" s="35"/>
      <c r="AQ41" s="35"/>
      <c r="AR41" s="35"/>
      <c r="AS41" s="35"/>
      <c r="AT41" s="58">
        <f t="shared" si="25"/>
        <v>1209.8</v>
      </c>
      <c r="AU41" s="58">
        <f t="shared" si="26"/>
        <v>1187.9</v>
      </c>
      <c r="AV41" s="10">
        <f t="shared" si="7"/>
        <v>98.18978343527857</v>
      </c>
      <c r="AW41" s="58">
        <f t="shared" si="38"/>
        <v>21.899999999999864</v>
      </c>
      <c r="AX41" s="16">
        <f t="shared" si="39"/>
        <v>115.99999999999977</v>
      </c>
      <c r="AY41" s="20">
        <f t="shared" si="18"/>
        <v>1209.8</v>
      </c>
      <c r="AZ41" s="20">
        <f t="shared" si="19"/>
        <v>1187.9</v>
      </c>
      <c r="BA41" s="39">
        <f t="shared" si="20"/>
        <v>115.99999999999977</v>
      </c>
    </row>
    <row r="42" spans="1:53" ht="34.5" customHeight="1">
      <c r="A42" s="12" t="s">
        <v>37</v>
      </c>
      <c r="B42" s="115" t="s">
        <v>48</v>
      </c>
      <c r="C42" s="84">
        <v>400.5</v>
      </c>
      <c r="D42" s="35">
        <v>230</v>
      </c>
      <c r="E42" s="35">
        <v>201.7</v>
      </c>
      <c r="F42" s="10">
        <f t="shared" si="41"/>
        <v>87.69565217391305</v>
      </c>
      <c r="G42" s="35">
        <v>206.5</v>
      </c>
      <c r="H42" s="35">
        <v>188</v>
      </c>
      <c r="I42" s="10">
        <f t="shared" si="9"/>
        <v>91.0411622276029</v>
      </c>
      <c r="J42" s="35">
        <v>177.5</v>
      </c>
      <c r="K42" s="35">
        <v>178.4</v>
      </c>
      <c r="L42" s="10">
        <f t="shared" si="10"/>
        <v>100.50704225352113</v>
      </c>
      <c r="M42" s="71">
        <f t="shared" si="21"/>
        <v>614</v>
      </c>
      <c r="N42" s="71">
        <f t="shared" si="22"/>
        <v>568.1</v>
      </c>
      <c r="O42" s="10">
        <f t="shared" si="1"/>
        <v>92.52442996742671</v>
      </c>
      <c r="P42" s="35">
        <v>180.6</v>
      </c>
      <c r="Q42" s="35">
        <v>170.7</v>
      </c>
      <c r="R42" s="10">
        <f t="shared" si="11"/>
        <v>94.51827242524917</v>
      </c>
      <c r="S42" s="35">
        <v>181.2</v>
      </c>
      <c r="T42" s="35">
        <v>160.1</v>
      </c>
      <c r="U42" s="102">
        <f t="shared" si="32"/>
        <v>88.35540838852097</v>
      </c>
      <c r="V42" s="35">
        <v>180.5</v>
      </c>
      <c r="W42" s="35">
        <v>152.8</v>
      </c>
      <c r="X42" s="102">
        <f t="shared" si="33"/>
        <v>84.65373961218837</v>
      </c>
      <c r="Y42" s="71">
        <f t="shared" si="34"/>
        <v>542.3</v>
      </c>
      <c r="Z42" s="71">
        <f t="shared" si="35"/>
        <v>483.59999999999997</v>
      </c>
      <c r="AA42" s="10">
        <f t="shared" si="36"/>
        <v>89.17573298912042</v>
      </c>
      <c r="AB42" s="35">
        <v>237.1</v>
      </c>
      <c r="AC42" s="35">
        <v>172.8</v>
      </c>
      <c r="AD42" s="10">
        <f t="shared" si="3"/>
        <v>72.8806410797132</v>
      </c>
      <c r="AE42" s="35">
        <v>231.7</v>
      </c>
      <c r="AF42" s="35">
        <v>200.4</v>
      </c>
      <c r="AG42" s="10">
        <f t="shared" si="4"/>
        <v>86.49115235217954</v>
      </c>
      <c r="AH42" s="35">
        <v>281.4</v>
      </c>
      <c r="AI42" s="35">
        <v>220.9</v>
      </c>
      <c r="AJ42" s="10">
        <f t="shared" si="16"/>
        <v>78.50035536602702</v>
      </c>
      <c r="AK42" s="71">
        <f t="shared" si="23"/>
        <v>750.1999999999999</v>
      </c>
      <c r="AL42" s="71">
        <f t="shared" si="24"/>
        <v>594.1</v>
      </c>
      <c r="AM42" s="10">
        <f t="shared" si="37"/>
        <v>79.19221540922422</v>
      </c>
      <c r="AN42" s="35"/>
      <c r="AO42" s="35"/>
      <c r="AP42" s="35"/>
      <c r="AQ42" s="35"/>
      <c r="AR42" s="35"/>
      <c r="AS42" s="35"/>
      <c r="AT42" s="58">
        <f t="shared" si="25"/>
        <v>1906.5</v>
      </c>
      <c r="AU42" s="58">
        <f t="shared" si="26"/>
        <v>1645.8000000000002</v>
      </c>
      <c r="AV42" s="10">
        <f t="shared" si="7"/>
        <v>86.32572777340678</v>
      </c>
      <c r="AW42" s="58">
        <f t="shared" si="38"/>
        <v>260.6999999999998</v>
      </c>
      <c r="AX42" s="16">
        <f t="shared" si="39"/>
        <v>661.1999999999998</v>
      </c>
      <c r="AY42" s="20">
        <f t="shared" si="18"/>
        <v>1906.5</v>
      </c>
      <c r="AZ42" s="20">
        <f t="shared" si="19"/>
        <v>1645.8000000000002</v>
      </c>
      <c r="BA42" s="39">
        <f t="shared" si="20"/>
        <v>661.1999999999998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720051.2999999999</v>
      </c>
      <c r="D43" s="16">
        <f>SUM(D44:D44)</f>
        <v>61680.5</v>
      </c>
      <c r="E43" s="16">
        <f>SUM(E44:E44)</f>
        <v>52519.6</v>
      </c>
      <c r="F43" s="10">
        <f t="shared" si="41"/>
        <v>85.14781819213528</v>
      </c>
      <c r="G43" s="16">
        <f>SUM(G44:G44)</f>
        <v>53835.7</v>
      </c>
      <c r="H43" s="16">
        <f>SUM(H44:H44)</f>
        <v>49854.8</v>
      </c>
      <c r="I43" s="10">
        <f t="shared" si="9"/>
        <v>92.60546440373211</v>
      </c>
      <c r="J43" s="16">
        <f>SUM(J44:J44)</f>
        <v>55776.3</v>
      </c>
      <c r="K43" s="16">
        <f>SUM(K44:K44)</f>
        <v>42758.3</v>
      </c>
      <c r="L43" s="10">
        <f t="shared" si="10"/>
        <v>76.66033781373093</v>
      </c>
      <c r="M43" s="16">
        <f>SUM(M44:M44)</f>
        <v>171292.5</v>
      </c>
      <c r="N43" s="16">
        <f>SUM(N44:N44)</f>
        <v>145132.7</v>
      </c>
      <c r="O43" s="10">
        <f t="shared" si="1"/>
        <v>84.72799451231083</v>
      </c>
      <c r="P43" s="16">
        <f>SUM(P44:P44)</f>
        <v>52191.1</v>
      </c>
      <c r="Q43" s="16">
        <f>SUM(Q44:Q44)</f>
        <v>41259.1</v>
      </c>
      <c r="R43" s="10">
        <f t="shared" si="11"/>
        <v>79.0538999944435</v>
      </c>
      <c r="S43" s="16">
        <f>SUM(S44:S44)</f>
        <v>55702</v>
      </c>
      <c r="T43" s="16">
        <f>SUM(T44:T44)</f>
        <v>40894.3</v>
      </c>
      <c r="U43" s="10">
        <f t="shared" si="32"/>
        <v>73.41621485763528</v>
      </c>
      <c r="V43" s="16">
        <f>SUM(V44:V44)</f>
        <v>42245.9</v>
      </c>
      <c r="W43" s="16">
        <f>SUM(W44:W44)</f>
        <v>34299</v>
      </c>
      <c r="X43" s="10">
        <f t="shared" si="33"/>
        <v>81.18894377915963</v>
      </c>
      <c r="Y43" s="16">
        <f>SUM(Y44:Y44)</f>
        <v>150139</v>
      </c>
      <c r="Z43" s="16">
        <f>SUM(Z44:Z44)</f>
        <v>116452.4</v>
      </c>
      <c r="AA43" s="10">
        <f t="shared" si="36"/>
        <v>77.56305823270435</v>
      </c>
      <c r="AB43" s="16">
        <f>SUM(AB44:AB44)</f>
        <v>49040</v>
      </c>
      <c r="AC43" s="16">
        <f>SUM(AC44:AC44)</f>
        <v>26482.8</v>
      </c>
      <c r="AD43" s="10">
        <f t="shared" si="3"/>
        <v>54.00244698205546</v>
      </c>
      <c r="AE43" s="16">
        <f>SUM(AE44:AE44)</f>
        <v>47159.2</v>
      </c>
      <c r="AF43" s="16">
        <f>SUM(AF44:AF44)</f>
        <v>29328.9</v>
      </c>
      <c r="AG43" s="10">
        <f t="shared" si="4"/>
        <v>62.19125854552241</v>
      </c>
      <c r="AH43" s="16">
        <f>SUM(AH44:AH44)</f>
        <v>45929.5</v>
      </c>
      <c r="AI43" s="16">
        <f>SUM(AI44:AI44)</f>
        <v>26663.3</v>
      </c>
      <c r="AJ43" s="10">
        <f t="shared" si="16"/>
        <v>58.052667675459126</v>
      </c>
      <c r="AK43" s="16">
        <f>SUM(AK44:AK44)</f>
        <v>142128.7</v>
      </c>
      <c r="AL43" s="16">
        <f>SUM(AL44:AL44)</f>
        <v>82475</v>
      </c>
      <c r="AM43" s="10">
        <f t="shared" si="37"/>
        <v>58.02839257658727</v>
      </c>
      <c r="AN43" s="16">
        <f aca="true" t="shared" si="42" ref="AN43:AS43">SUM(AN44:AN44)</f>
        <v>0</v>
      </c>
      <c r="AO43" s="16">
        <f t="shared" si="42"/>
        <v>0</v>
      </c>
      <c r="AP43" s="16">
        <f t="shared" si="42"/>
        <v>0</v>
      </c>
      <c r="AQ43" s="16">
        <f t="shared" si="42"/>
        <v>0</v>
      </c>
      <c r="AR43" s="16">
        <f t="shared" si="42"/>
        <v>0</v>
      </c>
      <c r="AS43" s="16">
        <f t="shared" si="42"/>
        <v>0</v>
      </c>
      <c r="AT43" s="102">
        <f>AT44</f>
        <v>463560.2</v>
      </c>
      <c r="AU43" s="102">
        <f>AU44</f>
        <v>344060.1</v>
      </c>
      <c r="AV43" s="10">
        <f t="shared" si="7"/>
        <v>74.22123383327558</v>
      </c>
      <c r="AW43" s="16">
        <f>SUM(AW44:AW44)</f>
        <v>119500.10000000003</v>
      </c>
      <c r="AX43" s="16">
        <f>SUM(AX44:AX44)</f>
        <v>839551.4</v>
      </c>
      <c r="AY43" s="20">
        <f t="shared" si="18"/>
        <v>463560.2</v>
      </c>
      <c r="AZ43" s="20">
        <f t="shared" si="19"/>
        <v>344060.10000000003</v>
      </c>
      <c r="BA43" s="39">
        <f t="shared" si="20"/>
        <v>839551.3999999999</v>
      </c>
    </row>
    <row r="44" spans="1:53" s="11" customFormat="1" ht="34.5" customHeight="1">
      <c r="A44" s="12"/>
      <c r="B44" s="38" t="s">
        <v>67</v>
      </c>
      <c r="C44" s="84">
        <f>720183.6-132.3</f>
        <v>720051.2999999999</v>
      </c>
      <c r="D44" s="35">
        <v>61680.5</v>
      </c>
      <c r="E44" s="35">
        <v>52519.6</v>
      </c>
      <c r="F44" s="10">
        <f t="shared" si="41"/>
        <v>85.14781819213528</v>
      </c>
      <c r="G44" s="35">
        <v>53835.7</v>
      </c>
      <c r="H44" s="35">
        <v>49854.8</v>
      </c>
      <c r="I44" s="10">
        <f t="shared" si="9"/>
        <v>92.60546440373211</v>
      </c>
      <c r="J44" s="35">
        <v>55776.3</v>
      </c>
      <c r="K44" s="35">
        <v>42758.3</v>
      </c>
      <c r="L44" s="10">
        <f t="shared" si="10"/>
        <v>76.66033781373093</v>
      </c>
      <c r="M44" s="71">
        <f>D44+G44+J44</f>
        <v>171292.5</v>
      </c>
      <c r="N44" s="71">
        <f>E44+H44+K44</f>
        <v>145132.7</v>
      </c>
      <c r="O44" s="10">
        <f t="shared" si="1"/>
        <v>84.72799451231083</v>
      </c>
      <c r="P44" s="35">
        <v>52191.1</v>
      </c>
      <c r="Q44" s="35">
        <v>41259.1</v>
      </c>
      <c r="R44" s="10">
        <f t="shared" si="11"/>
        <v>79.0538999944435</v>
      </c>
      <c r="S44" s="35">
        <v>55702</v>
      </c>
      <c r="T44" s="35">
        <v>40894.3</v>
      </c>
      <c r="U44" s="10">
        <f t="shared" si="32"/>
        <v>73.41621485763528</v>
      </c>
      <c r="V44" s="35">
        <v>42245.9</v>
      </c>
      <c r="W44" s="35">
        <v>34299</v>
      </c>
      <c r="X44" s="10">
        <f t="shared" si="33"/>
        <v>81.18894377915963</v>
      </c>
      <c r="Y44" s="71">
        <f>P44+S44+V44</f>
        <v>150139</v>
      </c>
      <c r="Z44" s="71">
        <f>Q44+T44+W44</f>
        <v>116452.4</v>
      </c>
      <c r="AA44" s="10">
        <f t="shared" si="36"/>
        <v>77.56305823270435</v>
      </c>
      <c r="AB44" s="35">
        <v>49040</v>
      </c>
      <c r="AC44" s="35">
        <v>26482.8</v>
      </c>
      <c r="AD44" s="10">
        <f t="shared" si="3"/>
        <v>54.00244698205546</v>
      </c>
      <c r="AE44" s="35">
        <v>47159.2</v>
      </c>
      <c r="AF44" s="35">
        <v>29328.9</v>
      </c>
      <c r="AG44" s="10">
        <f t="shared" si="4"/>
        <v>62.19125854552241</v>
      </c>
      <c r="AH44" s="35">
        <v>45929.5</v>
      </c>
      <c r="AI44" s="35">
        <v>26663.3</v>
      </c>
      <c r="AJ44" s="10">
        <f t="shared" si="16"/>
        <v>58.052667675459126</v>
      </c>
      <c r="AK44" s="71">
        <f>AB44+AE44+AH44</f>
        <v>142128.7</v>
      </c>
      <c r="AL44" s="71">
        <f>AC44+AF44+AI44</f>
        <v>82475</v>
      </c>
      <c r="AM44" s="10">
        <f t="shared" si="37"/>
        <v>58.02839257658727</v>
      </c>
      <c r="AN44" s="35"/>
      <c r="AO44" s="35"/>
      <c r="AP44" s="35"/>
      <c r="AQ44" s="35"/>
      <c r="AR44" s="35"/>
      <c r="AS44" s="35"/>
      <c r="AT44" s="58">
        <f>M44+Y44+AK44+AN44+AP44+AR44</f>
        <v>463560.2</v>
      </c>
      <c r="AU44" s="58">
        <f>N44+Z44+AL44+AO44+AQ44+AS44</f>
        <v>344060.1</v>
      </c>
      <c r="AV44" s="10">
        <f t="shared" si="7"/>
        <v>74.22123383327558</v>
      </c>
      <c r="AW44" s="58">
        <f t="shared" si="38"/>
        <v>119500.10000000003</v>
      </c>
      <c r="AX44" s="16">
        <f>C44+AT44-AU44</f>
        <v>839551.4</v>
      </c>
      <c r="AY44" s="20">
        <f t="shared" si="18"/>
        <v>463560.2</v>
      </c>
      <c r="AZ44" s="20">
        <f t="shared" si="19"/>
        <v>344060.10000000003</v>
      </c>
      <c r="BA44" s="39">
        <f t="shared" si="20"/>
        <v>839551.3999999999</v>
      </c>
    </row>
    <row r="45" spans="1:53" ht="34.5" customHeight="1">
      <c r="A45" s="12"/>
      <c r="B45" s="14" t="s">
        <v>96</v>
      </c>
      <c r="C45" s="67">
        <f>C43+C7</f>
        <v>725659.8999999999</v>
      </c>
      <c r="D45" s="16">
        <f>D43+D7</f>
        <v>65727.9</v>
      </c>
      <c r="E45" s="16">
        <f>E43+E7</f>
        <v>55684.799999999996</v>
      </c>
      <c r="F45" s="10">
        <f>E45/D45*100</f>
        <v>84.7201873177144</v>
      </c>
      <c r="G45" s="16">
        <f>G7+G43</f>
        <v>57567.1</v>
      </c>
      <c r="H45" s="16">
        <f>H7+H43</f>
        <v>53497.3</v>
      </c>
      <c r="I45" s="10">
        <f t="shared" si="9"/>
        <v>92.9303369459292</v>
      </c>
      <c r="J45" s="16">
        <f>J7+J43</f>
        <v>59496.8</v>
      </c>
      <c r="K45" s="16">
        <f>K7+K43</f>
        <v>47539.200000000004</v>
      </c>
      <c r="L45" s="10">
        <f t="shared" si="10"/>
        <v>79.90211238251469</v>
      </c>
      <c r="M45" s="16">
        <f>M7+M43</f>
        <v>182791.8</v>
      </c>
      <c r="N45" s="16">
        <f>N7+N43</f>
        <v>156721.30000000002</v>
      </c>
      <c r="O45" s="10">
        <f t="shared" si="1"/>
        <v>85.7375987325471</v>
      </c>
      <c r="P45" s="16">
        <f>P7+P43</f>
        <v>55977.299999999996</v>
      </c>
      <c r="Q45" s="16">
        <f>Q7+Q43</f>
        <v>44503.799999999996</v>
      </c>
      <c r="R45" s="10">
        <f t="shared" si="11"/>
        <v>79.50329865856338</v>
      </c>
      <c r="S45" s="16">
        <f>S7+S43</f>
        <v>59591</v>
      </c>
      <c r="T45" s="16">
        <f>T7+T43</f>
        <v>44019.4</v>
      </c>
      <c r="U45" s="10">
        <f t="shared" si="32"/>
        <v>73.86920843751574</v>
      </c>
      <c r="V45" s="16">
        <f>V7+V43</f>
        <v>46153.7</v>
      </c>
      <c r="W45" s="16">
        <f>W7+W43</f>
        <v>38111.2</v>
      </c>
      <c r="X45" s="10">
        <f t="shared" si="33"/>
        <v>82.57452815267247</v>
      </c>
      <c r="Y45" s="16">
        <f>Y7+Y43</f>
        <v>161722</v>
      </c>
      <c r="Z45" s="16">
        <f>Z7+Z43</f>
        <v>126634.4</v>
      </c>
      <c r="AA45" s="10">
        <f t="shared" si="36"/>
        <v>78.3037558279022</v>
      </c>
      <c r="AB45" s="16">
        <f>AB7+AB43</f>
        <v>53172.1</v>
      </c>
      <c r="AC45" s="16">
        <f>AC7+AC43</f>
        <v>29859.1</v>
      </c>
      <c r="AD45" s="10">
        <f t="shared" si="3"/>
        <v>56.15557783123104</v>
      </c>
      <c r="AE45" s="16">
        <f>AE43+AE7</f>
        <v>51421.399999999994</v>
      </c>
      <c r="AF45" s="16">
        <f>AF43+AF7</f>
        <v>33432.700000000004</v>
      </c>
      <c r="AG45" s="10">
        <f t="shared" si="4"/>
        <v>65.01709405033704</v>
      </c>
      <c r="AH45" s="16">
        <f>AH43+AH7</f>
        <v>50179.8</v>
      </c>
      <c r="AI45" s="16">
        <f>AI43+AI7</f>
        <v>30727.699999999997</v>
      </c>
      <c r="AJ45" s="10">
        <f t="shared" si="16"/>
        <v>61.23519822717507</v>
      </c>
      <c r="AK45" s="16">
        <f>AK7+AK43</f>
        <v>154773.30000000002</v>
      </c>
      <c r="AL45" s="16">
        <f>AL7+AL43</f>
        <v>94019.5</v>
      </c>
      <c r="AM45" s="10">
        <f t="shared" si="37"/>
        <v>60.7465887204059</v>
      </c>
      <c r="AN45" s="16">
        <f aca="true" t="shared" si="43" ref="AN45:AS45">AN43+AN7</f>
        <v>0</v>
      </c>
      <c r="AO45" s="16">
        <f t="shared" si="43"/>
        <v>0</v>
      </c>
      <c r="AP45" s="16">
        <f t="shared" si="43"/>
        <v>0</v>
      </c>
      <c r="AQ45" s="16">
        <f t="shared" si="43"/>
        <v>0</v>
      </c>
      <c r="AR45" s="16">
        <f t="shared" si="43"/>
        <v>0</v>
      </c>
      <c r="AS45" s="16">
        <f t="shared" si="43"/>
        <v>0</v>
      </c>
      <c r="AT45" s="67">
        <f>AT7+AT43</f>
        <v>499287.10000000003</v>
      </c>
      <c r="AU45" s="67">
        <f>AU7+AU43</f>
        <v>377375.19999999995</v>
      </c>
      <c r="AV45" s="10">
        <f>AU45/AT45*100</f>
        <v>75.58280596474451</v>
      </c>
      <c r="AW45" s="16">
        <f>AW7+AW43</f>
        <v>121911.90000000004</v>
      </c>
      <c r="AX45" s="16">
        <f>AX7+AX43</f>
        <v>847571.8</v>
      </c>
      <c r="AY45" s="20">
        <f t="shared" si="18"/>
        <v>499287.0999999999</v>
      </c>
      <c r="AZ45" s="20">
        <f t="shared" si="19"/>
        <v>377375.2</v>
      </c>
      <c r="BA45" s="39">
        <f t="shared" si="20"/>
        <v>847571.7999999998</v>
      </c>
    </row>
    <row r="46" spans="1:62" s="111" customFormat="1" ht="78.75" customHeight="1">
      <c r="A46" s="160" t="s">
        <v>101</v>
      </c>
      <c r="B46" s="160"/>
      <c r="C46" s="160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6"/>
      <c r="AU46" s="126"/>
      <c r="AV46" s="127"/>
      <c r="AW46" s="127"/>
      <c r="AX46" s="128" t="s">
        <v>100</v>
      </c>
      <c r="AY46" s="126"/>
      <c r="AZ46" s="126"/>
      <c r="BA46" s="126"/>
      <c r="BB46" s="126"/>
      <c r="BC46" s="126"/>
      <c r="BD46" s="126"/>
      <c r="BE46" s="126"/>
      <c r="BF46" s="126"/>
      <c r="BG46" s="129"/>
      <c r="BH46" s="129"/>
      <c r="BI46" s="129"/>
      <c r="BJ46" s="129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80" t="s">
        <v>75</v>
      </c>
      <c r="AX47" s="181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00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1" s="29" customFormat="1" ht="46.5" customHeight="1">
      <c r="A51" s="26"/>
      <c r="B51" s="173" t="s">
        <v>76</v>
      </c>
      <c r="C51" s="173"/>
      <c r="D51" s="173"/>
      <c r="E51" s="173"/>
      <c r="F51" s="173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  <c r="AY51" s="28"/>
    </row>
    <row r="52" spans="1:50" ht="73.5" customHeight="1" hidden="1">
      <c r="A52" s="172" t="s">
        <v>72</v>
      </c>
      <c r="B52" s="172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2:50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2:50" ht="18.75">
      <c r="B59" s="94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A52:B52"/>
    <mergeCell ref="B51:F51"/>
    <mergeCell ref="M5:O5"/>
    <mergeCell ref="S5:U5"/>
    <mergeCell ref="P5:R5"/>
    <mergeCell ref="AN5:AO5"/>
    <mergeCell ref="A46:C46"/>
    <mergeCell ref="AW47:AX47"/>
    <mergeCell ref="AW5:AW6"/>
    <mergeCell ref="V5:X5"/>
    <mergeCell ref="AB5:AD5"/>
    <mergeCell ref="AT5:AV5"/>
    <mergeCell ref="Y5:AA5"/>
    <mergeCell ref="AX5:AX6"/>
    <mergeCell ref="AP5:AQ5"/>
    <mergeCell ref="AR5:AS5"/>
    <mergeCell ref="A2:AX3"/>
    <mergeCell ref="I1:AX1"/>
    <mergeCell ref="B4:F4"/>
    <mergeCell ref="D5:F5"/>
    <mergeCell ref="AK5:AM5"/>
    <mergeCell ref="G5:I5"/>
    <mergeCell ref="AE5:AG5"/>
    <mergeCell ref="J5:L5"/>
    <mergeCell ref="AH5:AJ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2019-10-16T14:21:41Z</cp:lastPrinted>
  <dcterms:created xsi:type="dcterms:W3CDTF">2001-09-14T09:33:50Z</dcterms:created>
  <dcterms:modified xsi:type="dcterms:W3CDTF">2019-10-17T07:41:20Z</dcterms:modified>
  <cp:category/>
  <cp:version/>
  <cp:contentType/>
  <cp:contentStatus/>
</cp:coreProperties>
</file>