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8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'Всього'!$A$1:$AW$46</definedName>
    <definedName name="_xlnm.Print_Area" localSheetId="7">'госпрозрахунк.'!$A$1:$AW$46</definedName>
    <definedName name="_xlnm.Print_Area" localSheetId="4">'держ.бюджет'!$A$1:$AW$46</definedName>
    <definedName name="_xlnm.Print_Area" localSheetId="2">'льготи'!$A$1:$AW$46</definedName>
    <definedName name="_xlnm.Print_Area" localSheetId="5">'місц.-район.бюджет'!$A$1:$AW$46</definedName>
    <definedName name="_xlnm.Print_Area" localSheetId="1">'населення'!$A$1:$AX$46</definedName>
    <definedName name="_xlnm.Print_Area" localSheetId="6">'обласной'!$A$1:$AW$46</definedName>
    <definedName name="_xlnm.Print_Area" localSheetId="3">'субсидии'!$A$1:$AW$46</definedName>
  </definedNames>
  <calcPr fullCalcOnLoad="1"/>
</workbook>
</file>

<file path=xl/sharedStrings.xml><?xml version="1.0" encoding="utf-8"?>
<sst xmlns="http://schemas.openxmlformats.org/spreadsheetml/2006/main" count="949" uniqueCount="133">
  <si>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</si>
  <si>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</si>
  <si>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</si>
  <si>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</si>
  <si>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</si>
  <si>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</si>
  <si>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</si>
  <si>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</si>
  <si>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</si>
  <si>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</si>
  <si>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</si>
  <si>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</si>
  <si>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</si>
  <si>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</si>
  <si>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</si>
  <si>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</si>
  <si>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</si>
  <si>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</si>
  <si>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</si>
  <si>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</si>
  <si>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</si>
  <si>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</si>
  <si>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</si>
  <si>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</si>
  <si>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</si>
  <si>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</si>
  <si>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</si>
  <si>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</si>
  <si>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</si>
  <si>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</si>
  <si>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</si>
  <si>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</si>
  <si>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</si>
  <si>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</si>
  <si>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</si>
  <si>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</si>
  <si>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</si>
  <si>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</si>
  <si>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</si>
  <si>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</si>
  <si>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</si>
  <si>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</si>
  <si>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</si>
  <si>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</si>
  <si>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</si>
  <si>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</si>
  <si>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</si>
  <si>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</si>
  <si>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</si>
  <si>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</si>
  <si>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</si>
  <si>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</si>
  <si>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</si>
  <si>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</si>
  <si>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</si>
  <si>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</si>
  <si>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</si>
  <si>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</si>
  <si>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</si>
  <si>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</si>
  <si>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</si>
  <si>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</si>
  <si>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</si>
  <si>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</si>
  <si>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</si>
  <si>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</si>
  <si>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</si>
  <si>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</si>
  <si>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</si>
  <si>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</si>
  <si>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</si>
  <si>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</si>
  <si>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</si>
  <si>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</si>
  <si>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</si>
  <si>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</si>
  <si>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</si>
  <si>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</si>
  <si>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</si>
  <si>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</si>
  <si>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</si>
  <si>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</si>
  <si>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</si>
  <si>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</si>
  <si>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</si>
  <si>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</si>
  <si>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</si>
  <si>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</si>
  <si>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</si>
  <si>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</si>
  <si>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</si>
  <si>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</si>
  <si>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</si>
  <si>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</si>
  <si>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</si>
  <si>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</si>
  <si>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</si>
  <si>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</si>
  <si>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</si>
  <si>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</si>
  <si>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</si>
  <si>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</si>
  <si>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</si>
  <si>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</si>
  <si>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</si>
  <si>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</si>
  <si>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</si>
  <si>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</si>
  <si>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</si>
  <si>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</si>
  <si>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</si>
  <si>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</si>
  <si>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</si>
  <si>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</si>
  <si>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</si>
  <si>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</si>
  <si>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</si>
  <si>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</si>
  <si>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</si>
  <si>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</si>
  <si>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</si>
  <si>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</si>
  <si>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</si>
  <si>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</si>
  <si>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</si>
  <si>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</si>
  <si>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</si>
  <si>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</si>
  <si>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</si>
  <si>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январь-декабрь 2017 года</t>
  </si>
  <si>
    <t>по оплате услуг теплоснабжения по состоянию на 01.01.2018</t>
  </si>
  <si>
    <t xml:space="preserve">Задолженность за 2017 год по состоянию на 01.01.2018 </t>
  </si>
  <si>
    <t>Общая задолженность на 01.01.2018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</si>
</sst>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 wrapText="1" shrinkToFi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92" fontId="4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92" fontId="16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4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 wrapText="1"/>
    </xf>
    <xf numFmtId="192" fontId="62" fillId="33" borderId="10" xfId="0" applyNumberFormat="1" applyFont="1" applyFill="1" applyBorder="1" applyAlignment="1">
      <alignment/>
    </xf>
    <xf numFmtId="192" fontId="6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62" fillId="33" borderId="10" xfId="0" applyNumberFormat="1" applyFont="1" applyFill="1" applyBorder="1" applyAlignment="1">
      <alignment wrapText="1"/>
    </xf>
    <xf numFmtId="192" fontId="63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63" fillId="33" borderId="10" xfId="0" applyNumberFormat="1" applyFont="1" applyFill="1" applyBorder="1" applyAlignment="1">
      <alignment wrapText="1"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wrapText="1"/>
    </xf>
    <xf numFmtId="192" fontId="65" fillId="33" borderId="10" xfId="0" applyNumberFormat="1" applyFont="1" applyFill="1" applyBorder="1" applyAlignment="1">
      <alignment/>
    </xf>
    <xf numFmtId="192" fontId="63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192" fontId="12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16" fillId="33" borderId="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92" fontId="3" fillId="33" borderId="15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3"/>
  <sheetViews>
    <sheetView tabSelected="1" view="pageBreakPreview" zoomScale="70" zoomScaleNormal="70" zoomScaleSheetLayoutView="70" zoomScalePageLayoutView="80" workbookViewId="0" topLeftCell="A1">
      <pane xSplit="6" ySplit="9" topLeftCell="AN1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6" sqref="B6"/>
    </sheetView>
  </sheetViews>
  <sheetFormatPr defaultColWidth="7.875" defaultRowHeight="12.75"/>
  <cols>
    <col min="1" max="1" width="6.625" style="139" customWidth="1"/>
    <col min="2" max="2" width="65.125" style="140" customWidth="1"/>
    <col min="3" max="3" width="17.75390625" style="141" customWidth="1"/>
    <col min="4" max="4" width="18.125" style="140" hidden="1" customWidth="1"/>
    <col min="5" max="5" width="17.875" style="140" hidden="1" customWidth="1"/>
    <col min="6" max="6" width="13.75390625" style="148" hidden="1" customWidth="1"/>
    <col min="7" max="7" width="16.625" style="140" hidden="1" customWidth="1"/>
    <col min="8" max="8" width="16.125" style="140" hidden="1" customWidth="1"/>
    <col min="9" max="9" width="12.00390625" style="148" hidden="1" customWidth="1"/>
    <col min="10" max="10" width="16.625" style="140" hidden="1" customWidth="1"/>
    <col min="11" max="11" width="16.125" style="140" hidden="1" customWidth="1"/>
    <col min="12" max="12" width="12.00390625" style="148" hidden="1" customWidth="1"/>
    <col min="13" max="13" width="15.375" style="148" customWidth="1"/>
    <col min="14" max="14" width="15.00390625" style="148" customWidth="1"/>
    <col min="15" max="15" width="12.00390625" style="148" customWidth="1"/>
    <col min="16" max="16" width="16.625" style="140" hidden="1" customWidth="1"/>
    <col min="17" max="17" width="16.125" style="140" hidden="1" customWidth="1"/>
    <col min="18" max="18" width="13.25390625" style="148" hidden="1" customWidth="1"/>
    <col min="19" max="19" width="16.625" style="140" hidden="1" customWidth="1"/>
    <col min="20" max="20" width="16.125" style="140" hidden="1" customWidth="1"/>
    <col min="21" max="24" width="13.25390625" style="148" hidden="1" customWidth="1"/>
    <col min="25" max="25" width="15.375" style="148" customWidth="1"/>
    <col min="26" max="26" width="15.00390625" style="148" customWidth="1"/>
    <col min="27" max="27" width="12.00390625" style="148" customWidth="1"/>
    <col min="28" max="28" width="13.25390625" style="148" hidden="1" customWidth="1"/>
    <col min="29" max="29" width="15.25390625" style="148" hidden="1" customWidth="1"/>
    <col min="30" max="31" width="13.25390625" style="148" hidden="1" customWidth="1"/>
    <col min="32" max="32" width="15.25390625" style="148" hidden="1" customWidth="1"/>
    <col min="33" max="35" width="13.25390625" style="148" hidden="1" customWidth="1"/>
    <col min="36" max="36" width="15.375" style="148" customWidth="1"/>
    <col min="37" max="37" width="15.00390625" style="148" customWidth="1"/>
    <col min="38" max="38" width="12.00390625" style="148" hidden="1" customWidth="1"/>
    <col min="39" max="44" width="13.25390625" style="148" customWidth="1"/>
    <col min="45" max="45" width="15.125" style="148" customWidth="1"/>
    <col min="46" max="46" width="15.25390625" style="148" customWidth="1"/>
    <col min="47" max="47" width="13.25390625" style="148" customWidth="1"/>
    <col min="48" max="48" width="21.125" style="140" customWidth="1"/>
    <col min="49" max="49" width="24.75390625" style="140" customWidth="1"/>
    <col min="50" max="50" width="14.875" style="140" customWidth="1"/>
    <col min="51" max="51" width="15.75390625" style="140" customWidth="1"/>
    <col min="52" max="52" width="14.25390625" style="140" customWidth="1"/>
    <col min="53" max="53" width="15.75390625" style="140" customWidth="1"/>
    <col min="54" max="54" width="11.625" style="140" bestFit="1" customWidth="1"/>
    <col min="55" max="16384" width="7.875" style="140" customWidth="1"/>
  </cols>
  <sheetData>
    <row r="1" spans="1:49" ht="18.75">
      <c r="A1" s="139" t="s">
        <v>10</v>
      </c>
      <c r="D1" s="142"/>
      <c r="E1" s="142"/>
      <c r="F1" s="143"/>
      <c r="G1" s="142"/>
      <c r="H1" s="142"/>
      <c r="I1" s="143"/>
      <c r="J1" s="142"/>
      <c r="K1" s="142"/>
      <c r="L1" s="143"/>
      <c r="M1" s="143"/>
      <c r="N1" s="143"/>
      <c r="O1" s="143"/>
      <c r="P1" s="142"/>
      <c r="Q1" s="142"/>
      <c r="R1" s="143"/>
      <c r="S1" s="142"/>
      <c r="T1" s="142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2"/>
      <c r="AW1" s="143"/>
    </row>
    <row r="2" spans="1:49" s="146" customFormat="1" ht="42" customHeight="1">
      <c r="A2" s="144"/>
      <c r="B2" s="145" t="s">
        <v>89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</row>
    <row r="3" spans="1:49" s="146" customFormat="1" ht="42" customHeight="1">
      <c r="A3" s="144"/>
      <c r="B3" s="145" t="s">
        <v>130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2:49" ht="13.5" customHeight="1">
      <c r="B4" s="147"/>
      <c r="C4" s="147"/>
      <c r="AW4" s="149" t="s">
        <v>48</v>
      </c>
    </row>
    <row r="5" spans="1:51" ht="36.75" customHeight="1">
      <c r="A5" s="150" t="s">
        <v>36</v>
      </c>
      <c r="B5" s="151"/>
      <c r="C5" s="152" t="s">
        <v>1</v>
      </c>
      <c r="D5" s="153" t="s">
        <v>111</v>
      </c>
      <c r="E5" s="154"/>
      <c r="F5" s="155"/>
      <c r="G5" s="156" t="s">
        <v>113</v>
      </c>
      <c r="H5" s="157"/>
      <c r="I5" s="158"/>
      <c r="J5" s="156" t="s">
        <v>116</v>
      </c>
      <c r="K5" s="157"/>
      <c r="L5" s="158"/>
      <c r="M5" s="156" t="s">
        <v>118</v>
      </c>
      <c r="N5" s="157"/>
      <c r="O5" s="158"/>
      <c r="P5" s="156" t="s">
        <v>117</v>
      </c>
      <c r="Q5" s="157"/>
      <c r="R5" s="158"/>
      <c r="S5" s="156" t="s">
        <v>119</v>
      </c>
      <c r="T5" s="157"/>
      <c r="U5" s="158"/>
      <c r="V5" s="156" t="s">
        <v>120</v>
      </c>
      <c r="W5" s="157"/>
      <c r="X5" s="158"/>
      <c r="Y5" s="156" t="s">
        <v>121</v>
      </c>
      <c r="Z5" s="157"/>
      <c r="AA5" s="158"/>
      <c r="AB5" s="156" t="s">
        <v>122</v>
      </c>
      <c r="AC5" s="157"/>
      <c r="AD5" s="158"/>
      <c r="AE5" s="156" t="s">
        <v>123</v>
      </c>
      <c r="AF5" s="157"/>
      <c r="AG5" s="158"/>
      <c r="AH5" s="156" t="s">
        <v>124</v>
      </c>
      <c r="AI5" s="158"/>
      <c r="AJ5" s="156" t="s">
        <v>126</v>
      </c>
      <c r="AK5" s="157"/>
      <c r="AL5" s="158"/>
      <c r="AM5" s="156" t="s">
        <v>125</v>
      </c>
      <c r="AN5" s="158"/>
      <c r="AO5" s="156" t="s">
        <v>127</v>
      </c>
      <c r="AP5" s="158"/>
      <c r="AQ5" s="156" t="s">
        <v>128</v>
      </c>
      <c r="AR5" s="158"/>
      <c r="AS5" s="156" t="s">
        <v>129</v>
      </c>
      <c r="AT5" s="157"/>
      <c r="AU5" s="158"/>
      <c r="AV5" s="159" t="s">
        <v>131</v>
      </c>
      <c r="AW5" s="159" t="s">
        <v>132</v>
      </c>
      <c r="AY5" s="160">
        <f>AZ7-AV7</f>
        <v>-279327.22</v>
      </c>
    </row>
    <row r="6" spans="1:53" ht="59.25" customHeight="1">
      <c r="A6" s="161" t="s">
        <v>9</v>
      </c>
      <c r="B6" s="162" t="s">
        <v>46</v>
      </c>
      <c r="C6" s="163" t="s">
        <v>106</v>
      </c>
      <c r="D6" s="164" t="s">
        <v>112</v>
      </c>
      <c r="E6" s="164" t="s">
        <v>47</v>
      </c>
      <c r="F6" s="165" t="s">
        <v>0</v>
      </c>
      <c r="G6" s="164" t="s">
        <v>112</v>
      </c>
      <c r="H6" s="164" t="s">
        <v>47</v>
      </c>
      <c r="I6" s="165" t="s">
        <v>0</v>
      </c>
      <c r="J6" s="164" t="s">
        <v>112</v>
      </c>
      <c r="K6" s="164" t="s">
        <v>47</v>
      </c>
      <c r="L6" s="165" t="s">
        <v>0</v>
      </c>
      <c r="M6" s="164" t="s">
        <v>112</v>
      </c>
      <c r="N6" s="164" t="s">
        <v>47</v>
      </c>
      <c r="O6" s="165" t="s">
        <v>0</v>
      </c>
      <c r="P6" s="164" t="s">
        <v>112</v>
      </c>
      <c r="Q6" s="164" t="s">
        <v>47</v>
      </c>
      <c r="R6" s="165" t="s">
        <v>0</v>
      </c>
      <c r="S6" s="164" t="s">
        <v>112</v>
      </c>
      <c r="T6" s="164" t="s">
        <v>47</v>
      </c>
      <c r="U6" s="165" t="s">
        <v>0</v>
      </c>
      <c r="V6" s="164" t="s">
        <v>112</v>
      </c>
      <c r="W6" s="164" t="s">
        <v>47</v>
      </c>
      <c r="X6" s="165" t="s">
        <v>0</v>
      </c>
      <c r="Y6" s="164" t="s">
        <v>112</v>
      </c>
      <c r="Z6" s="164" t="s">
        <v>47</v>
      </c>
      <c r="AA6" s="165" t="s">
        <v>0</v>
      </c>
      <c r="AB6" s="164" t="s">
        <v>112</v>
      </c>
      <c r="AC6" s="164" t="s">
        <v>47</v>
      </c>
      <c r="AD6" s="165" t="s">
        <v>0</v>
      </c>
      <c r="AE6" s="164" t="s">
        <v>112</v>
      </c>
      <c r="AF6" s="164" t="s">
        <v>47</v>
      </c>
      <c r="AG6" s="165" t="s">
        <v>0</v>
      </c>
      <c r="AH6" s="164" t="s">
        <v>112</v>
      </c>
      <c r="AI6" s="164" t="s">
        <v>47</v>
      </c>
      <c r="AJ6" s="164" t="s">
        <v>112</v>
      </c>
      <c r="AK6" s="164" t="s">
        <v>47</v>
      </c>
      <c r="AL6" s="165" t="s">
        <v>0</v>
      </c>
      <c r="AM6" s="164" t="s">
        <v>112</v>
      </c>
      <c r="AN6" s="164" t="s">
        <v>47</v>
      </c>
      <c r="AO6" s="164" t="s">
        <v>112</v>
      </c>
      <c r="AP6" s="164" t="s">
        <v>47</v>
      </c>
      <c r="AQ6" s="164" t="s">
        <v>112</v>
      </c>
      <c r="AR6" s="164" t="s">
        <v>47</v>
      </c>
      <c r="AS6" s="164" t="s">
        <v>112</v>
      </c>
      <c r="AT6" s="164" t="s">
        <v>47</v>
      </c>
      <c r="AU6" s="165" t="s">
        <v>0</v>
      </c>
      <c r="AV6" s="166"/>
      <c r="AW6" s="166"/>
      <c r="AY6" s="160"/>
      <c r="BA6" s="160"/>
    </row>
    <row r="7" spans="1:53" s="148" customFormat="1" ht="43.5" customHeight="1">
      <c r="A7" s="165"/>
      <c r="B7" s="167" t="s">
        <v>49</v>
      </c>
      <c r="C7" s="168">
        <f>населення!C7+льготи!C7+субсидии!C7+'держ.бюджет'!C7+'місц.-район.бюджет'!C7+обласной!C7+'госпрозрахунк.'!C7</f>
        <v>324931.13</v>
      </c>
      <c r="D7" s="168">
        <f>населення!D7+льготи!D7+субсидии!D7+'держ.бюджет'!D7+'місц.-район.бюджет'!D7+обласной!D7+'госпрозрахунк.'!D7</f>
        <v>210975.4</v>
      </c>
      <c r="E7" s="168">
        <f>населення!E7+льготи!E7+субсидии!E7+'держ.бюджет'!E7+'місц.-район.бюджет'!E7+обласной!E7+'госпрозрахунк.'!E7</f>
        <v>165349.5</v>
      </c>
      <c r="F7" s="168">
        <f>населення!F7+льготи!F7+субсидии!F7+'держ.бюджет'!F7+'місц.-район.бюджет'!F7+обласной!F7+'госпрозрахунк.'!F7</f>
        <v>467.37995580068537</v>
      </c>
      <c r="G7" s="168">
        <f>населення!G7+льготи!G7+субсидии!G7+'держ.бюджет'!G7+'місц.-район.бюджет'!G7+обласной!G7+'госпрозрахунк.'!G7</f>
        <v>198334.39999999997</v>
      </c>
      <c r="H7" s="168">
        <f>населення!H7+льготи!H7+субсидии!H7+'держ.бюджет'!H7+'місц.-район.бюджет'!H7+обласной!H7+'госпрозрахунк.'!H7</f>
        <v>155321.30000000002</v>
      </c>
      <c r="I7" s="168">
        <f>населення!I7+льготи!I7+субсидии!I7+'держ.бюджет'!I7+'місц.-район.бюджет'!I7+обласной!I7+'госпрозрахунк.'!I7</f>
        <v>517.0985867887091</v>
      </c>
      <c r="J7" s="168">
        <f>населення!J7+льготи!J7+субсидии!J7+'держ.бюджет'!J7+'місц.-район.бюджет'!J7+обласной!J7+'госпрозрахунк.'!J7</f>
        <v>114039.9</v>
      </c>
      <c r="K7" s="168">
        <f>населення!K7+льготи!K7+субсидии!K7+'держ.бюджет'!K7+'місц.-район.бюджет'!K7+обласной!K7+'госпрозрахунк.'!K7</f>
        <v>105912.9</v>
      </c>
      <c r="L7" s="168">
        <f>населення!L7+льготи!L7+субсидии!L7+'держ.бюджет'!L7+'місц.-район.бюджет'!L7+обласной!L7+'госпрозрахунк.'!L7</f>
        <v>23.810016444248532</v>
      </c>
      <c r="M7" s="168">
        <f>населення!M7+льготи!M7+субсидии!M7+'держ.бюджет'!M7+'місц.-район.бюджет'!M7+обласной!M7+'госпрозрахунк.'!M7</f>
        <v>523349.6999999999</v>
      </c>
      <c r="N7" s="168">
        <f>населення!N7+льготи!N7+субсидии!N7+'держ.бюджет'!N7+'місц.-район.бюджет'!N7+обласной!N7+'госпрозрахунк.'!N7</f>
        <v>426583.70000000007</v>
      </c>
      <c r="O7" s="168">
        <f>N7/M7*100</f>
        <v>81.51025977467842</v>
      </c>
      <c r="P7" s="168">
        <f>населення!P7+льготи!P7+субсидии!P7+'держ.бюджет'!P7+'місц.-район.бюджет'!P7+обласной!P7+'госпрозрахунк.'!P7</f>
        <v>9484.3</v>
      </c>
      <c r="Q7" s="168">
        <f>населення!Q7+льготи!Q7+субсидии!Q7+'держ.бюджет'!Q7+'місц.-район.бюджет'!Q7+обласной!Q7+'госпрозрахунк.'!Q7</f>
        <v>64524.7</v>
      </c>
      <c r="R7" s="168">
        <f>Q7/P7*100</f>
        <v>680.331706082684</v>
      </c>
      <c r="S7" s="168">
        <f>населення!S7+льготи!S7+субсидии!S7+'держ.бюджет'!S7+'місц.-район.бюджет'!S7+обласной!S7+'госпрозрахунк.'!S7</f>
        <v>-2362.400000000001</v>
      </c>
      <c r="T7" s="168">
        <f>населення!T7+льготи!T7+субсидии!T7+'держ.бюджет'!T7+'місц.-район.бюджет'!T7+обласной!T7+'госпрозрахунк.'!T7</f>
        <v>44404.39999999999</v>
      </c>
      <c r="U7" s="168">
        <f>T7/S7*100</f>
        <v>-1879.630883846934</v>
      </c>
      <c r="V7" s="168">
        <f>населення!V7+льготи!V7+субсидии!V7+'держ.бюджет'!V7+'місц.-район.бюджет'!V7+обласной!V7+'госпрозрахунк.'!V7</f>
        <v>251.60000000000002</v>
      </c>
      <c r="W7" s="168">
        <f>населення!W7+льготи!W7+субсидии!W7+'держ.бюджет'!W7+'місц.-район.бюджет'!W7+обласной!W7+'госпрозрахунк.'!W7</f>
        <v>27341.600000000002</v>
      </c>
      <c r="X7" s="168">
        <f>W7/V7*100</f>
        <v>10867.090620031795</v>
      </c>
      <c r="Y7" s="168">
        <f>населення!Y7+льготи!Y7+субсидии!Y7+'держ.бюджет'!Y7+'місц.-район.бюджет'!Y7+обласной!Y7+'госпрозрахунк.'!Y7</f>
        <v>7373.499999999999</v>
      </c>
      <c r="Z7" s="168">
        <f>населення!Z7+льготи!Z7+субсидии!Z7+'держ.бюджет'!Z7+'місц.-район.бюджет'!Z7+обласной!Z7+'госпрозрахунк.'!Z7</f>
        <v>136270.7</v>
      </c>
      <c r="AA7" s="168">
        <f aca="true" t="shared" si="0" ref="AA7:AA19">Z7/Y7*100</f>
        <v>1848.1141927171632</v>
      </c>
      <c r="AB7" s="168">
        <f>населення!AB7+льготи!AB7+субсидии!AB7+'держ.бюджет'!AB7+'місц.-район.бюджет'!AB7+обласной!AB7+'госпрозрахунк.'!AB7</f>
        <v>294</v>
      </c>
      <c r="AC7" s="168">
        <f>населення!AC7+льготи!AC7+субсидии!AC7+'держ.бюджет'!AC7+'місц.-район.бюджет'!AC7+обласной!AC7+'госпрозрахунк.'!AC7</f>
        <v>11966</v>
      </c>
      <c r="AD7" s="168">
        <f>AC7/AB7*100</f>
        <v>4070.068027210884</v>
      </c>
      <c r="AE7" s="168">
        <f>населення!AE7+льготи!AE7+субсидии!AE7+'держ.бюджет'!AE7+'місц.-район.бюджет'!AE7+обласной!AE7+'госпрозрахунк.'!AE7</f>
        <v>98.80000000000001</v>
      </c>
      <c r="AF7" s="168">
        <f>населення!AF7+льготи!AF7+субсидии!AF7+'держ.бюджет'!AF7+'місц.-район.бюджет'!AF7+обласной!AF7+'госпрозрахунк.'!AF7</f>
        <v>75997.3</v>
      </c>
      <c r="AG7" s="168">
        <f>AF7/AE7*100</f>
        <v>76920.34412955465</v>
      </c>
      <c r="AH7" s="168">
        <f>населення!AH7+льготи!AH7+субсидии!AH7+'держ.бюджет'!AH7+'місц.-район.бюджет'!AH7+обласной!AH7+'госпрозрахунк.'!AH7</f>
        <v>277.6</v>
      </c>
      <c r="AI7" s="168">
        <f>населення!AI7+льготи!AI7+субсидии!AI7+'держ.бюджет'!AI7+'місц.-район.бюджет'!AI7+обласной!AI7+'госпрозрахунк.'!AI7</f>
        <v>28670.8</v>
      </c>
      <c r="AJ7" s="168">
        <f>населення!AJ7+льготи!AJ7+субсидии!AJ7+'держ.бюджет'!AJ7+'місц.-район.бюджет'!AJ7+обласной!AJ7+'госпрозрахунк.'!AJ7</f>
        <v>670.4</v>
      </c>
      <c r="AK7" s="168">
        <f>населення!AK7+льготи!AK7+субсидии!AK7+'держ.бюджет'!AK7+'місц.-район.бюджет'!AK7+обласной!AK7+'госпрозрахунк.'!AK7</f>
        <v>116634.10000000002</v>
      </c>
      <c r="AL7" s="168">
        <f>AK7/AJ7*100</f>
        <v>17397.687947494036</v>
      </c>
      <c r="AM7" s="168">
        <f>населення!AM7+льготи!AM7+субсидии!AM7+'держ.бюджет'!AM7+'місц.-район.бюджет'!AM7+обласной!AM7+'госпрозрахунк.'!AM7</f>
        <v>48157.9</v>
      </c>
      <c r="AN7" s="168">
        <f>населення!AN7+льготи!AN7+субсидии!AN7+'держ.бюджет'!AN7+'місц.-район.бюджет'!AN7+обласной!AN7+'госпрозрахунк.'!AN7</f>
        <v>24418.4</v>
      </c>
      <c r="AO7" s="168">
        <f>населення!AO7+льготи!AO7+субсидии!AO7+'держ.бюджет'!AO7+'місц.-район.бюджет'!AO7+обласной!AO7+'госпрозрахунк.'!AO7</f>
        <v>159751.99</v>
      </c>
      <c r="AP7" s="168">
        <f>населення!AP7+льготи!AP7+субсидии!AP7+'держ.бюджет'!AP7+'місц.-район.бюджет'!AP7+обласной!AP7+'госпрозрахунк.'!AP7</f>
        <v>56171.399999999994</v>
      </c>
      <c r="AQ7" s="168">
        <f>населення!AR7+льготи!AQ7+субсидии!AQ7+'держ.бюджет'!AQ7+'місц.-район.бюджет'!AQ7+обласной!AQ7+'госпрозрахунк.'!AQ7</f>
        <v>177910.19999999998</v>
      </c>
      <c r="AR7" s="168">
        <f>населення!AS7+льготи!AR7+субсидии!AR7+'держ.бюджет'!AR7+'місц.-район.бюджет'!AR7+обласной!AR7+'госпрозрахунк.'!AR7</f>
        <v>202739.30000000002</v>
      </c>
      <c r="AS7" s="168">
        <f>населення!AT7+льготи!AS7+субсидии!AS7+'держ.бюджет'!AS7+'місц.-район.бюджет'!AS7+обласной!AS7+'госпрозрахунк.'!AS7</f>
        <v>917213.69</v>
      </c>
      <c r="AT7" s="168">
        <f>населення!AU7+льготи!AT7+субсидии!AT7+'держ.бюджет'!AT7+'місц.-район.бюджет'!AT7+обласной!AT7+'госпрозрахунк.'!AT7</f>
        <v>962817.5999999999</v>
      </c>
      <c r="AU7" s="168">
        <f>AT7/AS7*100</f>
        <v>104.97200494249054</v>
      </c>
      <c r="AV7" s="168">
        <f>населення!AW7+льготи!AV7+субсидии!AV7+'держ.бюджет'!AV7+'місц.-район.бюджет'!AV7+обласной!AV7+'госпрозрахунк.'!AV7</f>
        <v>-45603.91</v>
      </c>
      <c r="AW7" s="168">
        <f>населення!AX7+льготи!AW7+субсидии!AW7+'держ.бюджет'!AW7+'місц.-район.бюджет'!AW7+обласной!AW7+'госпрозрахунк.'!AW7</f>
        <v>279327.2199999999</v>
      </c>
      <c r="AX7" s="168">
        <f>населення!AY7+льготи!AX7+субсидии!AX7+'держ.бюджет'!AX7+'місц.-район.бюджет'!AX7+обласной!AX7+'госпрозрахунк.'!AX7</f>
        <v>-45603.909999999974</v>
      </c>
      <c r="AY7" s="168">
        <f>населення!AZ7+льготи!AY7+субсидии!AY7+'держ.бюджет'!AY7+'місц.-район.бюджет'!AY7+обласной!AY7+'госпрозрахунк.'!AY7</f>
        <v>279327.22</v>
      </c>
      <c r="AZ7" s="169">
        <f>AX7-AY7</f>
        <v>-324931.12999999995</v>
      </c>
      <c r="BA7" s="169">
        <f aca="true" t="shared" si="1" ref="BA7:BA46">C7+AX7-AY7</f>
        <v>0</v>
      </c>
    </row>
    <row r="8" spans="1:54" ht="39.75" customHeight="1">
      <c r="A8" s="170">
        <v>1</v>
      </c>
      <c r="B8" s="171" t="s">
        <v>50</v>
      </c>
      <c r="C8" s="168">
        <f>населення!C8+льготи!C8+субсидии!C8+'держ.бюджет'!C8+'місц.-район.бюджет'!C8+обласной!C8+'госпрозрахунк.'!C8</f>
        <v>29044.33</v>
      </c>
      <c r="D8" s="172">
        <f>населення!D8+льготи!D8+субсидии!D8+'держ.бюджет'!D8+'місц.-район.бюджет'!D8+обласной!D8+'госпрозрахунк.'!D8</f>
        <v>17129.600000000002</v>
      </c>
      <c r="E8" s="172">
        <f>населення!E8+льготи!E8+субсидии!E8+'держ.бюджет'!E8+'місц.-район.бюджет'!E8+обласной!E8+'госпрозрахунк.'!E8</f>
        <v>12430.8</v>
      </c>
      <c r="F8" s="173">
        <f>E8/D8*100</f>
        <v>72.56912011955912</v>
      </c>
      <c r="G8" s="172">
        <f>населення!G8+льготи!G8+субсидии!G8+'держ.бюджет'!G8+'місц.-район.бюджет'!G8+обласной!G8+'госпрозрахунк.'!G8</f>
        <v>15950.1</v>
      </c>
      <c r="H8" s="172">
        <f>населення!H8+льготи!H8+субсидии!H8+'держ.бюджет'!H8+'місц.-район.бюджет'!H8+обласной!H8+'госпрозрахунк.'!H8</f>
        <v>9381.099999999999</v>
      </c>
      <c r="I8" s="173">
        <f aca="true" t="shared" si="2" ref="I8:I22">H8/G8*100</f>
        <v>58.81530523319603</v>
      </c>
      <c r="J8" s="172">
        <f>населення!J8+льготи!J8+субсидии!J8+'держ.бюджет'!J8+'місц.-район.бюджет'!J8+обласной!J8+'госпрозрахунк.'!J8</f>
        <v>9338.5</v>
      </c>
      <c r="K8" s="172">
        <f>населення!K8+льготи!K8+субсидии!K8+'держ.бюджет'!K8+'місц.-район.бюджет'!K8+обласной!K8+'госпрозрахунк.'!K8</f>
        <v>14075.2</v>
      </c>
      <c r="L8" s="173">
        <f aca="true" t="shared" si="3" ref="L8:L22">K8/J8*100</f>
        <v>150.72227873855547</v>
      </c>
      <c r="M8" s="168">
        <f>населення!M8+льготи!M8+субсидии!M8+'держ.бюджет'!M8+'місц.-район.бюджет'!M8+обласной!M8+'госпрозрахунк.'!M8</f>
        <v>42418.2</v>
      </c>
      <c r="N8" s="168">
        <f>населення!N8+льготи!N8+субсидии!N8+'держ.бюджет'!N8+'місц.-район.бюджет'!N8+обласной!N8+'госпрозрахунк.'!N8</f>
        <v>35887.1</v>
      </c>
      <c r="O8" s="168">
        <f aca="true" t="shared" si="4" ref="O8:O46">N8/M8*100</f>
        <v>84.60307132315846</v>
      </c>
      <c r="P8" s="168">
        <f>населення!P8+льготи!P8+субсидии!P8+'держ.бюджет'!P8+'місц.-район.бюджет'!P8+обласной!P8+'госпрозрахунк.'!P8</f>
        <v>697.4000000000001</v>
      </c>
      <c r="Q8" s="168">
        <f>населення!Q8+льготи!Q8+субсидии!Q8+'держ.бюджет'!Q8+'місц.-район.бюджет'!Q8+обласной!Q8+'госпрозрахунк.'!Q8</f>
        <v>3209.7000000000003</v>
      </c>
      <c r="R8" s="168">
        <f aca="true" t="shared" si="5" ref="R8:R46">Q8/P8*100</f>
        <v>460.2380269572699</v>
      </c>
      <c r="S8" s="168">
        <f>населення!S8+льготи!S8+субсидии!S8+'держ.бюджет'!S8+'місц.-район.бюджет'!S8+обласной!S8+'госпрозрахунк.'!S8</f>
        <v>0</v>
      </c>
      <c r="T8" s="168">
        <f>населення!T8+льготи!T8+субсидии!T8+'держ.бюджет'!T8+'місц.-район.бюджет'!T8+обласной!T8+'госпрозрахунк.'!T8</f>
        <v>1910.6999999999998</v>
      </c>
      <c r="U8" s="168"/>
      <c r="V8" s="168">
        <f>населення!V8+льготи!V8+субсидии!V8+'держ.бюджет'!V8+'місц.-район.бюджет'!V8+обласной!V8+'госпрозрахунк.'!V8</f>
        <v>0</v>
      </c>
      <c r="W8" s="168">
        <f>населення!W8+льготи!W8+субсидии!W8+'держ.бюджет'!W8+'місц.-район.бюджет'!W8+обласной!W8+'госпрозрахунк.'!W8</f>
        <v>4252.7</v>
      </c>
      <c r="X8" s="168"/>
      <c r="Y8" s="168">
        <f>населення!Y8+льготи!Y8+субсидии!Y8+'держ.бюджет'!Y8+'місц.-район.бюджет'!Y8+обласной!Y8+'госпрозрахунк.'!Y8</f>
        <v>697.4000000000001</v>
      </c>
      <c r="Z8" s="168">
        <f>населення!Z8+льготи!Z8+субсидии!Z8+'держ.бюджет'!Z8+'місц.-район.бюджет'!Z8+обласной!Z8+'госпрозрахунк.'!Z8</f>
        <v>9373.099999999999</v>
      </c>
      <c r="AA8" s="168">
        <f t="shared" si="0"/>
        <v>1344.0063091482646</v>
      </c>
      <c r="AB8" s="168">
        <f>населення!AB8+льготи!AB8+субсидии!AB8+'держ.бюджет'!AB8+'місц.-район.бюджет'!AB8+обласной!AB8+'госпрозрахунк.'!AB8</f>
        <v>0</v>
      </c>
      <c r="AC8" s="168">
        <f>населення!AC8+льготи!AC8+субсидии!AC8+'держ.бюджет'!AC8+'місц.-район.бюджет'!AC8+обласной!AC8+'госпрозрахунк.'!AC8</f>
        <v>1059.4</v>
      </c>
      <c r="AD8" s="174" t="e">
        <f aca="true" t="shared" si="6" ref="AD8:AD42">AC8/AB8*100</f>
        <v>#DIV/0!</v>
      </c>
      <c r="AE8" s="168">
        <f>населення!AE8+льготи!AE8+субсидии!AE8+'держ.бюджет'!AE8+'місц.-район.бюджет'!AE8+обласной!AE8+'госпрозрахунк.'!AE8</f>
        <v>0</v>
      </c>
      <c r="AF8" s="168">
        <f>населення!AF8+льготи!AF8+субсидии!AF8+'держ.бюджет'!AF8+'місц.-район.бюджет'!AF8+обласной!AF8+'госпрозрахунк.'!AF8</f>
        <v>14736.199999999999</v>
      </c>
      <c r="AG8" s="174" t="e">
        <f>AF8/AE8*100</f>
        <v>#DIV/0!</v>
      </c>
      <c r="AH8" s="168">
        <f>населення!AH8+льготи!AH8+субсидии!AH8+'держ.бюджет'!AH8+'місц.-район.бюджет'!AH8+обласной!AH8+'госпрозрахунк.'!AH8</f>
        <v>0</v>
      </c>
      <c r="AI8" s="168">
        <f>населення!AI8+льготи!AI8+субсидии!AI8+'держ.бюджет'!AI8+'місц.-район.бюджет'!AI8+обласной!AI8+'госпрозрахунк.'!AI8</f>
        <v>777.9000000000001</v>
      </c>
      <c r="AJ8" s="168">
        <f>населення!AJ8+льготи!AJ8+субсидии!AJ8+'держ.бюджет'!AJ8+'місц.-район.бюджет'!AJ8+обласной!AJ8+'госпрозрахунк.'!AJ8</f>
        <v>-1.7763568394002505E-15</v>
      </c>
      <c r="AK8" s="168">
        <f>населення!AK8+льготи!AK8+субсидии!AK8+'держ.бюджет'!AK8+'місц.-район.бюджет'!AK8+обласной!AK8+'госпрозрахунк.'!AK8</f>
        <v>16573.5</v>
      </c>
      <c r="AL8" s="174">
        <f aca="true" t="shared" si="7" ref="AL8:AL46">AK8/AJ8*100</f>
        <v>-9.330051053028114E+20</v>
      </c>
      <c r="AM8" s="168">
        <f>населення!AM8+льготи!AM8+субсидии!AM8+'держ.бюджет'!AM8+'місц.-район.бюджет'!AM8+обласной!AM8+'госпрозрахунк.'!AM8</f>
        <v>3760</v>
      </c>
      <c r="AN8" s="168">
        <f>населення!AN8+льготи!AN8+субсидии!AN8+'держ.бюджет'!AN8+'місц.-район.бюджет'!AN8+обласной!AN8+'госпрозрахунк.'!AN8</f>
        <v>1312.1</v>
      </c>
      <c r="AO8" s="168">
        <f>населення!AO8+льготи!AO8+субсидии!AO8+'держ.бюджет'!AO8+'місц.-район.бюджет'!AO8+обласной!AO8+'госпрозрахунк.'!AO8</f>
        <v>14190.89</v>
      </c>
      <c r="AP8" s="168">
        <f>населення!AP8+льготи!AP8+субсидии!AP8+'держ.бюджет'!AP8+'місц.-район.бюджет'!AP8+обласной!AP8+'госпрозрахунк.'!AP8</f>
        <v>5668.599999999999</v>
      </c>
      <c r="AQ8" s="168">
        <f>населення!AR8+льготи!AQ8+субсидии!AQ8+'держ.бюджет'!AQ8+'місц.-район.бюджет'!AQ8+обласной!AQ8+'госпрозрахунк.'!AQ8</f>
        <v>16910.4</v>
      </c>
      <c r="AR8" s="168">
        <f>населення!AS8+льготи!AR8+субсидии!AR8+'держ.бюджет'!AR8+'місц.-район.бюджет'!AR8+обласной!AR8+'госпрозрахунк.'!AR8</f>
        <v>15397.000000000002</v>
      </c>
      <c r="AS8" s="168">
        <f>населення!AT8+льготи!AS8+субсидии!AS8+'держ.бюджет'!AS8+'місц.-район.бюджет'!AS8+обласной!AS8+'госпрозрахунк.'!AS8</f>
        <v>77976.89</v>
      </c>
      <c r="AT8" s="168">
        <f>населення!AU8+льготи!AT8+субсидии!AT8+'держ.бюджет'!AT8+'місц.-район.бюджет'!AT8+обласной!AT8+'госпрозрахунк.'!AT8</f>
        <v>84211.4</v>
      </c>
      <c r="AU8" s="175">
        <f>AT8/AS8*100</f>
        <v>107.99533041135649</v>
      </c>
      <c r="AV8" s="168">
        <f>населення!AW8+льготи!AV8+субсидии!AV8+'держ.бюджет'!AV8+'місц.-район.бюджет'!AV8+обласной!AV8+'госпрозрахунк.'!AV8</f>
        <v>-6234.509999999997</v>
      </c>
      <c r="AW8" s="168">
        <f>населення!AX8+льготи!AW8+субсидии!AW8+'держ.бюджет'!AW8+'місц.-район.бюджет'!AW8+обласной!AW8+'госпрозрахунк.'!AW8</f>
        <v>22809.82</v>
      </c>
      <c r="AX8" s="169">
        <f>M8+Y8+AJ8+AM8+AO8+AQ8</f>
        <v>77976.89</v>
      </c>
      <c r="AY8" s="169">
        <f>N8+Z8+AK8+AN8+AP8+AR8</f>
        <v>84211.4</v>
      </c>
      <c r="AZ8" s="169">
        <f aca="true" t="shared" si="8" ref="AZ8:AZ45">AX8-AY8</f>
        <v>-6234.509999999995</v>
      </c>
      <c r="BA8" s="169">
        <f t="shared" si="1"/>
        <v>22809.820000000007</v>
      </c>
      <c r="BB8" s="160"/>
    </row>
    <row r="9" spans="1:53" ht="44.25" customHeight="1">
      <c r="A9" s="170">
        <v>2</v>
      </c>
      <c r="B9" s="176" t="s">
        <v>81</v>
      </c>
      <c r="C9" s="168">
        <f>населення!C9+льготи!C9+субсидии!C9+'держ.бюджет'!C9+'місц.-район.бюджет'!C9+обласной!C9+'госпрозрахунк.'!C9</f>
        <v>-713.6999999999998</v>
      </c>
      <c r="D9" s="172">
        <f>населення!D9+льготи!D9+субсидии!D9+'держ.бюджет'!D9+'місц.-район.бюджет'!D9+обласной!D9+'госпрозрахунк.'!D9</f>
        <v>1849</v>
      </c>
      <c r="E9" s="172">
        <f>населення!E9+льготи!E9+субсидии!E9+'держ.бюджет'!E9+'місц.-район.бюджет'!E9+обласной!E9+'госпрозрахунк.'!E9</f>
        <v>343.7</v>
      </c>
      <c r="F9" s="173">
        <f>E9/D9*100</f>
        <v>18.588426176311522</v>
      </c>
      <c r="G9" s="172">
        <f>населення!G9+льготи!G9+субсидии!G9+'держ.бюджет'!G9+'місц.-район.бюджет'!G9+обласной!G9+'госпрозрахунк.'!G9</f>
        <v>1521.1</v>
      </c>
      <c r="H9" s="172">
        <f>населення!H9+льготи!H9+субсидии!H9+'держ.бюджет'!H9+'місц.-район.бюджет'!H9+обласной!H9+'госпрозрахунк.'!H9</f>
        <v>1324</v>
      </c>
      <c r="I9" s="173">
        <f t="shared" si="2"/>
        <v>87.04227203997108</v>
      </c>
      <c r="J9" s="172">
        <f>населення!J9+льготи!J9+субсидии!J9+'держ.бюджет'!J9+'місц.-район.бюджет'!J9+обласной!J9+'госпрозрахунк.'!J9</f>
        <v>688.6999999999999</v>
      </c>
      <c r="K9" s="172">
        <f>населення!K9+льготи!K9+субсидии!K9+'держ.бюджет'!K9+'місц.-район.бюджет'!K9+обласной!K9+'госпрозрахунк.'!K9</f>
        <v>665.7</v>
      </c>
      <c r="L9" s="173">
        <f t="shared" si="3"/>
        <v>96.66037461884713</v>
      </c>
      <c r="M9" s="168">
        <f>населення!M9+льготи!M9+субсидии!M9+'держ.бюджет'!M9+'місц.-район.бюджет'!M9+обласной!M9+'госпрозрахунк.'!M9</f>
        <v>4058.8000000000006</v>
      </c>
      <c r="N9" s="168">
        <f>населення!N9+льготи!N9+субсидии!N9+'держ.бюджет'!N9+'місц.-район.бюджет'!N9+обласной!N9+'госпрозрахунк.'!N9</f>
        <v>2333.4</v>
      </c>
      <c r="O9" s="168">
        <f t="shared" si="4"/>
        <v>57.48989849216517</v>
      </c>
      <c r="P9" s="168">
        <f>населення!P9+льготи!P9+субсидии!P9+'держ.бюджет'!P9+'місц.-район.бюджет'!P9+обласной!P9+'госпрозрахунк.'!P9</f>
        <v>41.2</v>
      </c>
      <c r="Q9" s="168">
        <f>населення!Q9+льготи!Q9+субсидии!Q9+'держ.бюджет'!Q9+'місц.-район.бюджет'!Q9+обласной!Q9+'госпрозрахунк.'!Q9</f>
        <v>215.70000000000002</v>
      </c>
      <c r="R9" s="168">
        <f t="shared" si="5"/>
        <v>523.5436893203884</v>
      </c>
      <c r="S9" s="168">
        <f>населення!S9+льготи!S9+субсидии!S9+'держ.бюджет'!S9+'місц.-район.бюджет'!S9+обласной!S9+'госпрозрахунк.'!S9</f>
        <v>0</v>
      </c>
      <c r="T9" s="168">
        <f>населення!T9+льготи!T9+субсидии!T9+'держ.бюджет'!T9+'місц.-район.бюджет'!T9+обласной!T9+'госпрозрахунк.'!T9</f>
        <v>231.6</v>
      </c>
      <c r="U9" s="168"/>
      <c r="V9" s="168">
        <f>населення!V9+льготи!V9+субсидии!V9+'держ.бюджет'!V9+'місц.-район.бюджет'!V9+обласной!V9+'госпрозрахунк.'!V9</f>
        <v>0</v>
      </c>
      <c r="W9" s="168">
        <f>населення!W9+льготи!W9+субсидии!W9+'держ.бюджет'!W9+'місц.-район.бюджет'!W9+обласной!W9+'госпрозрахунк.'!W9</f>
        <v>230.6</v>
      </c>
      <c r="X9" s="168"/>
      <c r="Y9" s="168">
        <f>населення!Y9+льготи!Y9+субсидии!Y9+'держ.бюджет'!Y9+'місц.-район.бюджет'!Y9+обласной!Y9+'госпрозрахунк.'!Y9</f>
        <v>41.2</v>
      </c>
      <c r="Z9" s="168">
        <f>населення!Z9+льготи!Z9+субсидии!Z9+'держ.бюджет'!Z9+'місц.-район.бюджет'!Z9+обласной!Z9+'госпрозрахунк.'!Z9</f>
        <v>677.9000000000001</v>
      </c>
      <c r="AA9" s="168">
        <f t="shared" si="0"/>
        <v>1645.3883495145633</v>
      </c>
      <c r="AB9" s="168">
        <f>населення!AB9+льготи!AB9+субсидии!AB9+'держ.бюджет'!AB9+'місц.-район.бюджет'!AB9+обласной!AB9+'госпрозрахунк.'!AB9</f>
        <v>0</v>
      </c>
      <c r="AC9" s="168">
        <f>населення!AC9+льготи!AC9+субсидии!AC9+'держ.бюджет'!AC9+'місц.-район.бюджет'!AC9+обласной!AC9+'госпрозрахунк.'!AC9</f>
        <v>28</v>
      </c>
      <c r="AD9" s="174" t="e">
        <f t="shared" si="6"/>
        <v>#DIV/0!</v>
      </c>
      <c r="AE9" s="168">
        <f>населення!AE9+льготи!AE9+субсидии!AE9+'держ.бюджет'!AE9+'місц.-район.бюджет'!AE9+обласной!AE9+'госпрозрахунк.'!AE9</f>
        <v>0</v>
      </c>
      <c r="AF9" s="168">
        <f>населення!AF9+льготи!AF9+субсидии!AF9+'держ.бюджет'!AF9+'місц.-район.бюджет'!AF9+обласной!AF9+'госпрозрахунк.'!AF9</f>
        <v>14.5</v>
      </c>
      <c r="AG9" s="174" t="e">
        <f>AF9/AE9*100</f>
        <v>#DIV/0!</v>
      </c>
      <c r="AH9" s="168">
        <f>населення!AH9+льготи!AH9+субсидии!AH9+'держ.бюджет'!AH9+'місц.-район.бюджет'!AH9+обласной!AH9+'госпрозрахунк.'!AH9</f>
        <v>0</v>
      </c>
      <c r="AI9" s="168">
        <f>населення!AI9+льготи!AI9+субсидии!AI9+'держ.бюджет'!AI9+'місц.-район.бюджет'!AI9+обласной!AI9+'госпрозрахунк.'!AI9</f>
        <v>252.5</v>
      </c>
      <c r="AJ9" s="168">
        <f>населення!AJ9+льготи!AJ9+субсидии!AJ9+'держ.бюджет'!AJ9+'місц.-район.бюджет'!AJ9+обласной!AJ9+'госпрозрахунк.'!AJ9</f>
        <v>0</v>
      </c>
      <c r="AK9" s="168">
        <f>населення!AK9+льготи!AK9+субсидии!AK9+'держ.бюджет'!AK9+'місц.-район.бюджет'!AK9+обласной!AK9+'госпрозрахунк.'!AK9</f>
        <v>295</v>
      </c>
      <c r="AL9" s="174" t="e">
        <f t="shared" si="7"/>
        <v>#DIV/0!</v>
      </c>
      <c r="AM9" s="168">
        <f>населення!AM9+льготи!AM9+субсидии!AM9+'держ.бюджет'!AM9+'місц.-район.бюджет'!AM9+обласной!AM9+'госпрозрахунк.'!AM9</f>
        <v>319.6</v>
      </c>
      <c r="AN9" s="168">
        <f>населення!AN9+льготи!AN9+субсидии!AN9+'держ.бюджет'!AN9+'місц.-район.бюджет'!AN9+обласной!AN9+'госпрозрахунк.'!AN9</f>
        <v>273.8</v>
      </c>
      <c r="AO9" s="168">
        <f>населення!AO9+льготи!AO9+субсидии!AO9+'держ.бюджет'!AO9+'місц.-район.бюджет'!AO9+обласной!AO9+'госпрозрахунк.'!AO9</f>
        <v>2334.6000000000004</v>
      </c>
      <c r="AP9" s="168">
        <f>населення!AP9+льготи!AP9+субсидии!AP9+'держ.бюджет'!AP9+'місц.-район.бюджет'!AP9+обласной!AP9+'госпрозрахунк.'!AP9</f>
        <v>1464.8</v>
      </c>
      <c r="AQ9" s="168">
        <f>населення!AR9+льготи!AQ9+субсидии!AQ9+'держ.бюджет'!AQ9+'місц.-район.бюджет'!AQ9+обласной!AQ9+'госпрозрахунк.'!AQ9</f>
        <v>2410.9</v>
      </c>
      <c r="AR9" s="168">
        <f>населення!AS9+льготи!AR9+субсидии!AR9+'держ.бюджет'!AR9+'місц.-район.бюджет'!AR9+обласной!AR9+'госпрозрахунк.'!AR9</f>
        <v>4585.2</v>
      </c>
      <c r="AS9" s="168">
        <f>населення!AT9+льготи!AS9+субсидии!AS9+'держ.бюджет'!AS9+'місц.-район.бюджет'!AS9+обласной!AS9+'госпрозрахунк.'!AS9</f>
        <v>9165.1</v>
      </c>
      <c r="AT9" s="168">
        <f>населення!AU9+льготи!AT9+субсидии!AT9+'держ.бюджет'!AT9+'місц.-район.бюджет'!AT9+обласной!AT9+'госпрозрахунк.'!AT9</f>
        <v>9630.1</v>
      </c>
      <c r="AU9" s="175">
        <f>AT9/AS9*100</f>
        <v>105.07359439613315</v>
      </c>
      <c r="AV9" s="168">
        <f>населення!AW9+льготи!AV9+субсидии!AV9+'держ.бюджет'!AV9+'місц.-район.бюджет'!AV9+обласной!AV9+'госпрозрахунк.'!AV9</f>
        <v>-464.9999999999995</v>
      </c>
      <c r="AW9" s="168">
        <f>населення!AX9+льготи!AW9+субсидии!AW9+'держ.бюджет'!AW9+'місц.-район.бюджет'!AW9+обласной!AW9+'госпрозрахунк.'!AW9</f>
        <v>-1178.6999999999998</v>
      </c>
      <c r="AX9" s="169">
        <f aca="true" t="shared" si="9" ref="AX9:AX46">M9+Y9+AJ9+AM9+AO9+AQ9</f>
        <v>9165.100000000002</v>
      </c>
      <c r="AY9" s="169">
        <f aca="true" t="shared" si="10" ref="AY9:AY46">N9+Z9+AK9+AN9+AP9+AR9</f>
        <v>9630.1</v>
      </c>
      <c r="AZ9" s="169">
        <f t="shared" si="8"/>
        <v>-464.9999999999982</v>
      </c>
      <c r="BA9" s="169">
        <f t="shared" si="1"/>
        <v>-1178.699999999999</v>
      </c>
    </row>
    <row r="10" spans="1:53" ht="41.25" customHeight="1">
      <c r="A10" s="170">
        <v>3</v>
      </c>
      <c r="B10" s="177" t="s">
        <v>96</v>
      </c>
      <c r="C10" s="168">
        <f>населення!C10+льготи!C10+субсидии!C10+'держ.бюджет'!C10+'місц.-район.бюджет'!C10+обласной!C10+'госпрозрахунк.'!C10</f>
        <v>0</v>
      </c>
      <c r="D10" s="172">
        <f>населення!D10+льготи!D10+субсидии!D10+'держ.бюджет'!D10+'місц.-район.бюджет'!D10+обласной!D10+'госпрозрахунк.'!D10</f>
        <v>0.7</v>
      </c>
      <c r="E10" s="172">
        <f>населення!E10+льготи!E10+субсидии!E10+'держ.бюджет'!E10+'місц.-район.бюджет'!E10+обласной!E10+'госпрозрахунк.'!E10</f>
        <v>0.7</v>
      </c>
      <c r="F10" s="173">
        <f aca="true" t="shared" si="11" ref="F10:F22">E10/D10*100</f>
        <v>100</v>
      </c>
      <c r="G10" s="172">
        <f>населення!G10+льготи!G10+субсидии!G10+'держ.бюджет'!G10+'місц.-район.бюджет'!G10+обласной!G10+'госпрозрахунк.'!G10</f>
        <v>61.1</v>
      </c>
      <c r="H10" s="172">
        <f>населення!H10+льготи!H10+субсидии!H10+'держ.бюджет'!H10+'місц.-район.бюджет'!H10+обласной!H10+'госпрозрахунк.'!H10</f>
        <v>61.1</v>
      </c>
      <c r="I10" s="173">
        <f t="shared" si="2"/>
        <v>100</v>
      </c>
      <c r="J10" s="172">
        <f>населення!J10+льготи!J10+субсидии!J10+'держ.бюджет'!J10+'місц.-район.бюджет'!J10+обласной!J10+'госпрозрахунк.'!J10</f>
        <v>0</v>
      </c>
      <c r="K10" s="172">
        <f>населення!K10+льготи!K10+субсидии!K10+'держ.бюджет'!K10+'місц.-район.бюджет'!K10+обласной!K10+'госпрозрахунк.'!K10</f>
        <v>0</v>
      </c>
      <c r="L10" s="178" t="e">
        <f t="shared" si="3"/>
        <v>#DIV/0!</v>
      </c>
      <c r="M10" s="168">
        <f>населення!M10+льготи!M10+субсидии!M10+'держ.бюджет'!M10+'місц.-район.бюджет'!M10+обласной!M10+'госпрозрахунк.'!M10</f>
        <v>61.800000000000004</v>
      </c>
      <c r="N10" s="168">
        <f>населення!N10+льготи!N10+субсидии!N10+'держ.бюджет'!N10+'місц.-район.бюджет'!N10+обласной!N10+'госпрозрахунк.'!N10</f>
        <v>61.800000000000004</v>
      </c>
      <c r="O10" s="168">
        <f t="shared" si="4"/>
        <v>100</v>
      </c>
      <c r="P10" s="168">
        <f>населення!P10+льготи!P10+субсидии!P10+'держ.бюджет'!P10+'місц.-район.бюджет'!P10+обласной!P10+'госпрозрахунк.'!P10</f>
        <v>0</v>
      </c>
      <c r="Q10" s="168">
        <f>населення!Q10+льготи!Q10+субсидии!Q10+'держ.бюджет'!Q10+'місц.-район.бюджет'!Q10+обласной!Q10+'госпрозрахунк.'!Q10</f>
        <v>0</v>
      </c>
      <c r="R10" s="168"/>
      <c r="S10" s="168">
        <f>населення!S10+льготи!S10+субсидии!S10+'держ.бюджет'!S10+'місц.-район.бюджет'!S10+обласной!S10+'госпрозрахунк.'!S10</f>
        <v>0</v>
      </c>
      <c r="T10" s="168">
        <f>населення!T10+льготи!T10+субсидии!T10+'держ.бюджет'!T10+'місц.-район.бюджет'!T10+обласной!T10+'госпрозрахунк.'!T10</f>
        <v>0</v>
      </c>
      <c r="U10" s="168"/>
      <c r="V10" s="168">
        <f>населення!V10+льготи!V10+субсидии!V10+'держ.бюджет'!V10+'місц.-район.бюджет'!V10+обласной!V10+'госпрозрахунк.'!V10</f>
        <v>0</v>
      </c>
      <c r="W10" s="168">
        <f>населення!W10+льготи!W10+субсидии!W10+'держ.бюджет'!W10+'місц.-район.бюджет'!W10+обласной!W10+'госпрозрахунк.'!W10</f>
        <v>0</v>
      </c>
      <c r="X10" s="168"/>
      <c r="Y10" s="168">
        <f>населення!Y10+льготи!Y10+субсидии!Y10+'держ.бюджет'!Y10+'місц.-район.бюджет'!Y10+обласной!Y10+'госпрозрахунк.'!Y10</f>
        <v>0</v>
      </c>
      <c r="Z10" s="168">
        <f>населення!Z10+льготи!Z10+субсидии!Z10+'держ.бюджет'!Z10+'місц.-район.бюджет'!Z10+обласной!Z10+'госпрозрахунк.'!Z10</f>
        <v>0</v>
      </c>
      <c r="AA10" s="174" t="e">
        <f t="shared" si="0"/>
        <v>#DIV/0!</v>
      </c>
      <c r="AB10" s="168">
        <f>населення!AB10+льготи!AB10+субсидии!AB10+'держ.бюджет'!AB10+'місц.-район.бюджет'!AB10+обласной!AB10+'госпрозрахунк.'!AB10</f>
        <v>0</v>
      </c>
      <c r="AC10" s="168">
        <f>населення!AC10+льготи!AC10+субсидии!AC10+'держ.бюджет'!AC10+'місц.-район.бюджет'!AC10+обласной!AC10+'госпрозрахунк.'!AC10</f>
        <v>0</v>
      </c>
      <c r="AD10" s="179">
        <v>0</v>
      </c>
      <c r="AE10" s="168">
        <f>населення!AE10+льготи!AE10+субсидии!AE10+'держ.бюджет'!AE10+'місц.-район.бюджет'!AE10+обласной!AE10+'госпрозрахунк.'!AE10</f>
        <v>0</v>
      </c>
      <c r="AF10" s="168">
        <f>населення!AF10+льготи!AF10+субсидии!AF10+'держ.бюджет'!AF10+'місц.-район.бюджет'!AF10+обласной!AF10+'госпрозрахунк.'!AF10</f>
        <v>0</v>
      </c>
      <c r="AG10" s="179">
        <v>0</v>
      </c>
      <c r="AH10" s="168">
        <f>населення!AH10+льготи!AH10+субсидии!AH10+'держ.бюджет'!AH10+'місц.-район.бюджет'!AH10+обласной!AH10+'госпрозрахунк.'!AH10</f>
        <v>0</v>
      </c>
      <c r="AI10" s="168">
        <f>населення!AI10+льготи!AI10+субсидии!AI10+'держ.бюджет'!AI10+'місц.-район.бюджет'!AI10+обласной!AI10+'госпрозрахунк.'!AI10</f>
        <v>0</v>
      </c>
      <c r="AJ10" s="168">
        <f>населення!AJ10+льготи!AJ10+субсидии!AJ10+'держ.бюджет'!AJ10+'місц.-район.бюджет'!AJ10+обласной!AJ10+'госпрозрахунк.'!AJ10</f>
        <v>0</v>
      </c>
      <c r="AK10" s="168">
        <f>населення!AK10+льготи!AK10+субсидии!AK10+'держ.бюджет'!AK10+'місц.-район.бюджет'!AK10+обласной!AK10+'госпрозрахунк.'!AK10</f>
        <v>0</v>
      </c>
      <c r="AL10" s="174" t="e">
        <f t="shared" si="7"/>
        <v>#DIV/0!</v>
      </c>
      <c r="AM10" s="168">
        <f>населення!AM10+льготи!AM10+субсидии!AM10+'держ.бюджет'!AM10+'місц.-район.бюджет'!AM10+обласной!AM10+'госпрозрахунк.'!AM10</f>
        <v>0</v>
      </c>
      <c r="AN10" s="168">
        <f>населення!AN10+льготи!AN10+субсидии!AN10+'держ.бюджет'!AN10+'місц.-район.бюджет'!AN10+обласной!AN10+'госпрозрахунк.'!AN10</f>
        <v>0</v>
      </c>
      <c r="AO10" s="168">
        <f>населення!AO10+льготи!AO10+субсидии!AO10+'держ.бюджет'!AO10+'місц.-район.бюджет'!AO10+обласной!AO10+'госпрозрахунк.'!AO10</f>
        <v>0</v>
      </c>
      <c r="AP10" s="168">
        <f>населення!AP10+льготи!AP10+субсидии!AP10+'держ.бюджет'!AP10+'місц.-район.бюджет'!AP10+обласной!AP10+'госпрозрахунк.'!AP10</f>
        <v>0</v>
      </c>
      <c r="AQ10" s="168">
        <f>населення!AR10+льготи!AQ10+субсидии!AQ10+'держ.бюджет'!AQ10+'місц.-район.бюджет'!AQ10+обласной!AQ10+'госпрозрахунк.'!AQ10</f>
        <v>0</v>
      </c>
      <c r="AR10" s="168">
        <f>населення!AS10+льготи!AR10+субсидии!AR10+'держ.бюджет'!AR10+'місц.-район.бюджет'!AR10+обласной!AR10+'госпрозрахунк.'!AR10</f>
        <v>0</v>
      </c>
      <c r="AS10" s="168">
        <f>населення!AT10+льготи!AS10+субсидии!AS10+'держ.бюджет'!AS10+'місц.-район.бюджет'!AS10+обласной!AS10+'госпрозрахунк.'!AS10</f>
        <v>61.800000000000004</v>
      </c>
      <c r="AT10" s="168">
        <f>населення!AU10+льготи!AT10+субсидии!AT10+'держ.бюджет'!AT10+'місц.-район.бюджет'!AT10+обласной!AT10+'госпрозрахунк.'!AT10</f>
        <v>61.800000000000004</v>
      </c>
      <c r="AU10" s="175">
        <f aca="true" t="shared" si="12" ref="AU10:AU28">AT10/AS10*100</f>
        <v>100</v>
      </c>
      <c r="AV10" s="168">
        <f>населення!AW10+льготи!AV10+субсидии!AV10+'держ.бюджет'!AV10+'місц.-район.бюджет'!AV10+обласной!AV10+'госпрозрахунк.'!AV10</f>
        <v>0</v>
      </c>
      <c r="AW10" s="168">
        <f>населення!AX10+льготи!AW10+субсидии!AW10+'держ.бюджет'!AW10+'місц.-район.бюджет'!AW10+обласной!AW10+'госпрозрахунк.'!AW10</f>
        <v>0</v>
      </c>
      <c r="AX10" s="169">
        <f t="shared" si="9"/>
        <v>61.800000000000004</v>
      </c>
      <c r="AY10" s="169">
        <f t="shared" si="10"/>
        <v>61.800000000000004</v>
      </c>
      <c r="AZ10" s="169">
        <f t="shared" si="8"/>
        <v>0</v>
      </c>
      <c r="BA10" s="169">
        <f t="shared" si="1"/>
        <v>0</v>
      </c>
    </row>
    <row r="11" spans="1:53" ht="24" customHeight="1">
      <c r="A11" s="170">
        <v>4</v>
      </c>
      <c r="B11" s="171" t="s">
        <v>107</v>
      </c>
      <c r="C11" s="168">
        <f>населення!C11+льготи!C11+субсидии!C11+'держ.бюджет'!C11+'місц.-район.бюджет'!C11+обласной!C11+'госпрозрахунк.'!C11</f>
        <v>18.5</v>
      </c>
      <c r="D11" s="172">
        <f>населення!D11+льготи!D11+субсидии!D11+'держ.бюджет'!D11+'місц.-район.бюджет'!D11+обласной!D11+'госпрозрахунк.'!D11</f>
        <v>194.3</v>
      </c>
      <c r="E11" s="172">
        <f>населення!E11+льготи!E11+субсидии!E11+'держ.бюджет'!E11+'місц.-район.бюджет'!E11+обласной!E11+'госпрозрахунк.'!E11</f>
        <v>129.9</v>
      </c>
      <c r="F11" s="173">
        <f t="shared" si="11"/>
        <v>66.85537828100875</v>
      </c>
      <c r="G11" s="172">
        <f>населення!G11+льготи!G11+субсидии!G11+'держ.бюджет'!G11+'місц.-район.бюджет'!G11+обласной!G11+'госпрозрахунк.'!G11</f>
        <v>199.8</v>
      </c>
      <c r="H11" s="172">
        <f>населення!H11+льготи!H11+субсидии!H11+'держ.бюджет'!H11+'місц.-район.бюджет'!H11+обласной!H11+'госпрозрахунк.'!H11</f>
        <v>80.60000000000001</v>
      </c>
      <c r="I11" s="173">
        <f t="shared" si="2"/>
        <v>40.34034034034034</v>
      </c>
      <c r="J11" s="172">
        <f>населення!J11+льготи!J11+субсидии!J11+'держ.бюджет'!J11+'місц.-район.бюджет'!J11+обласной!J11+'госпрозрахунк.'!J11</f>
        <v>125.80000000000001</v>
      </c>
      <c r="K11" s="172">
        <f>населення!K11+льготи!K11+субсидии!K11+'держ.бюджет'!K11+'місц.-район.бюджет'!K11+обласной!K11+'госпрозрахунк.'!K11</f>
        <v>193.60000000000002</v>
      </c>
      <c r="L11" s="173">
        <f t="shared" si="3"/>
        <v>153.89507154213038</v>
      </c>
      <c r="M11" s="168">
        <f>населення!M11+льготи!M11+субсидии!M11+'держ.бюджет'!M11+'місц.-район.бюджет'!M11+обласной!M11+'госпрозрахунк.'!M11</f>
        <v>519.9000000000001</v>
      </c>
      <c r="N11" s="168">
        <f>населення!N11+льготи!N11+субсидии!N11+'держ.бюджет'!N11+'місц.-район.бюджет'!N11+обласной!N11+'госпрозрахунк.'!N11</f>
        <v>404.1000000000001</v>
      </c>
      <c r="O11" s="168">
        <f t="shared" si="4"/>
        <v>77.7264858626659</v>
      </c>
      <c r="P11" s="168">
        <f>населення!P11+льготи!P11+субсидии!P11+'держ.бюджет'!P11+'місц.-район.бюджет'!P11+обласной!P11+'госпрозрахунк.'!P11</f>
        <v>119.5</v>
      </c>
      <c r="Q11" s="168">
        <f>населення!Q11+льготи!Q11+субсидии!Q11+'держ.бюджет'!Q11+'місц.-район.бюджет'!Q11+обласной!Q11+'госпрозрахунк.'!Q11</f>
        <v>200.8</v>
      </c>
      <c r="R11" s="168">
        <f t="shared" si="5"/>
        <v>168.03347280334728</v>
      </c>
      <c r="S11" s="168">
        <f>населення!S11+льготи!S11+субсидии!S11+'держ.бюджет'!S11+'місц.-район.бюджет'!S11+обласной!S11+'госпрозрахунк.'!S11</f>
        <v>21.400000000000002</v>
      </c>
      <c r="T11" s="168">
        <f>населення!T11+льготи!T11+субсидии!T11+'держ.бюджет'!T11+'місц.-район.бюджет'!T11+обласной!T11+'госпрозрахунк.'!T11</f>
        <v>15.2</v>
      </c>
      <c r="U11" s="168">
        <f>T11/S11*100</f>
        <v>71.02803738317756</v>
      </c>
      <c r="V11" s="168">
        <f>населення!V11+льготи!V11+субсидии!V11+'держ.бюджет'!V11+'місц.-район.бюджет'!V11+обласной!V11+'госпрозрахунк.'!V11</f>
        <v>0</v>
      </c>
      <c r="W11" s="168">
        <f>населення!W11+льготи!W11+субсидии!W11+'держ.бюджет'!W11+'місц.-район.бюджет'!W11+обласной!W11+'госпрозрахунк.'!W11</f>
        <v>4</v>
      </c>
      <c r="X11" s="174" t="e">
        <f>W11/V11*100</f>
        <v>#DIV/0!</v>
      </c>
      <c r="Y11" s="168">
        <f>населення!Y11+льготи!Y11+субсидии!Y11+'держ.бюджет'!Y11+'місц.-район.бюджет'!Y11+обласной!Y11+'госпрозрахунк.'!Y11</f>
        <v>140.89999999999998</v>
      </c>
      <c r="Z11" s="168">
        <f>населення!Z11+льготи!Z11+субсидии!Z11+'держ.бюджет'!Z11+'місц.-район.бюджет'!Z11+обласной!Z11+'госпрозрахунк.'!Z11</f>
        <v>219.99999999999997</v>
      </c>
      <c r="AA11" s="168">
        <f t="shared" si="0"/>
        <v>156.139105748758</v>
      </c>
      <c r="AB11" s="168">
        <f>населення!AB11+льготи!AB11+субсидии!AB11+'держ.бюджет'!AB11+'місц.-район.бюджет'!AB11+обласной!AB11+'госпрозрахунк.'!AB11</f>
        <v>0</v>
      </c>
      <c r="AC11" s="168">
        <f>населення!AC11+льготи!AC11+субсидии!AC11+'держ.бюджет'!AC11+'місц.-район.бюджет'!AC11+обласной!AC11+'госпрозрахунк.'!AC11</f>
        <v>0</v>
      </c>
      <c r="AD11" s="179">
        <v>0</v>
      </c>
      <c r="AE11" s="168">
        <f>населення!AE11+льготи!AE11+субсидии!AE11+'держ.бюджет'!AE11+'місц.-район.бюджет'!AE11+обласной!AE11+'госпрозрахунк.'!AE11</f>
        <v>0</v>
      </c>
      <c r="AF11" s="168">
        <f>населення!AF11+льготи!AF11+субсидии!AF11+'держ.бюджет'!AF11+'місц.-район.бюджет'!AF11+обласной!AF11+'госпрозрахунк.'!AF11</f>
        <v>8.7</v>
      </c>
      <c r="AG11" s="179">
        <v>0</v>
      </c>
      <c r="AH11" s="168">
        <f>населення!AH11+льготи!AH11+субсидии!AH11+'держ.бюджет'!AH11+'місц.-район.бюджет'!AH11+обласной!AH11+'госпрозрахунк.'!AH11</f>
        <v>0</v>
      </c>
      <c r="AI11" s="168">
        <f>населення!AI11+льготи!AI11+субсидии!AI11+'держ.бюджет'!AI11+'місц.-район.бюджет'!AI11+обласной!AI11+'госпрозрахунк.'!AI11</f>
        <v>60.9</v>
      </c>
      <c r="AJ11" s="168">
        <f>населення!AJ11+льготи!AJ11+субсидии!AJ11+'держ.бюджет'!AJ11+'місц.-район.бюджет'!AJ11+обласной!AJ11+'госпрозрахунк.'!AJ11</f>
        <v>0</v>
      </c>
      <c r="AK11" s="168">
        <f>населення!AK11+льготи!AK11+субсидии!AK11+'держ.бюджет'!AK11+'місц.-район.бюджет'!AK11+обласной!AK11+'госпрозрахунк.'!AK11</f>
        <v>69.6</v>
      </c>
      <c r="AL11" s="174" t="e">
        <f t="shared" si="7"/>
        <v>#DIV/0!</v>
      </c>
      <c r="AM11" s="168">
        <f>населення!AM11+льготи!AM11+субсидии!AM11+'держ.бюджет'!AM11+'місц.-район.бюджет'!AM11+обласной!AM11+'госпрозрахунк.'!AM11</f>
        <v>29.5</v>
      </c>
      <c r="AN11" s="168">
        <f>населення!AN11+льготи!AN11+субсидии!AN11+'держ.бюджет'!AN11+'місц.-район.бюджет'!AN11+обласной!AN11+'госпрозрахунк.'!AN11</f>
        <v>-31.9</v>
      </c>
      <c r="AO11" s="168">
        <f>населення!AO11+льготи!AO11+субсидии!AO11+'держ.бюджет'!AO11+'місц.-район.бюджет'!AO11+обласной!AO11+'госпрозрахунк.'!AO11</f>
        <v>347.6</v>
      </c>
      <c r="AP11" s="168">
        <f>населення!AP11+льготи!AP11+субсидии!AP11+'держ.бюджет'!AP11+'місц.-район.бюджет'!AP11+обласной!AP11+'госпрозрахунк.'!AP11</f>
        <v>191.9</v>
      </c>
      <c r="AQ11" s="168">
        <f>населення!AR11+льготи!AQ11+субсидии!AQ11+'держ.бюджет'!AQ11+'місц.-район.бюджет'!AQ11+обласной!AQ11+'госпрозрахунк.'!AQ11</f>
        <v>319.49999999999994</v>
      </c>
      <c r="AR11" s="168">
        <f>населення!AS11+льготи!AR11+субсидии!AR11+'держ.бюджет'!AR11+'місц.-район.бюджет'!AR11+обласной!AR11+'госпрозрахунк.'!AR11</f>
        <v>576.3</v>
      </c>
      <c r="AS11" s="168">
        <f>населення!AT11+льготи!AS11+субсидии!AS11+'держ.бюджет'!AS11+'місц.-район.бюджет'!AS11+обласной!AS11+'госпрозрахунк.'!AS11</f>
        <v>1357.4</v>
      </c>
      <c r="AT11" s="168">
        <f>населення!AU11+льготи!AT11+субсидии!AT11+'держ.бюджет'!AT11+'місц.-район.бюджет'!AT11+обласной!AT11+'госпрозрахунк.'!AT11</f>
        <v>1430</v>
      </c>
      <c r="AU11" s="175">
        <f t="shared" si="12"/>
        <v>105.3484602917342</v>
      </c>
      <c r="AV11" s="168">
        <f>населення!AW11+льготи!AV11+субсидии!AV11+'держ.бюджет'!AV11+'місц.-район.бюджет'!AV11+обласной!AV11+'госпрозрахунк.'!AV11</f>
        <v>-72.6000000000001</v>
      </c>
      <c r="AW11" s="168">
        <f>населення!AX11+льготи!AW11+субсидии!AW11+'держ.бюджет'!AW11+'місц.-район.бюджет'!AW11+обласной!AW11+'госпрозрахунк.'!AW11</f>
        <v>-54.10000000000005</v>
      </c>
      <c r="AX11" s="169">
        <f t="shared" si="9"/>
        <v>1357.4</v>
      </c>
      <c r="AY11" s="169">
        <f t="shared" si="10"/>
        <v>1430</v>
      </c>
      <c r="AZ11" s="169">
        <f t="shared" si="8"/>
        <v>-72.59999999999991</v>
      </c>
      <c r="BA11" s="169">
        <f t="shared" si="1"/>
        <v>-54.09999999999991</v>
      </c>
    </row>
    <row r="12" spans="1:53" ht="24" customHeight="1">
      <c r="A12" s="180">
        <v>5</v>
      </c>
      <c r="B12" s="171" t="s">
        <v>79</v>
      </c>
      <c r="C12" s="168">
        <f>населення!C12+льготи!C12+субсидии!C12+'держ.бюджет'!C12+'місц.-район.бюджет'!C12+обласной!C12+'госпрозрахунк.'!C12</f>
        <v>3709.9</v>
      </c>
      <c r="D12" s="172">
        <f>населення!D12+льготи!D12+субсидии!D12+'держ.бюджет'!D12+'місц.-район.бюджет'!D12+обласной!D12+'госпрозрахунк.'!D12</f>
        <v>4371.099999999999</v>
      </c>
      <c r="E12" s="172">
        <f>населення!E12+льготи!E12+субсидии!E12+'держ.бюджет'!E12+'місц.-район.бюджет'!E12+обласной!E12+'госпрозрахунк.'!E12</f>
        <v>3578.0999999999995</v>
      </c>
      <c r="F12" s="173">
        <f t="shared" si="11"/>
        <v>81.85811351833634</v>
      </c>
      <c r="G12" s="172">
        <f>населення!G12+льготи!G12+субсидии!G12+'держ.бюджет'!G12+'місц.-район.бюджет'!G12+обласной!G12+'госпрозрахунк.'!G12</f>
        <v>3880.5</v>
      </c>
      <c r="H12" s="172">
        <f>населення!H12+льготи!H12+субсидии!H12+'держ.бюджет'!H12+'місц.-район.бюджет'!H12+обласной!H12+'госпрозрахунк.'!H12</f>
        <v>1259.6</v>
      </c>
      <c r="I12" s="173">
        <f t="shared" si="2"/>
        <v>32.45973457028733</v>
      </c>
      <c r="J12" s="172">
        <f>населення!J12+льготи!J12+субсидии!J12+'держ.бюджет'!J12+'місц.-район.бюджет'!J12+обласной!J12+'госпрозрахунк.'!J12</f>
        <v>2516.2000000000003</v>
      </c>
      <c r="K12" s="172">
        <f>населення!K12+льготи!K12+субсидии!K12+'держ.бюджет'!K12+'місц.-район.бюджет'!K12+обласной!K12+'госпрозрахунк.'!K12</f>
        <v>4570.9</v>
      </c>
      <c r="L12" s="173">
        <f t="shared" si="3"/>
        <v>181.6588506478022</v>
      </c>
      <c r="M12" s="168">
        <f>населення!M12+льготи!M12+субсидии!M12+'держ.бюджет'!M12+'місц.-район.бюджет'!M12+обласной!M12+'госпрозрахунк.'!M12</f>
        <v>10767.8</v>
      </c>
      <c r="N12" s="168">
        <f>населення!N12+льготи!N12+субсидии!N12+'держ.бюджет'!N12+'місц.-район.бюджет'!N12+обласной!N12+'госпрозрахунк.'!N12</f>
        <v>9408.599999999999</v>
      </c>
      <c r="O12" s="168">
        <f t="shared" si="4"/>
        <v>87.3771801110719</v>
      </c>
      <c r="P12" s="168">
        <f>населення!P12+льготи!P12+субсидии!P12+'держ.бюджет'!P12+'місц.-район.бюджет'!P12+обласной!P12+'госпрозрахунк.'!P12</f>
        <v>118.10000000000002</v>
      </c>
      <c r="Q12" s="168">
        <f>населення!Q12+льготи!Q12+субсидии!Q12+'держ.бюджет'!Q12+'місц.-район.бюджет'!Q12+обласной!Q12+'госпрозрахунк.'!Q12</f>
        <v>2655.6000000000004</v>
      </c>
      <c r="R12" s="168">
        <f t="shared" si="5"/>
        <v>2248.6028789161724</v>
      </c>
      <c r="S12" s="168">
        <f>населення!S12+льготи!S12+субсидии!S12+'держ.бюджет'!S12+'місц.-район.бюджет'!S12+обласной!S12+'госпрозрахунк.'!S12</f>
        <v>0</v>
      </c>
      <c r="T12" s="168">
        <f>населення!T12+льготи!T12+субсидии!T12+'держ.бюджет'!T12+'місц.-район.бюджет'!T12+обласной!T12+'госпрозрахунк.'!T12</f>
        <v>568.0999999999999</v>
      </c>
      <c r="U12" s="168"/>
      <c r="V12" s="168">
        <f>населення!V12+льготи!V12+субсидии!V12+'держ.бюджет'!V12+'місц.-район.бюджет'!V12+обласной!V12+'госпрозрахунк.'!V12</f>
        <v>0</v>
      </c>
      <c r="W12" s="168">
        <f>населення!W12+льготи!W12+субсидии!W12+'держ.бюджет'!W12+'місц.-район.бюджет'!W12+обласной!W12+'госпрозрахунк.'!W12</f>
        <v>103</v>
      </c>
      <c r="X12" s="168"/>
      <c r="Y12" s="168">
        <f>населення!Y12+льготи!Y12+субсидии!Y12+'держ.бюджет'!Y12+'місц.-район.бюджет'!Y12+обласной!Y12+'госпрозрахунк.'!Y12</f>
        <v>118.1000000000002</v>
      </c>
      <c r="Z12" s="168">
        <f>населення!Z12+льготи!Z12+субсидии!Z12+'держ.бюджет'!Z12+'місц.-район.бюджет'!Z12+обласной!Z12+'госпрозрахунк.'!Z12</f>
        <v>3326.7</v>
      </c>
      <c r="AA12" s="168">
        <f t="shared" si="0"/>
        <v>2816.8501270110028</v>
      </c>
      <c r="AB12" s="168">
        <f>населення!AB12+льготи!AB12+субсидии!AB12+'держ.бюджет'!AB12+'місц.-район.бюджет'!AB12+обласной!AB12+'госпрозрахунк.'!AB12</f>
        <v>0</v>
      </c>
      <c r="AC12" s="168">
        <f>населення!AC12+льготи!AC12+субсидии!AC12+'держ.бюджет'!AC12+'місц.-район.бюджет'!AC12+обласной!AC12+'госпрозрахунк.'!AC12</f>
        <v>130</v>
      </c>
      <c r="AD12" s="174" t="e">
        <f t="shared" si="6"/>
        <v>#DIV/0!</v>
      </c>
      <c r="AE12" s="168">
        <f>населення!AE12+льготи!AE12+субсидии!AE12+'держ.бюджет'!AE12+'місц.-район.бюджет'!AE12+обласной!AE12+'госпрозрахунк.'!AE12</f>
        <v>0</v>
      </c>
      <c r="AF12" s="168">
        <f>населення!AF12+льготи!AF12+субсидии!AF12+'держ.бюджет'!AF12+'місц.-район.бюджет'!AF12+обласной!AF12+'госпрозрахунк.'!AF12</f>
        <v>1099.5</v>
      </c>
      <c r="AG12" s="174" t="e">
        <f>AF12/AE12*100</f>
        <v>#DIV/0!</v>
      </c>
      <c r="AH12" s="168">
        <f>населення!AH12+льготи!AH12+субсидии!AH12+'держ.бюджет'!AH12+'місц.-район.бюджет'!AH12+обласной!AH12+'госпрозрахунк.'!AH12</f>
        <v>0</v>
      </c>
      <c r="AI12" s="168">
        <f>населення!AI12+льготи!AI12+субсидии!AI12+'держ.бюджет'!AI12+'місц.-район.бюджет'!AI12+обласной!AI12+'госпрозрахунк.'!AI12</f>
        <v>139.7</v>
      </c>
      <c r="AJ12" s="168">
        <f>населення!AJ12+льготи!AJ12+субсидии!AJ12+'держ.бюджет'!AJ12+'місц.-район.бюджет'!AJ12+обласной!AJ12+'госпрозрахунк.'!AJ12</f>
        <v>0</v>
      </c>
      <c r="AK12" s="168">
        <f>населення!AK12+льготи!AK12+субсидии!AK12+'держ.бюджет'!AK12+'місц.-район.бюджет'!AK12+обласной!AK12+'госпрозрахунк.'!AK12</f>
        <v>1369.2</v>
      </c>
      <c r="AL12" s="174" t="e">
        <f t="shared" si="7"/>
        <v>#DIV/0!</v>
      </c>
      <c r="AM12" s="168">
        <f>населення!AM12+льготи!AM12+субсидии!AM12+'держ.бюджет'!AM12+'місц.-район.бюджет'!AM12+обласной!AM12+'госпрозрахунк.'!AM12</f>
        <v>997.3000000000001</v>
      </c>
      <c r="AN12" s="168">
        <f>населення!AN12+льготи!AN12+субсидии!AN12+'держ.бюджет'!AN12+'місц.-район.бюджет'!AN12+обласной!AN12+'госпрозрахунк.'!AN12</f>
        <v>354.2</v>
      </c>
      <c r="AO12" s="168">
        <f>населення!AO12+льготи!AO12+субсидии!AO12+'держ.бюджет'!AO12+'місц.-район.бюджет'!AO12+обласной!AO12+'госпрозрахунк.'!AO12</f>
        <v>2730</v>
      </c>
      <c r="AP12" s="168">
        <f>населення!AP12+льготи!AP12+субсидии!AP12+'держ.бюджет'!AP12+'місц.-район.бюджет'!AP12+обласной!AP12+'госпрозрахунк.'!AP12</f>
        <v>1133.4</v>
      </c>
      <c r="AQ12" s="168">
        <f>населення!AR12+льготи!AQ12+субсидии!AQ12+'держ.бюджет'!AQ12+'місц.-район.бюджет'!AQ12+обласной!AQ12+'госпрозрахунк.'!AQ12</f>
        <v>3488.9</v>
      </c>
      <c r="AR12" s="168">
        <f>населення!AS12+льготи!AR12+субсидии!AR12+'держ.бюджет'!AR12+'місц.-район.бюджет'!AR12+обласной!AR12+'госпрозрахунк.'!AR12</f>
        <v>4362.1</v>
      </c>
      <c r="AS12" s="168">
        <f>населення!AT12+льготи!AS12+субсидии!AS12+'держ.бюджет'!AS12+'місц.-район.бюджет'!AS12+обласной!AS12+'госпрозрахунк.'!AS12</f>
        <v>18102.100000000002</v>
      </c>
      <c r="AT12" s="168">
        <f>населення!AU12+льготи!AT12+субсидии!AT12+'держ.бюджет'!AT12+'місц.-район.бюджет'!AT12+обласной!AT12+'госпрозрахунк.'!AT12</f>
        <v>19954.199999999997</v>
      </c>
      <c r="AU12" s="175">
        <f t="shared" si="12"/>
        <v>110.23140961545894</v>
      </c>
      <c r="AV12" s="168">
        <f>населення!AW12+льготи!AV12+субсидии!AV12+'держ.бюджет'!AV12+'місц.-район.бюджет'!AV12+обласной!AV12+'госпрозрахунк.'!AV12</f>
        <v>-1852.0999999999997</v>
      </c>
      <c r="AW12" s="168">
        <f>населення!AX12+льготи!AW12+субсидии!AW12+'держ.бюджет'!AW12+'місц.-район.бюджет'!AW12+обласной!AW12+'госпрозрахунк.'!AW12</f>
        <v>1857.8000000000006</v>
      </c>
      <c r="AX12" s="169">
        <f t="shared" si="9"/>
        <v>18102.1</v>
      </c>
      <c r="AY12" s="169">
        <f t="shared" si="10"/>
        <v>19954.2</v>
      </c>
      <c r="AZ12" s="169">
        <f t="shared" si="8"/>
        <v>-1852.1000000000022</v>
      </c>
      <c r="BA12" s="169">
        <f t="shared" si="1"/>
        <v>1857.7999999999993</v>
      </c>
    </row>
    <row r="13" spans="1:53" ht="24" customHeight="1">
      <c r="A13" s="170">
        <v>6</v>
      </c>
      <c r="B13" s="171" t="s">
        <v>51</v>
      </c>
      <c r="C13" s="168">
        <f>населення!C13+льготи!C13+субсидии!C13+'держ.бюджет'!C13+'місц.-район.бюджет'!C13+обласной!C13+'госпрозрахунк.'!C13</f>
        <v>200.1</v>
      </c>
      <c r="D13" s="172">
        <f>населення!D13+льготи!D13+субсидии!D13+'держ.бюджет'!D13+'місц.-район.бюджет'!D13+обласной!D13+'госпрозрахунк.'!D13</f>
        <v>1007.4000000000001</v>
      </c>
      <c r="E13" s="172">
        <f>населення!E13+льготи!E13+субсидии!E13+'держ.бюджет'!E13+'місц.-район.бюджет'!E13+обласной!E13+'госпрозрахунк.'!E13</f>
        <v>72.8</v>
      </c>
      <c r="F13" s="173">
        <f t="shared" si="11"/>
        <v>7.226523724439149</v>
      </c>
      <c r="G13" s="172">
        <f>населення!G13+льготи!G13+субсидии!G13+'держ.бюджет'!G13+'місц.-район.бюджет'!G13+обласной!G13+'госпрозрахунк.'!G13</f>
        <v>815.6999999999999</v>
      </c>
      <c r="H13" s="172">
        <f>населення!H13+льготи!H13+субсидии!H13+'держ.бюджет'!H13+'місц.-район.бюджет'!H13+обласной!H13+'госпрозрахунк.'!H13</f>
        <v>410.00000000000006</v>
      </c>
      <c r="I13" s="173">
        <f t="shared" si="2"/>
        <v>50.26357729557437</v>
      </c>
      <c r="J13" s="172">
        <f>населення!J13+льготи!J13+субсидии!J13+'держ.бюджет'!J13+'місц.-район.бюджет'!J13+обласной!J13+'госпрозрахунк.'!J13</f>
        <v>433.8</v>
      </c>
      <c r="K13" s="172">
        <f>населення!K13+льготи!K13+субсидии!K13+'держ.бюджет'!K13+'місц.-район.бюджет'!K13+обласной!K13+'госпрозрахунк.'!K13</f>
        <v>392.7</v>
      </c>
      <c r="L13" s="173">
        <f t="shared" si="3"/>
        <v>90.52558782849239</v>
      </c>
      <c r="M13" s="168">
        <f>населення!M13+льготи!M13+субсидии!M13+'держ.бюджет'!M13+'місц.-район.бюджет'!M13+обласной!M13+'госпрозрахунк.'!M13</f>
        <v>2256.9</v>
      </c>
      <c r="N13" s="168">
        <f>населення!N13+льготи!N13+субсидии!N13+'держ.бюджет'!N13+'місц.-район.бюджет'!N13+обласной!N13+'госпрозрахунк.'!N13</f>
        <v>875.4999999999999</v>
      </c>
      <c r="O13" s="168">
        <f t="shared" si="4"/>
        <v>38.792148522309354</v>
      </c>
      <c r="P13" s="168">
        <f>населення!P13+льготи!P13+субсидии!P13+'держ.бюджет'!P13+'місц.-район.бюджет'!P13+обласной!P13+'госпрозрахунк.'!P13</f>
        <v>17.9</v>
      </c>
      <c r="Q13" s="168">
        <f>населення!Q13+льготи!Q13+субсидии!Q13+'держ.бюджет'!Q13+'місц.-район.бюджет'!Q13+обласной!Q13+'госпрозрахунк.'!Q13</f>
        <v>483.29999999999995</v>
      </c>
      <c r="R13" s="168">
        <f t="shared" si="5"/>
        <v>2700</v>
      </c>
      <c r="S13" s="168">
        <f>населення!S13+льготи!S13+субсидии!S13+'держ.бюджет'!S13+'місц.-район.бюджет'!S13+обласной!S13+'госпрозрахунк.'!S13</f>
        <v>0</v>
      </c>
      <c r="T13" s="168">
        <f>населення!T13+льготи!T13+субсидии!T13+'держ.бюджет'!T13+'місц.-район.бюджет'!T13+обласной!T13+'госпрозрахунк.'!T13</f>
        <v>398</v>
      </c>
      <c r="U13" s="168"/>
      <c r="V13" s="168">
        <f>населення!V13+льготи!V13+субсидии!V13+'держ.бюджет'!V13+'місц.-район.бюджет'!V13+обласной!V13+'госпрозрахунк.'!V13</f>
        <v>0</v>
      </c>
      <c r="W13" s="168">
        <f>населення!W13+льготи!W13+субсидии!W13+'держ.бюджет'!W13+'місц.-район.бюджет'!W13+обласной!W13+'госпрозрахунк.'!W13</f>
        <v>377</v>
      </c>
      <c r="X13" s="168"/>
      <c r="Y13" s="168">
        <f>населення!Y13+льготи!Y13+субсидии!Y13+'держ.бюджет'!Y13+'місц.-район.бюджет'!Y13+обласной!Y13+'госпрозрахунк.'!Y13</f>
        <v>17.9</v>
      </c>
      <c r="Z13" s="168">
        <f>населення!Z13+льготи!Z13+субсидии!Z13+'держ.бюджет'!Z13+'місц.-район.бюджет'!Z13+обласной!Z13+'госпрозрахунк.'!Z13</f>
        <v>1258.3000000000002</v>
      </c>
      <c r="AA13" s="168">
        <f t="shared" si="0"/>
        <v>7029.608938547487</v>
      </c>
      <c r="AB13" s="168">
        <f>населення!AB13+льготи!AB13+субсидии!AB13+'держ.бюджет'!AB13+'місц.-район.бюджет'!AB13+обласной!AB13+'госпрозрахунк.'!AB13</f>
        <v>0</v>
      </c>
      <c r="AC13" s="168">
        <f>населення!AC13+льготи!AC13+субсидии!AC13+'держ.бюджет'!AC13+'місц.-район.бюджет'!AC13+обласной!AC13+'госпрозрахунк.'!AC13</f>
        <v>109.7</v>
      </c>
      <c r="AD13" s="174" t="e">
        <f t="shared" si="6"/>
        <v>#DIV/0!</v>
      </c>
      <c r="AE13" s="168">
        <f>населення!AE13+льготи!AE13+субсидии!AE13+'держ.бюджет'!AE13+'місц.-район.бюджет'!AE13+обласной!AE13+'госпрозрахунк.'!AE13</f>
        <v>0</v>
      </c>
      <c r="AF13" s="168">
        <f>населення!AF13+льготи!AF13+субсидии!AF13+'держ.бюджет'!AF13+'місц.-район.бюджет'!AF13+обласной!AF13+'госпрозрахунк.'!AF13</f>
        <v>104.3</v>
      </c>
      <c r="AG13" s="174" t="e">
        <f>AF13/AE13*100</f>
        <v>#DIV/0!</v>
      </c>
      <c r="AH13" s="168">
        <f>населення!AH13+льготи!AH13+субсидии!AH13+'держ.бюджет'!AH13+'місц.-район.бюджет'!AH13+обласной!AH13+'госпрозрахунк.'!AH13</f>
        <v>0</v>
      </c>
      <c r="AI13" s="168">
        <f>населення!AI13+льготи!AI13+субсидии!AI13+'держ.бюджет'!AI13+'місц.-район.бюджет'!AI13+обласной!AI13+'госпрозрахунк.'!AI13</f>
        <v>76.4</v>
      </c>
      <c r="AJ13" s="168">
        <f>населення!AJ13+льготи!AJ13+субсидии!AJ13+'держ.бюджет'!AJ13+'місц.-район.бюджет'!AJ13+обласной!AJ13+'госпрозрахунк.'!AJ13</f>
        <v>0</v>
      </c>
      <c r="AK13" s="168">
        <f>населення!AK13+льготи!AK13+субсидии!AK13+'держ.бюджет'!AK13+'місц.-район.бюджет'!AK13+обласной!AK13+'госпрозрахунк.'!AK13</f>
        <v>290.4</v>
      </c>
      <c r="AL13" s="174" t="e">
        <f t="shared" si="7"/>
        <v>#DIV/0!</v>
      </c>
      <c r="AM13" s="168">
        <f>населення!AM13+льготи!AM13+субсидии!AM13+'держ.бюджет'!AM13+'місц.-район.бюджет'!AM13+обласной!AM13+'госпрозрахунк.'!AM13</f>
        <v>334.3</v>
      </c>
      <c r="AN13" s="168">
        <f>населення!AN13+льготи!AN13+субсидии!AN13+'держ.бюджет'!AN13+'місц.-район.бюджет'!AN13+обласной!AN13+'госпрозрахунк.'!AN13</f>
        <v>36.9</v>
      </c>
      <c r="AO13" s="168">
        <f>населення!AO13+льготи!AO13+субсидии!AO13+'держ.бюджет'!AO13+'місц.-район.бюджет'!AO13+обласной!AO13+'госпрозрахунк.'!AO13</f>
        <v>1088.5</v>
      </c>
      <c r="AP13" s="168">
        <f>населення!AP13+льготи!AP13+субсидии!AP13+'держ.бюджет'!AP13+'місц.-район.бюджет'!AP13+обласной!AP13+'госпрозрахунк.'!AP13</f>
        <v>1292.3</v>
      </c>
      <c r="AQ13" s="168">
        <f>населення!AR13+льготи!AQ13+субсидии!AQ13+'держ.бюджет'!AQ13+'місц.-район.бюджет'!AQ13+обласной!AQ13+'госпрозрахунк.'!AQ13</f>
        <v>1053.1000000000001</v>
      </c>
      <c r="AR13" s="168">
        <f>населення!AS13+льготи!AR13+субсидии!AR13+'держ.бюджет'!AR13+'місц.-район.бюджет'!AR13+обласной!AR13+'госпрозрахунк.'!AR13</f>
        <v>1406.2</v>
      </c>
      <c r="AS13" s="168">
        <f>населення!AT13+льготи!AS13+субсидии!AS13+'держ.бюджет'!AS13+'місц.-район.бюджет'!AS13+обласной!AS13+'госпрозрахунк.'!AS13</f>
        <v>4750.700000000001</v>
      </c>
      <c r="AT13" s="168">
        <f>населення!AU13+льготи!AT13+субсидии!AT13+'держ.бюджет'!AT13+'місц.-район.бюджет'!AT13+обласной!AT13+'госпрозрахунк.'!AT13</f>
        <v>5159.599999999999</v>
      </c>
      <c r="AU13" s="175">
        <f t="shared" si="12"/>
        <v>108.6071526301387</v>
      </c>
      <c r="AV13" s="168">
        <f>населення!AW13+льготи!AV13+субсидии!AV13+'держ.бюджет'!AV13+'місц.-район.бюджет'!AV13+обласной!AV13+'госпрозрахунк.'!AV13</f>
        <v>-408.9</v>
      </c>
      <c r="AW13" s="168">
        <f>населення!AX13+льготи!AW13+субсидии!AW13+'держ.бюджет'!AW13+'місц.-район.бюджет'!AW13+обласной!AW13+'госпрозрахунк.'!AW13</f>
        <v>-208.7999999999998</v>
      </c>
      <c r="AX13" s="169">
        <f t="shared" si="9"/>
        <v>4750.700000000001</v>
      </c>
      <c r="AY13" s="169">
        <f t="shared" si="10"/>
        <v>5159.6</v>
      </c>
      <c r="AZ13" s="169">
        <f t="shared" si="8"/>
        <v>-408.89999999999964</v>
      </c>
      <c r="BA13" s="169">
        <f t="shared" si="1"/>
        <v>-208.79999999999927</v>
      </c>
    </row>
    <row r="14" spans="1:53" ht="24" customHeight="1">
      <c r="A14" s="170">
        <v>7</v>
      </c>
      <c r="B14" s="171" t="s">
        <v>52</v>
      </c>
      <c r="C14" s="168">
        <f>населення!C14+льготи!C14+субсидии!C14+'держ.бюджет'!C14+'місц.-район.бюджет'!C14+обласной!C14+'госпрозрахунк.'!C14</f>
        <v>-1.4000000000000001</v>
      </c>
      <c r="D14" s="172">
        <f>населення!D14+льготи!D14+субсидии!D14+'держ.бюджет'!D14+'місц.-район.бюджет'!D14+обласной!D14+'госпрозрахунк.'!D14</f>
        <v>821</v>
      </c>
      <c r="E14" s="172">
        <f>населення!E14+льготи!E14+субсидии!E14+'держ.бюджет'!E14+'місц.-район.бюджет'!E14+обласной!E14+'госпрозрахунк.'!E14</f>
        <v>413</v>
      </c>
      <c r="F14" s="173">
        <f t="shared" si="11"/>
        <v>50.304506699147375</v>
      </c>
      <c r="G14" s="172">
        <f>населення!G14+льготи!G14+субсидии!G14+'держ.бюджет'!G14+'місц.-район.бюджет'!G14+обласной!G14+'госпрозрахунк.'!G14</f>
        <v>868.2</v>
      </c>
      <c r="H14" s="172">
        <f>населення!H14+льготи!H14+субсидии!H14+'держ.бюджет'!H14+'місц.-район.бюджет'!H14+обласной!H14+'госпрозрахунк.'!H14</f>
        <v>683.1999999999999</v>
      </c>
      <c r="I14" s="173">
        <f t="shared" si="2"/>
        <v>78.69154572679105</v>
      </c>
      <c r="J14" s="172">
        <f>населення!J14+льготи!J14+субсидии!J14+'держ.бюджет'!J14+'місц.-район.бюджет'!J14+обласной!J14+'госпрозрахунк.'!J14</f>
        <v>590.3</v>
      </c>
      <c r="K14" s="172">
        <f>населення!K14+льготи!K14+субсидии!K14+'держ.бюджет'!K14+'місц.-район.бюджет'!K14+обласной!K14+'госпрозрахунк.'!K14</f>
        <v>426.5</v>
      </c>
      <c r="L14" s="173">
        <f t="shared" si="3"/>
        <v>72.25139759444352</v>
      </c>
      <c r="M14" s="168">
        <f>населення!M14+льготи!M14+субсидии!M14+'держ.бюджет'!M14+'місц.-район.бюджет'!M14+обласной!M14+'госпрозрахунк.'!M14</f>
        <v>2279.5</v>
      </c>
      <c r="N14" s="168">
        <f>населення!N14+льготи!N14+субсидии!N14+'держ.бюджет'!N14+'місц.-район.бюджет'!N14+обласной!N14+'госпрозрахунк.'!N14</f>
        <v>1522.6999999999998</v>
      </c>
      <c r="O14" s="168">
        <f t="shared" si="4"/>
        <v>66.79973678438253</v>
      </c>
      <c r="P14" s="168">
        <f>населення!P14+льготи!P14+субсидии!P14+'держ.бюджет'!P14+'місц.-район.бюджет'!P14+обласной!P14+'госпрозрахунк.'!P14</f>
        <v>71.6</v>
      </c>
      <c r="Q14" s="168">
        <f>населення!Q14+льготи!Q14+субсидии!Q14+'держ.бюджет'!Q14+'місц.-район.бюджет'!Q14+обласной!Q14+'госпрозрахунк.'!Q14</f>
        <v>288.29999999999995</v>
      </c>
      <c r="R14" s="168">
        <f t="shared" si="5"/>
        <v>402.6536312849162</v>
      </c>
      <c r="S14" s="168">
        <f>населення!S14+льготи!S14+субсидии!S14+'держ.бюджет'!S14+'місц.-район.бюджет'!S14+обласной!S14+'госпрозрахунк.'!S14</f>
        <v>0</v>
      </c>
      <c r="T14" s="168">
        <f>населення!T14+льготи!T14+субсидии!T14+'держ.бюджет'!T14+'місц.-район.бюджет'!T14+обласной!T14+'госпрозрахунк.'!T14</f>
        <v>89.7</v>
      </c>
      <c r="U14" s="168"/>
      <c r="V14" s="168">
        <f>населення!V14+льготи!V14+субсидии!V14+'держ.бюджет'!V14+'місц.-район.бюджет'!V14+обласной!V14+'госпрозрахунк.'!V14</f>
        <v>0</v>
      </c>
      <c r="W14" s="168">
        <f>населення!W14+льготи!W14+субсидии!W14+'держ.бюджет'!W14+'місц.-район.бюджет'!W14+обласной!W14+'госпрозрахунк.'!W14</f>
        <v>340.6</v>
      </c>
      <c r="X14" s="168"/>
      <c r="Y14" s="168">
        <f>населення!Y14+льготи!Y14+субсидии!Y14+'держ.бюджет'!Y14+'місц.-район.бюджет'!Y14+обласной!Y14+'госпрозрахунк.'!Y14</f>
        <v>71.6</v>
      </c>
      <c r="Z14" s="168">
        <f>населення!Z14+льготи!Z14+субсидии!Z14+'держ.бюджет'!Z14+'місц.-район.бюджет'!Z14+обласной!Z14+'госпрозрахунк.'!Z14</f>
        <v>718.5999999999999</v>
      </c>
      <c r="AA14" s="168">
        <f t="shared" si="0"/>
        <v>1003.631284916201</v>
      </c>
      <c r="AB14" s="168">
        <f>населення!AB14+льготи!AB14+субсидии!AB14+'держ.бюджет'!AB14+'місц.-район.бюджет'!AB14+обласной!AB14+'госпрозрахунк.'!AB14</f>
        <v>0</v>
      </c>
      <c r="AC14" s="168">
        <f>населення!AC14+льготи!AC14+субсидии!AC14+'держ.бюджет'!AC14+'місц.-район.бюджет'!AC14+обласной!AC14+'госпрозрахунк.'!AC14</f>
        <v>0</v>
      </c>
      <c r="AD14" s="179">
        <v>0</v>
      </c>
      <c r="AE14" s="168">
        <f>населення!AE14+льготи!AE14+субсидии!AE14+'держ.бюджет'!AE14+'місц.-район.бюджет'!AE14+обласной!AE14+'госпрозрахунк.'!AE14</f>
        <v>0</v>
      </c>
      <c r="AF14" s="168">
        <f>населення!AF14+льготи!AF14+субсидии!AF14+'держ.бюджет'!AF14+'місц.-район.бюджет'!AF14+обласной!AF14+'госпрозрахунк.'!AF14</f>
        <v>14.8</v>
      </c>
      <c r="AG14" s="179">
        <v>0</v>
      </c>
      <c r="AH14" s="168">
        <f>населення!AH14+льготи!AH14+субсидии!AH14+'держ.бюджет'!AH14+'місц.-район.бюджет'!AH14+обласной!AH14+'госпрозрахунк.'!AH14</f>
        <v>0</v>
      </c>
      <c r="AI14" s="168">
        <f>населення!AI14+льготи!AI14+субсидии!AI14+'держ.бюджет'!AI14+'місц.-район.бюджет'!AI14+обласной!AI14+'госпрозрахунк.'!AI14</f>
        <v>31.1</v>
      </c>
      <c r="AJ14" s="168">
        <f>населення!AJ14+льготи!AJ14+субсидии!AJ14+'держ.бюджет'!AJ14+'місц.-район.бюджет'!AJ14+обласной!AJ14+'госпрозрахунк.'!AJ14</f>
        <v>0</v>
      </c>
      <c r="AK14" s="168">
        <f>населення!AK14+льготи!AK14+субсидии!AK14+'держ.бюджет'!AK14+'місц.-район.бюджет'!AK14+обласной!AK14+'госпрозрахунк.'!AK14</f>
        <v>45.900000000000006</v>
      </c>
      <c r="AL14" s="174" t="e">
        <f t="shared" si="7"/>
        <v>#DIV/0!</v>
      </c>
      <c r="AM14" s="168">
        <f>населення!AM14+льготи!AM14+субсидии!AM14+'держ.бюджет'!AM14+'місц.-район.бюджет'!AM14+обласной!AM14+'госпрозрахунк.'!AM14</f>
        <v>314.3</v>
      </c>
      <c r="AN14" s="168">
        <f>населення!AN14+льготи!AN14+субсидии!AN14+'держ.бюджет'!AN14+'місц.-район.бюджет'!AN14+обласной!AN14+'госпрозрахунк.'!AN14</f>
        <v>295.6</v>
      </c>
      <c r="AO14" s="168">
        <f>населення!AO14+льготи!AO14+субсидии!AO14+'держ.бюджет'!AO14+'місц.-район.бюджет'!AO14+обласной!AO14+'госпрозрахунк.'!AO14</f>
        <v>696.4</v>
      </c>
      <c r="AP14" s="168">
        <f>населення!AP14+льготи!AP14+субсидии!AP14+'держ.бюджет'!AP14+'місц.-район.бюджет'!AP14+обласной!AP14+'госпрозрахунк.'!AP14</f>
        <v>518.1</v>
      </c>
      <c r="AQ14" s="168">
        <f>населення!AR14+льготи!AQ14+субсидии!AQ14+'держ.бюджет'!AQ14+'місц.-район.бюджет'!AQ14+обласной!AQ14+'госпрозрахунк.'!AQ14</f>
        <v>1185.3</v>
      </c>
      <c r="AR14" s="168">
        <f>населення!AS14+льготи!AR14+субсидии!AR14+'держ.бюджет'!AR14+'місц.-район.бюджет'!AR14+обласной!AR14+'госпрозрахунк.'!AR14</f>
        <v>1500.8</v>
      </c>
      <c r="AS14" s="168">
        <f>населення!AT14+льготи!AS14+субсидии!AS14+'держ.бюджет'!AS14+'місц.-район.бюджет'!AS14+обласной!AS14+'госпрозрахунк.'!AS14</f>
        <v>4547.099999999999</v>
      </c>
      <c r="AT14" s="168">
        <f>населення!AU14+льготи!AT14+субсидии!AT14+'держ.бюджет'!AT14+'місц.-район.бюджет'!AT14+обласной!AT14+'госпрозрахунк.'!AT14</f>
        <v>4601.7</v>
      </c>
      <c r="AU14" s="175">
        <f t="shared" si="12"/>
        <v>101.2007653229531</v>
      </c>
      <c r="AV14" s="168">
        <f>населення!AW14+льготи!AV14+субсидии!AV14+'держ.бюджет'!AV14+'місц.-район.бюджет'!AV14+обласной!AV14+'госпрозрахунк.'!AV14</f>
        <v>-54.59999999999991</v>
      </c>
      <c r="AW14" s="168">
        <f>населення!AX14+льготи!AW14+субсидии!AW14+'держ.бюджет'!AW14+'місц.-район.бюджет'!AW14+обласной!AW14+'госпрозрахунк.'!AW14</f>
        <v>-55.99999999999977</v>
      </c>
      <c r="AX14" s="169">
        <f t="shared" si="9"/>
        <v>4547.1</v>
      </c>
      <c r="AY14" s="169">
        <f t="shared" si="10"/>
        <v>4601.7</v>
      </c>
      <c r="AZ14" s="169">
        <f t="shared" si="8"/>
        <v>-54.599999999999454</v>
      </c>
      <c r="BA14" s="169">
        <f t="shared" si="1"/>
        <v>-55.99999999999909</v>
      </c>
    </row>
    <row r="15" spans="1:53" ht="24" customHeight="1">
      <c r="A15" s="170">
        <v>8</v>
      </c>
      <c r="B15" s="171" t="s">
        <v>53</v>
      </c>
      <c r="C15" s="168">
        <f>населення!C15+льготи!C15+субсидии!C15+'держ.бюджет'!C15+'місц.-район.бюджет'!C15+обласной!C15+'госпрозрахунк.'!C15</f>
        <v>3941.1</v>
      </c>
      <c r="D15" s="172">
        <f>населення!D15+льготи!D15+субсидии!D15+'держ.бюджет'!D15+'місц.-район.бюджет'!D15+обласной!D15+'госпрозрахунк.'!D15</f>
        <v>6460.500000000001</v>
      </c>
      <c r="E15" s="172">
        <f>населення!E15+льготи!E15+субсидии!E15+'держ.бюджет'!E15+'місц.-район.бюджет'!E15+обласной!E15+'госпрозрахунк.'!E15</f>
        <v>2746.4</v>
      </c>
      <c r="F15" s="173">
        <f t="shared" si="11"/>
        <v>42.510641591208106</v>
      </c>
      <c r="G15" s="172">
        <f>населення!G15+льготи!G15+субсидии!G15+'держ.бюджет'!G15+'місц.-район.бюджет'!G15+обласной!G15+'госпрозрахунк.'!G15</f>
        <v>5385.599999999999</v>
      </c>
      <c r="H15" s="172">
        <f>населення!H15+льготи!H15+субсидии!H15+'держ.бюджет'!H15+'місц.-район.бюджет'!H15+обласной!H15+'госпрозрахунк.'!H15</f>
        <v>4628.8</v>
      </c>
      <c r="I15" s="173">
        <f t="shared" si="2"/>
        <v>85.94771241830067</v>
      </c>
      <c r="J15" s="172">
        <f>населення!J15+льготи!J15+субсидии!J15+'держ.бюджет'!J15+'місц.-район.бюджет'!J15+обласной!J15+'госпрозрахунк.'!J15</f>
        <v>3623.1000000000004</v>
      </c>
      <c r="K15" s="172">
        <f>населення!K15+льготи!K15+субсидии!K15+'держ.бюджет'!K15+'місц.-район.бюджет'!K15+обласной!K15+'госпрозрахунк.'!K15</f>
        <v>6291.900000000001</v>
      </c>
      <c r="L15" s="173">
        <f t="shared" si="3"/>
        <v>173.66067732052662</v>
      </c>
      <c r="M15" s="168">
        <f>населення!M15+льготи!M15+субсидии!M15+'держ.бюджет'!M15+'місц.-район.бюджет'!M15+обласной!M15+'госпрозрахунк.'!M15</f>
        <v>15469.2</v>
      </c>
      <c r="N15" s="168">
        <f>населення!N15+льготи!N15+субсидии!N15+'держ.бюджет'!N15+'місц.-район.бюджет'!N15+обласной!N15+'госпрозрахунк.'!N15</f>
        <v>13667.099999999999</v>
      </c>
      <c r="O15" s="168">
        <f t="shared" si="4"/>
        <v>88.35039950352957</v>
      </c>
      <c r="P15" s="168">
        <f>населення!P15+льготи!P15+субсидии!P15+'держ.бюджет'!P15+'місц.-район.бюджет'!P15+обласной!P15+'госпрозрахунк.'!P15</f>
        <v>335.8</v>
      </c>
      <c r="Q15" s="168">
        <f>населення!Q15+льготи!Q15+субсидии!Q15+'держ.бюджет'!Q15+'місц.-район.бюджет'!Q15+обласной!Q15+'госпрозрахунк.'!Q15</f>
        <v>2269.6</v>
      </c>
      <c r="R15" s="168">
        <f t="shared" si="5"/>
        <v>675.878499106611</v>
      </c>
      <c r="S15" s="168">
        <f>населення!S15+льготи!S15+субсидии!S15+'держ.бюджет'!S15+'місц.-район.бюджет'!S15+обласной!S15+'госпрозрахунк.'!S15</f>
        <v>-5.684341886080802E-14</v>
      </c>
      <c r="T15" s="168">
        <f>населення!T15+льготи!T15+субсидии!T15+'держ.бюджет'!T15+'місц.-район.бюджет'!T15+обласной!T15+'госпрозрахунк.'!T15</f>
        <v>662.6999999999999</v>
      </c>
      <c r="U15" s="168"/>
      <c r="V15" s="168">
        <f>населення!V15+льготи!V15+субсидии!V15+'держ.бюджет'!V15+'місц.-район.бюджет'!V15+обласной!V15+'госпрозрахунк.'!V15</f>
        <v>0</v>
      </c>
      <c r="W15" s="168">
        <f>населення!W15+льготи!W15+субсидии!W15+'держ.бюджет'!W15+'місц.-район.бюджет'!W15+обласной!W15+'госпрозрахунк.'!W15</f>
        <v>538.9000000000001</v>
      </c>
      <c r="X15" s="168"/>
      <c r="Y15" s="168">
        <f>населення!Y15+льготи!Y15+субсидии!Y15+'держ.бюджет'!Y15+'місц.-район.бюджет'!Y15+обласной!Y15+'госпрозрахунк.'!Y15</f>
        <v>335.79999999999995</v>
      </c>
      <c r="Z15" s="168">
        <f>населення!Z15+льготи!Z15+субсидии!Z15+'держ.бюджет'!Z15+'місц.-район.бюджет'!Z15+обласной!Z15+'госпрозрахунк.'!Z15</f>
        <v>3471.2</v>
      </c>
      <c r="AA15" s="168">
        <f t="shared" si="0"/>
        <v>1033.7105419892794</v>
      </c>
      <c r="AB15" s="168">
        <f>населення!AB15+льготи!AB15+субсидии!AB15+'держ.бюджет'!AB15+'місц.-район.бюджет'!AB15+обласной!AB15+'госпрозрахунк.'!AB15</f>
        <v>0</v>
      </c>
      <c r="AC15" s="168">
        <f>населення!AC15+льготи!AC15+субсидии!AC15+'держ.бюджет'!AC15+'місц.-район.бюджет'!AC15+обласной!AC15+'госпрозрахунк.'!AC15</f>
        <v>270.3</v>
      </c>
      <c r="AD15" s="174" t="e">
        <f t="shared" si="6"/>
        <v>#DIV/0!</v>
      </c>
      <c r="AE15" s="168">
        <f>населення!AE15+льготи!AE15+субсидии!AE15+'держ.бюджет'!AE15+'місц.-район.бюджет'!AE15+обласной!AE15+'госпрозрахунк.'!AE15</f>
        <v>0.7999999999999999</v>
      </c>
      <c r="AF15" s="168">
        <f>населення!AF15+льготи!AF15+субсидии!AF15+'держ.бюджет'!AF15+'місц.-район.бюджет'!AF15+обласной!AF15+'госпрозрахунк.'!AF15</f>
        <v>2097.8999999999996</v>
      </c>
      <c r="AG15" s="174">
        <f>AF15/AE15*100</f>
        <v>262237.49999999994</v>
      </c>
      <c r="AH15" s="168">
        <f>населення!AH15+льготи!AH15+субсидии!AH15+'держ.бюджет'!AH15+'місц.-район.бюджет'!AH15+обласной!AH15+'госпрозрахунк.'!AH15</f>
        <v>1.1</v>
      </c>
      <c r="AI15" s="168">
        <f>населення!AI15+льготи!AI15+субсидии!AI15+'держ.бюджет'!AI15+'місц.-район.бюджет'!AI15+обласной!AI15+'госпрозрахунк.'!AI15</f>
        <v>1701.8</v>
      </c>
      <c r="AJ15" s="168">
        <f>населення!AJ15+льготи!AJ15+субсидии!AJ15+'держ.бюджет'!AJ15+'місц.-район.бюджет'!AJ15+обласной!AJ15+'госпрозрахунк.'!AJ15</f>
        <v>1.8999999999999986</v>
      </c>
      <c r="AK15" s="168">
        <f>населення!AK15+льготи!AK15+субсидии!AK15+'держ.бюджет'!AK15+'місц.-район.бюджет'!AK15+обласной!AK15+'госпрозрахунк.'!AK15</f>
        <v>4070</v>
      </c>
      <c r="AL15" s="174">
        <f t="shared" si="7"/>
        <v>214210.52631578964</v>
      </c>
      <c r="AM15" s="168">
        <f>населення!AM15+льготи!AM15+субсидии!AM15+'держ.бюджет'!AM15+'місц.-район.бюджет'!AM15+обласной!AM15+'госпрозрахунк.'!AM15</f>
        <v>2056.7999999999997</v>
      </c>
      <c r="AN15" s="168">
        <f>населення!AN15+льготи!AN15+субсидии!AN15+'держ.бюджет'!AN15+'місц.-район.бюджет'!AN15+обласной!AN15+'госпрозрахунк.'!AN15</f>
        <v>2148.6</v>
      </c>
      <c r="AO15" s="168">
        <f>населення!AO15+льготи!AO15+субсидии!AO15+'держ.бюджет'!AO15+'місц.-район.бюджет'!AO15+обласной!AO15+'госпрозрахунк.'!AO15</f>
        <v>5579.3</v>
      </c>
      <c r="AP15" s="168">
        <f>населення!AP15+льготи!AP15+субсидии!AP15+'держ.бюджет'!AP15+'місц.-район.бюджет'!AP15+обласной!AP15+'госпрозрахунк.'!AP15</f>
        <v>1608.8</v>
      </c>
      <c r="AQ15" s="168">
        <f>населення!AR15+льготи!AQ15+субсидии!AQ15+'держ.бюджет'!AQ15+'місц.-район.бюджет'!AQ15+обласной!AQ15+'госпрозрахунк.'!AQ15</f>
        <v>6499.1</v>
      </c>
      <c r="AR15" s="168">
        <f>населення!AS15+льготи!AR15+субсидии!AR15+'держ.бюджет'!AR15+'місц.-район.бюджет'!AR15+обласной!AR15+'госпрозрахунк.'!AR15</f>
        <v>5751.2</v>
      </c>
      <c r="AS15" s="168">
        <f>населення!AT15+льготи!AS15+субсидии!AS15+'держ.бюджет'!AS15+'місц.-район.бюджет'!AS15+обласной!AS15+'госпрозрахунк.'!AS15</f>
        <v>29942.1</v>
      </c>
      <c r="AT15" s="168">
        <f>населення!AU15+льготи!AT15+субсидии!AT15+'держ.бюджет'!AT15+'місц.-район.бюджет'!AT15+обласной!AT15+'госпрозрахунк.'!AT15</f>
        <v>30716.899999999998</v>
      </c>
      <c r="AU15" s="175">
        <f t="shared" si="12"/>
        <v>102.58766085211124</v>
      </c>
      <c r="AV15" s="168">
        <f>населення!AW15+льготи!AV15+субсидии!AV15+'держ.бюджет'!AV15+'місц.-район.бюджет'!AV15+обласной!AV15+'госпрозрахунк.'!AV15</f>
        <v>-774.8000000000018</v>
      </c>
      <c r="AW15" s="168">
        <f>населення!AX15+льготи!AW15+субсидии!AW15+'держ.бюджет'!AW15+'місц.-район.бюджет'!AW15+обласной!AW15+'госпрозрахунк.'!AW15</f>
        <v>3166.2999999999993</v>
      </c>
      <c r="AX15" s="169">
        <f t="shared" si="9"/>
        <v>29942.1</v>
      </c>
      <c r="AY15" s="169">
        <f t="shared" si="10"/>
        <v>30716.899999999998</v>
      </c>
      <c r="AZ15" s="169">
        <f t="shared" si="8"/>
        <v>-774.7999999999993</v>
      </c>
      <c r="BA15" s="169">
        <f t="shared" si="1"/>
        <v>3166.2999999999993</v>
      </c>
    </row>
    <row r="16" spans="1:53" ht="24" customHeight="1">
      <c r="A16" s="180">
        <v>9</v>
      </c>
      <c r="B16" s="171" t="s">
        <v>54</v>
      </c>
      <c r="C16" s="168">
        <f>населення!C16+льготи!C16+субсидии!C16+'держ.бюджет'!C16+'місц.-район.бюджет'!C16+обласной!C16+'госпрозрахунк.'!C16</f>
        <v>-128.6</v>
      </c>
      <c r="D16" s="172">
        <f>населення!D16+льготи!D16+субсидии!D16+'держ.бюджет'!D16+'місц.-район.бюджет'!D16+обласной!D16+'госпрозрахунк.'!D16</f>
        <v>1728.6000000000001</v>
      </c>
      <c r="E16" s="172">
        <f>населення!E16+льготи!E16+субсидии!E16+'держ.бюджет'!E16+'місц.-район.бюджет'!E16+обласной!E16+'госпрозрахунк.'!E16</f>
        <v>206.2</v>
      </c>
      <c r="F16" s="173">
        <f t="shared" si="11"/>
        <v>11.928728450769407</v>
      </c>
      <c r="G16" s="172">
        <f>населення!G16+льготи!G16+субсидии!G16+'держ.бюджет'!G16+'місц.-район.бюджет'!G16+обласной!G16+'госпрозрахунк.'!G16</f>
        <v>1705.3999999999999</v>
      </c>
      <c r="H16" s="172">
        <f>населення!H16+льготи!H16+субсидии!H16+'держ.бюджет'!H16+'місц.-район.бюджет'!H16+обласной!H16+'госпрозрахунк.'!H16</f>
        <v>1099.1</v>
      </c>
      <c r="I16" s="173">
        <f t="shared" si="2"/>
        <v>64.44822329072359</v>
      </c>
      <c r="J16" s="172">
        <f>населення!J16+льготи!J16+субсидии!J16+'держ.бюджет'!J16+'місц.-район.бюджет'!J16+обласной!J16+'госпрозрахунк.'!J16</f>
        <v>886.9000000000001</v>
      </c>
      <c r="K16" s="172">
        <f>населення!K16+льготи!K16+субсидии!K16+'держ.бюджет'!K16+'місц.-район.бюджет'!K16+обласной!K16+'госпрозрахунк.'!K16</f>
        <v>733.5</v>
      </c>
      <c r="L16" s="173">
        <f t="shared" si="3"/>
        <v>82.70379975194497</v>
      </c>
      <c r="M16" s="168">
        <f>населення!M16+льготи!M16+субсидии!M16+'держ.бюджет'!M16+'місц.-район.бюджет'!M16+обласной!M16+'госпрозрахунк.'!M16</f>
        <v>4320.9</v>
      </c>
      <c r="N16" s="168">
        <f>населення!N16+льготи!N16+субсидии!N16+'держ.бюджет'!N16+'місц.-район.бюджет'!N16+обласной!N16+'госпрозрахунк.'!N16</f>
        <v>2038.7999999999997</v>
      </c>
      <c r="O16" s="168">
        <f t="shared" si="4"/>
        <v>47.18461431646185</v>
      </c>
      <c r="P16" s="168">
        <f>населення!P16+льготи!P16+субсидии!P16+'держ.бюджет'!P16+'місц.-район.бюджет'!P16+обласной!P16+'госпрозрахунк.'!P16</f>
        <v>19.4</v>
      </c>
      <c r="Q16" s="168">
        <f>населення!Q16+льготи!Q16+субсидии!Q16+'держ.бюджет'!Q16+'місц.-район.бюджет'!Q16+обласной!Q16+'госпрозрахунк.'!Q16</f>
        <v>422.3</v>
      </c>
      <c r="R16" s="168">
        <f t="shared" si="5"/>
        <v>2176.8041237113403</v>
      </c>
      <c r="S16" s="168">
        <f>населення!S16+льготи!S16+субсидии!S16+'держ.бюджет'!S16+'місц.-район.бюджет'!S16+обласной!S16+'госпрозрахунк.'!S16</f>
        <v>0</v>
      </c>
      <c r="T16" s="168">
        <f>населення!T16+льготи!T16+субсидии!T16+'держ.бюджет'!T16+'місц.-район.бюджет'!T16+обласной!T16+'госпрозрахунк.'!T16</f>
        <v>413.5</v>
      </c>
      <c r="U16" s="168"/>
      <c r="V16" s="168">
        <f>населення!V16+льготи!V16+субсидии!V16+'держ.бюджет'!V16+'місц.-район.бюджет'!V16+обласной!V16+'госпрозрахунк.'!V16</f>
        <v>0</v>
      </c>
      <c r="W16" s="168">
        <f>населення!W16+льготи!W16+субсидии!W16+'держ.бюджет'!W16+'місц.-район.бюджет'!W16+обласной!W16+'госпрозрахунк.'!W16</f>
        <v>1344.2</v>
      </c>
      <c r="X16" s="168"/>
      <c r="Y16" s="168">
        <f>населення!Y16+льготи!Y16+субсидии!Y16+'держ.бюджет'!Y16+'місц.-район.бюджет'!Y16+обласной!Y16+'госпрозрахунк.'!Y16</f>
        <v>19.4</v>
      </c>
      <c r="Z16" s="168">
        <f>населення!Z16+льготи!Z16+субсидии!Z16+'держ.бюджет'!Z16+'місц.-район.бюджет'!Z16+обласной!Z16+'госпрозрахунк.'!Z16</f>
        <v>2180</v>
      </c>
      <c r="AA16" s="168">
        <f t="shared" si="0"/>
        <v>11237.113402061857</v>
      </c>
      <c r="AB16" s="168">
        <f>населення!AB16+льготи!AB16+субсидии!AB16+'держ.бюджет'!AB16+'місц.-район.бюджет'!AB16+обласной!AB16+'госпрозрахунк.'!AB16</f>
        <v>0</v>
      </c>
      <c r="AC16" s="168">
        <f>населення!AC16+льготи!AC16+субсидии!AC16+'держ.бюджет'!AC16+'місц.-район.бюджет'!AC16+обласной!AC16+'госпрозрахунк.'!AC16</f>
        <v>37.9</v>
      </c>
      <c r="AD16" s="174" t="e">
        <f t="shared" si="6"/>
        <v>#DIV/0!</v>
      </c>
      <c r="AE16" s="168">
        <f>населення!AE16+льготи!AE16+субсидии!AE16+'держ.бюджет'!AE16+'місц.-район.бюджет'!AE16+обласной!AE16+'госпрозрахунк.'!AE16</f>
        <v>0</v>
      </c>
      <c r="AF16" s="168">
        <f>населення!AF16+льготи!AF16+субсидии!AF16+'держ.бюджет'!AF16+'місц.-район.бюджет'!AF16+обласной!AF16+'госпрозрахунк.'!AF16</f>
        <v>0</v>
      </c>
      <c r="AG16" s="174" t="e">
        <f>AF16/AE16*100</f>
        <v>#DIV/0!</v>
      </c>
      <c r="AH16" s="168">
        <f>населення!AH16+льготи!AH16+субсидии!AH16+'держ.бюджет'!AH16+'місц.-район.бюджет'!AH16+обласной!AH16+'госпрозрахунк.'!AH16</f>
        <v>0</v>
      </c>
      <c r="AI16" s="168">
        <f>населення!AI16+льготи!AI16+субсидии!AI16+'держ.бюджет'!AI16+'місц.-район.бюджет'!AI16+обласной!AI16+'госпрозрахунк.'!AI16</f>
        <v>25.9</v>
      </c>
      <c r="AJ16" s="168">
        <f>населення!AJ16+льготи!AJ16+субсидии!AJ16+'держ.бюджет'!AJ16+'місц.-район.бюджет'!AJ16+обласной!AJ16+'госпрозрахунк.'!AJ16</f>
        <v>0</v>
      </c>
      <c r="AK16" s="168">
        <f>населення!AK16+льготи!AK16+субсидии!AK16+'держ.бюджет'!AK16+'місц.-район.бюджет'!AK16+обласной!AK16+'госпрозрахунк.'!AK16</f>
        <v>63.8</v>
      </c>
      <c r="AL16" s="174" t="e">
        <f t="shared" si="7"/>
        <v>#DIV/0!</v>
      </c>
      <c r="AM16" s="168">
        <f>населення!AM16+льготи!AM16+субсидии!AM16+'держ.бюджет'!AM16+'місц.-район.бюджет'!AM16+обласной!AM16+'госпрозрахунк.'!AM16</f>
        <v>110.5</v>
      </c>
      <c r="AN16" s="168">
        <f>населення!AN16+льготи!AN16+субсидии!AN16+'держ.бюджет'!AN16+'місц.-район.бюджет'!AN16+обласной!AN16+'госпрозрахунк.'!AN16</f>
        <v>500</v>
      </c>
      <c r="AO16" s="168">
        <f>населення!AO16+льготи!AO16+субсидии!AO16+'держ.бюджет'!AO16+'місц.-район.бюджет'!AO16+обласной!AO16+'госпрозрахунк.'!AO16</f>
        <v>1191.6000000000001</v>
      </c>
      <c r="AP16" s="168">
        <f>населення!AP16+льготи!AP16+субсидии!AP16+'держ.бюджет'!AP16+'місц.-район.бюджет'!AP16+обласной!AP16+'госпрозрахунк.'!AP16</f>
        <v>327.6</v>
      </c>
      <c r="AQ16" s="168">
        <f>населення!AR16+льготи!AQ16+субсидии!AQ16+'держ.бюджет'!AQ16+'місц.-район.бюджет'!AQ16+обласной!AQ16+'госпрозрахунк.'!AQ16</f>
        <v>1209.9</v>
      </c>
      <c r="AR16" s="168">
        <f>населення!AS16+льготи!AR16+субсидии!AR16+'держ.бюджет'!AR16+'місц.-район.бюджет'!AR16+обласной!AR16+'госпрозрахунк.'!AR16</f>
        <v>2121.3</v>
      </c>
      <c r="AS16" s="168">
        <f>населення!AT16+льготи!AS16+субсидии!AS16+'держ.бюджет'!AS16+'місц.-район.бюджет'!AS16+обласной!AS16+'госпрозрахунк.'!AS16</f>
        <v>6852.3</v>
      </c>
      <c r="AT16" s="168">
        <f>населення!AU16+льготи!AT16+субсидии!AT16+'держ.бюджет'!AT16+'місц.-район.бюджет'!AT16+обласной!AT16+'госпрозрахунк.'!AT16</f>
        <v>7231.499999999999</v>
      </c>
      <c r="AU16" s="175">
        <f t="shared" si="12"/>
        <v>105.53390832275294</v>
      </c>
      <c r="AV16" s="168">
        <f>населення!AW16+льготи!AV16+субсидии!AV16+'держ.бюджет'!AV16+'місц.-район.бюджет'!AV16+обласной!AV16+'госпрозрахунк.'!AV16</f>
        <v>-379.19999999999925</v>
      </c>
      <c r="AW16" s="168">
        <f>населення!AX16+льготи!AW16+субсидии!AW16+'держ.бюджет'!AW16+'місц.-район.бюджет'!AW16+обласной!AW16+'госпрозрахунк.'!AW16</f>
        <v>-507.7999999999988</v>
      </c>
      <c r="AX16" s="169">
        <f t="shared" si="9"/>
        <v>6852.299999999999</v>
      </c>
      <c r="AY16" s="169">
        <f t="shared" si="10"/>
        <v>7231.5</v>
      </c>
      <c r="AZ16" s="169">
        <f t="shared" si="8"/>
        <v>-379.2000000000007</v>
      </c>
      <c r="BA16" s="169">
        <f t="shared" si="1"/>
        <v>-507.8000000000011</v>
      </c>
    </row>
    <row r="17" spans="1:53" ht="24" customHeight="1">
      <c r="A17" s="180">
        <v>10</v>
      </c>
      <c r="B17" s="177" t="s">
        <v>55</v>
      </c>
      <c r="C17" s="168">
        <f>населення!C17+льготи!C17+субсидии!C17+'держ.бюджет'!C17+'місц.-район.бюджет'!C17+обласной!C17+'госпрозрахунк.'!C17</f>
        <v>8010.699999999999</v>
      </c>
      <c r="D17" s="172">
        <f>населення!D17+льготи!D17+субсидии!D17+'держ.бюджет'!D17+'місц.-район.бюджет'!D17+обласной!D17+'госпрозрахунк.'!D17</f>
        <v>3167.2999999999997</v>
      </c>
      <c r="E17" s="172">
        <f>населення!E17+льготи!E17+субсидии!E17+'держ.бюджет'!E17+'місц.-район.бюджет'!E17+обласной!E17+'госпрозрахунк.'!E17</f>
        <v>816.6</v>
      </c>
      <c r="F17" s="173">
        <f t="shared" si="11"/>
        <v>25.782211978656903</v>
      </c>
      <c r="G17" s="172">
        <f>населення!G17+льготи!G17+субсидии!G17+'держ.бюджет'!G17+'місц.-район.бюджет'!G17+обласной!G17+'госпрозрахунк.'!G17</f>
        <v>2710.8</v>
      </c>
      <c r="H17" s="172">
        <f>населення!H17+льготи!H17+субсидии!H17+'держ.бюджет'!H17+'місц.-район.бюджет'!H17+обласной!H17+'госпрозрахунк.'!H17</f>
        <v>1654.5</v>
      </c>
      <c r="I17" s="173">
        <f t="shared" si="2"/>
        <v>61.03364320495794</v>
      </c>
      <c r="J17" s="172">
        <f>населення!J17+льготи!J17+субсидии!J17+'держ.бюджет'!J17+'місц.-район.бюджет'!J17+обласной!J17+'госпрозрахунк.'!J17</f>
        <v>1281.8999999999999</v>
      </c>
      <c r="K17" s="172">
        <f>населення!K17+льготи!K17+субсидии!K17+'держ.бюджет'!K17+'місц.-район.бюджет'!K17+обласной!K17+'госпрозрахунк.'!K17</f>
        <v>1604.5</v>
      </c>
      <c r="L17" s="173">
        <f t="shared" si="3"/>
        <v>125.16576956080819</v>
      </c>
      <c r="M17" s="168">
        <f>населення!M17+льготи!M17+субсидии!M17+'держ.бюджет'!M17+'місц.-район.бюджет'!M17+обласной!M17+'госпрозрахунк.'!M17</f>
        <v>7160.000000000001</v>
      </c>
      <c r="N17" s="168">
        <f>населення!N17+льготи!N17+субсидии!N17+'держ.бюджет'!N17+'місц.-район.бюджет'!N17+обласной!N17+'госпрозрахунк.'!N17</f>
        <v>4075.6000000000004</v>
      </c>
      <c r="O17" s="168">
        <f t="shared" si="4"/>
        <v>56.92178770949721</v>
      </c>
      <c r="P17" s="168">
        <f>населення!P17+льготи!P17+субсидии!P17+'держ.бюджет'!P17+'місц.-район.бюджет'!P17+обласной!P17+'госпрозрахунк.'!P17</f>
        <v>120.5</v>
      </c>
      <c r="Q17" s="168">
        <f>населення!Q17+льготи!Q17+субсидии!Q17+'держ.бюджет'!Q17+'місц.-район.бюджет'!Q17+обласной!Q17+'госпрозрахунк.'!Q17</f>
        <v>983</v>
      </c>
      <c r="R17" s="168">
        <f t="shared" si="5"/>
        <v>815.7676348547717</v>
      </c>
      <c r="S17" s="168">
        <f>населення!S17+льготи!S17+субсидии!S17+'держ.бюджет'!S17+'місц.-район.бюджет'!S17+обласной!S17+'госпрозрахунк.'!S17</f>
        <v>1.5999999999999943</v>
      </c>
      <c r="T17" s="168">
        <f>населення!T17+льготи!T17+субсидии!T17+'держ.бюджет'!T17+'місц.-район.бюджет'!T17+обласной!T17+'госпрозрахунк.'!T17</f>
        <v>1734.6</v>
      </c>
      <c r="U17" s="168">
        <f>T17/S17*100</f>
        <v>108412.5000000004</v>
      </c>
      <c r="V17" s="168">
        <f>населення!V17+льготи!V17+субсидии!V17+'держ.бюджет'!V17+'місц.-район.бюджет'!V17+обласной!V17+'госпрозрахунк.'!V17</f>
        <v>1.5</v>
      </c>
      <c r="W17" s="168">
        <f>населення!W17+льготи!W17+субсидии!W17+'держ.бюджет'!W17+'місц.-район.бюджет'!W17+обласной!W17+'госпрозрахунк.'!W17</f>
        <v>1035.7</v>
      </c>
      <c r="X17" s="168">
        <f>W17/V17*100</f>
        <v>69046.66666666667</v>
      </c>
      <c r="Y17" s="168">
        <f>населення!Y17+льготи!Y17+субсидии!Y17+'держ.бюджет'!Y17+'місц.-район.бюджет'!Y17+обласной!Y17+'госпрозрахунк.'!Y17</f>
        <v>123.59999999999991</v>
      </c>
      <c r="Z17" s="168">
        <f>населення!Z17+льготи!Z17+субсидии!Z17+'держ.бюджет'!Z17+'місц.-район.бюджет'!Z17+обласной!Z17+'госпрозрахунк.'!Z17</f>
        <v>3753.2999999999997</v>
      </c>
      <c r="AA17" s="168">
        <f t="shared" si="0"/>
        <v>3036.650485436895</v>
      </c>
      <c r="AB17" s="168">
        <f>населення!AB17+льготи!AB17+субсидии!AB17+'держ.бюджет'!AB17+'місц.-район.бюджет'!AB17+обласной!AB17+'госпрозрахунк.'!AB17</f>
        <v>1.5</v>
      </c>
      <c r="AC17" s="168">
        <f>населення!AC17+льготи!AC17+субсидии!AC17+'держ.бюджет'!AC17+'місц.-район.бюджет'!AC17+обласной!AC17+'госпрозрахунк.'!AC17</f>
        <v>372.5</v>
      </c>
      <c r="AD17" s="168">
        <f t="shared" si="6"/>
        <v>24833.333333333336</v>
      </c>
      <c r="AE17" s="168">
        <f>населення!AE17+льготи!AE17+субсидии!AE17+'держ.бюджет'!AE17+'місц.-район.бюджет'!AE17+обласной!AE17+'госпрозрахунк.'!AE17</f>
        <v>1.5</v>
      </c>
      <c r="AF17" s="168">
        <f>населення!AF17+льготи!AF17+субсидии!AF17+'держ.бюджет'!AF17+'місц.-район.бюджет'!AF17+обласной!AF17+'госпрозрахунк.'!AF17</f>
        <v>117.9</v>
      </c>
      <c r="AG17" s="168">
        <f>AF17/AE17*100</f>
        <v>7860.000000000001</v>
      </c>
      <c r="AH17" s="168">
        <f>населення!AH17+льготи!AH17+субсидии!AH17+'держ.бюджет'!AH17+'місц.-район.бюджет'!AH17+обласной!AH17+'госпрозрахунк.'!AH17</f>
        <v>1.6</v>
      </c>
      <c r="AI17" s="168">
        <f>населення!AI17+льготи!AI17+субсидии!AI17+'держ.бюджет'!AI17+'місц.-район.бюджет'!AI17+обласной!AI17+'госпрозрахунк.'!AI17</f>
        <v>373.1</v>
      </c>
      <c r="AJ17" s="168">
        <f>населення!AJ17+льготи!AJ17+субсидии!AJ17+'держ.бюджет'!AJ17+'місц.-район.бюджет'!AJ17+обласной!AJ17+'госпрозрахунк.'!AJ17</f>
        <v>4.6</v>
      </c>
      <c r="AK17" s="168">
        <f>населення!AK17+льготи!AK17+субсидии!AK17+'держ.бюджет'!AK17+'місц.-район.бюджет'!AK17+обласной!AK17+'госпрозрахунк.'!AK17</f>
        <v>863.5</v>
      </c>
      <c r="AL17" s="174">
        <f t="shared" si="7"/>
        <v>18771.739130434784</v>
      </c>
      <c r="AM17" s="168">
        <f>населення!AM17+льготи!AM17+субсидии!AM17+'держ.бюджет'!AM17+'місц.-район.бюджет'!AM17+обласной!AM17+'госпрозрахунк.'!AM17</f>
        <v>226.2</v>
      </c>
      <c r="AN17" s="168">
        <f>населення!AN17+льготи!AN17+субсидии!AN17+'держ.бюджет'!AN17+'місц.-район.бюджет'!AN17+обласной!AN17+'госпрозрахунк.'!AN17</f>
        <v>805.8</v>
      </c>
      <c r="AO17" s="168">
        <f>населення!AO17+льготи!AO17+субсидии!AO17+'держ.бюджет'!AO17+'місц.-район.бюджет'!AO17+обласной!AO17+'госпрозрахунк.'!AO17</f>
        <v>2030.7000000000003</v>
      </c>
      <c r="AP17" s="168">
        <f>населення!AP17+льготи!AP17+субсидии!AP17+'держ.бюджет'!AP17+'місц.-район.бюджет'!AP17+обласной!AP17+'госпрозрахунк.'!AP17</f>
        <v>1221.6999999999998</v>
      </c>
      <c r="AQ17" s="168">
        <f>населення!AR17+льготи!AQ17+субсидии!AQ17+'держ.бюджет'!AQ17+'місц.-район.бюджет'!AQ17+обласной!AQ17+'госпрозрахунк.'!AQ17</f>
        <v>2120.9</v>
      </c>
      <c r="AR17" s="168">
        <f>населення!AS17+льготи!AR17+субсидии!AR17+'держ.бюджет'!AR17+'місц.-район.бюджет'!AR17+обласной!AR17+'госпрозрахунк.'!AR17</f>
        <v>2725.5000000000005</v>
      </c>
      <c r="AS17" s="168">
        <f>населення!AT17+льготи!AS17+субсидии!AS17+'держ.бюджет'!AS17+'місц.-район.бюджет'!AS17+обласной!AS17+'госпрозрахунк.'!AS17</f>
        <v>11666</v>
      </c>
      <c r="AT17" s="168">
        <f>населення!AU17+льготи!AT17+субсидии!AT17+'держ.бюджет'!AT17+'місц.-район.бюджет'!AT17+обласной!AT17+'госпрозрахунк.'!AT17</f>
        <v>13445.4</v>
      </c>
      <c r="AU17" s="175">
        <f t="shared" si="12"/>
        <v>115.25287159266244</v>
      </c>
      <c r="AV17" s="168">
        <f>населення!AW17+льготи!AV17+субсидии!AV17+'держ.бюджет'!AV17+'місц.-район.бюджет'!AV17+обласной!AV17+'госпрозрахунк.'!AV17</f>
        <v>-1779.4000000000003</v>
      </c>
      <c r="AW17" s="168">
        <f>населення!AX17+льготи!AW17+субсидии!AW17+'держ.бюджет'!AW17+'місц.-район.бюджет'!AW17+обласной!AW17+'госпрозрахунк.'!AW17</f>
        <v>6231.3</v>
      </c>
      <c r="AX17" s="169">
        <f t="shared" si="9"/>
        <v>11666</v>
      </c>
      <c r="AY17" s="169">
        <f t="shared" si="10"/>
        <v>13445.399999999998</v>
      </c>
      <c r="AZ17" s="169">
        <f t="shared" si="8"/>
        <v>-1779.3999999999978</v>
      </c>
      <c r="BA17" s="169">
        <f t="shared" si="1"/>
        <v>6231.299999999999</v>
      </c>
    </row>
    <row r="18" spans="1:53" ht="24" customHeight="1">
      <c r="A18" s="180">
        <v>11</v>
      </c>
      <c r="B18" s="177" t="s">
        <v>56</v>
      </c>
      <c r="C18" s="168">
        <f>населення!C18+льготи!C18+субсидии!C18+'держ.бюджет'!C18+'місц.-район.бюджет'!C18+обласной!C18+'госпрозрахунк.'!C18</f>
        <v>114.2</v>
      </c>
      <c r="D18" s="172">
        <f>населення!D18+льготи!D18+субсидии!D18+'держ.бюджет'!D18+'місц.-район.бюджет'!D18+обласной!D18+'госпрозрахунк.'!D18</f>
        <v>714.4</v>
      </c>
      <c r="E18" s="172">
        <f>населення!E18+льготи!E18+субсидии!E18+'держ.бюджет'!E18+'місц.-район.бюджет'!E18+обласной!E18+'госпрозрахунк.'!E18</f>
        <v>336.20000000000005</v>
      </c>
      <c r="F18" s="173">
        <f t="shared" si="11"/>
        <v>47.06047032474805</v>
      </c>
      <c r="G18" s="172">
        <f>населення!G18+льготи!G18+субсидии!G18+'держ.бюджет'!G18+'місц.-район.бюджет'!G18+обласной!G18+'госпрозрахунк.'!G18</f>
        <v>712.5</v>
      </c>
      <c r="H18" s="172">
        <f>населення!H18+льготи!H18+субсидии!H18+'держ.бюджет'!H18+'місц.-район.бюджет'!H18+обласной!H18+'госпрозрахунк.'!H18</f>
        <v>820.5</v>
      </c>
      <c r="I18" s="173">
        <f t="shared" si="2"/>
        <v>115.15789473684211</v>
      </c>
      <c r="J18" s="172">
        <f>населення!J18+льготи!J18+субсидии!J18+'держ.бюджет'!J18+'місц.-район.бюджет'!J18+обласной!J18+'госпрозрахунк.'!J18</f>
        <v>361.5</v>
      </c>
      <c r="K18" s="172">
        <f>населення!K18+льготи!K18+субсидии!K18+'держ.бюджет'!K18+'місц.-район.бюджет'!K18+обласной!K18+'госпрозрахунк.'!K18</f>
        <v>451.70000000000005</v>
      </c>
      <c r="L18" s="173">
        <f t="shared" si="3"/>
        <v>124.95159059474415</v>
      </c>
      <c r="M18" s="168">
        <f>населення!M18+льготи!M18+субсидии!M18+'держ.бюджет'!M18+'місц.-район.бюджет'!M18+обласной!M18+'госпрозрахунк.'!M18</f>
        <v>1788.4</v>
      </c>
      <c r="N18" s="168">
        <f>населення!N18+льготи!N18+субсидии!N18+'держ.бюджет'!N18+'місц.-район.бюджет'!N18+обласной!N18+'госпрозрахунк.'!N18</f>
        <v>1608.4</v>
      </c>
      <c r="O18" s="168">
        <f t="shared" si="4"/>
        <v>89.9351375531201</v>
      </c>
      <c r="P18" s="168">
        <f>населення!P18+льготи!P18+субсидии!P18+'держ.бюджет'!P18+'місц.-район.бюджет'!P18+обласной!P18+'госпрозрахунк.'!P18</f>
        <v>0</v>
      </c>
      <c r="Q18" s="168">
        <f>населення!Q18+льготи!Q18+субсидии!Q18+'держ.бюджет'!Q18+'місц.-район.бюджет'!Q18+обласной!Q18+'госпрозрахунк.'!Q18</f>
        <v>32.8</v>
      </c>
      <c r="R18" s="168"/>
      <c r="S18" s="168">
        <f>населення!S18+льготи!S18+субсидии!S18+'держ.бюджет'!S18+'місц.-район.бюджет'!S18+обласной!S18+'госпрозрахунк.'!S18</f>
        <v>0</v>
      </c>
      <c r="T18" s="168">
        <f>населення!T18+льготи!T18+субсидии!T18+'держ.бюджет'!T18+'місц.-район.бюджет'!T18+обласной!T18+'госпрозрахунк.'!T18</f>
        <v>13.5</v>
      </c>
      <c r="U18" s="168"/>
      <c r="V18" s="168">
        <f>населення!V18+льготи!V18+субсидии!V18+'держ.бюджет'!V18+'місц.-район.бюджет'!V18+обласной!V18+'госпрозрахунк.'!V18</f>
        <v>0</v>
      </c>
      <c r="W18" s="168">
        <f>населення!W18+льготи!W18+субсидии!W18+'держ.бюджет'!W18+'місц.-район.бюджет'!W18+обласной!W18+'госпрозрахунк.'!W18</f>
        <v>0</v>
      </c>
      <c r="X18" s="168"/>
      <c r="Y18" s="168">
        <f>населення!Y18+льготи!Y18+субсидии!Y18+'держ.бюджет'!Y18+'місц.-район.бюджет'!Y18+обласной!Y18+'госпрозрахунк.'!Y18</f>
        <v>0</v>
      </c>
      <c r="Z18" s="168">
        <f>населення!Z18+льготи!Z18+субсидии!Z18+'держ.бюджет'!Z18+'місц.-район.бюджет'!Z18+обласной!Z18+'госпрозрахунк.'!Z18</f>
        <v>46.3</v>
      </c>
      <c r="AA18" s="174" t="e">
        <f t="shared" si="0"/>
        <v>#DIV/0!</v>
      </c>
      <c r="AB18" s="168">
        <f>населення!AB18+льготи!AB18+субсидии!AB18+'держ.бюджет'!AB18+'місц.-район.бюджет'!AB18+обласной!AB18+'госпрозрахунк.'!AB18</f>
        <v>0</v>
      </c>
      <c r="AC18" s="168">
        <f>населення!AC18+льготи!AC18+субсидии!AC18+'держ.бюджет'!AC18+'місц.-район.бюджет'!AC18+обласной!AC18+'госпрозрахунк.'!AC18</f>
        <v>10</v>
      </c>
      <c r="AD18" s="174" t="e">
        <f t="shared" si="6"/>
        <v>#DIV/0!</v>
      </c>
      <c r="AE18" s="168">
        <f>населення!AE18+льготи!AE18+субсидии!AE18+'держ.бюджет'!AE18+'місц.-район.бюджет'!AE18+обласной!AE18+'госпрозрахунк.'!AE18</f>
        <v>0</v>
      </c>
      <c r="AF18" s="168">
        <f>населення!AF18+льготи!AF18+субсидии!AF18+'держ.бюджет'!AF18+'місц.-район.бюджет'!AF18+обласной!AF18+'госпрозрахунк.'!AF18</f>
        <v>0.3</v>
      </c>
      <c r="AG18" s="174" t="e">
        <f>AF18/AE18*100</f>
        <v>#DIV/0!</v>
      </c>
      <c r="AH18" s="168">
        <f>населення!AH18+льготи!AH18+субсидии!AH18+'держ.бюджет'!AH18+'місц.-район.бюджет'!AH18+обласной!AH18+'госпрозрахунк.'!AH18</f>
        <v>0</v>
      </c>
      <c r="AI18" s="168">
        <f>населення!AI18+льготи!AI18+субсидии!AI18+'держ.бюджет'!AI18+'місц.-район.бюджет'!AI18+обласной!AI18+'госпрозрахунк.'!AI18</f>
        <v>0.2</v>
      </c>
      <c r="AJ18" s="168">
        <f>населення!AJ18+льготи!AJ18+субсидии!AJ18+'держ.бюджет'!AJ18+'місц.-район.бюджет'!AJ18+обласной!AJ18+'госпрозрахунк.'!AJ18</f>
        <v>0</v>
      </c>
      <c r="AK18" s="168">
        <f>населення!AK18+льготи!AK18+субсидии!AK18+'держ.бюджет'!AK18+'місц.-район.бюджет'!AK18+обласной!AK18+'госпрозрахунк.'!AK18</f>
        <v>10.5</v>
      </c>
      <c r="AL18" s="174" t="e">
        <f t="shared" si="7"/>
        <v>#DIV/0!</v>
      </c>
      <c r="AM18" s="168">
        <f>населення!AM18+льготи!AM18+субсидии!AM18+'держ.бюджет'!AM18+'місц.-район.бюджет'!AM18+обласной!AM18+'госпрозрахунк.'!AM18</f>
        <v>134.8</v>
      </c>
      <c r="AN18" s="168">
        <f>населення!AN18+льготи!AN18+субсидии!AN18+'держ.бюджет'!AN18+'місц.-район.бюджет'!AN18+обласной!AN18+'госпрозрахунк.'!AN18</f>
        <v>184.7</v>
      </c>
      <c r="AO18" s="168">
        <f>населення!AO18+льготи!AO18+субсидии!AO18+'держ.бюджет'!AO18+'місц.-район.бюджет'!AO18+обласной!AO18+'госпрозрахунк.'!AO18</f>
        <v>602.8</v>
      </c>
      <c r="AP18" s="168">
        <f>населення!AP18+льготи!AP18+субсидии!AP18+'держ.бюджет'!AP18+'місц.-район.бюджет'!AP18+обласной!AP18+'госпрозрахунк.'!AP18</f>
        <v>620.9</v>
      </c>
      <c r="AQ18" s="168">
        <f>населення!AR18+льготи!AQ18+субсидии!AQ18+'держ.бюджет'!AQ18+'місц.-район.бюджет'!AQ18+обласной!AQ18+'госпрозрахунк.'!AQ18</f>
        <v>609.7</v>
      </c>
      <c r="AR18" s="168">
        <f>населення!AS18+льготи!AR18+субсидии!AR18+'держ.бюджет'!AR18+'місц.-район.бюджет'!AR18+обласной!AR18+'госпрозрахунк.'!AR18</f>
        <v>628.9</v>
      </c>
      <c r="AS18" s="168">
        <f>населення!AT18+льготи!AS18+субсидии!AS18+'держ.бюджет'!AS18+'місц.-район.бюджет'!AS18+обласной!AS18+'госпрозрахунк.'!AS18</f>
        <v>3135.7</v>
      </c>
      <c r="AT18" s="168">
        <f>населення!AU18+льготи!AT18+субсидии!AT18+'держ.бюджет'!AT18+'місц.-район.бюджет'!AT18+обласной!AT18+'госпрозрахунк.'!AT18</f>
        <v>3099.7</v>
      </c>
      <c r="AU18" s="175">
        <f t="shared" si="12"/>
        <v>98.85193098829608</v>
      </c>
      <c r="AV18" s="168">
        <f>населення!AW18+льготи!AV18+субсидии!AV18+'держ.бюджет'!AV18+'місц.-район.бюджет'!AV18+обласной!AV18+'госпрозрахунк.'!AV18</f>
        <v>35.99999999999994</v>
      </c>
      <c r="AW18" s="168">
        <f>населення!AX18+льготи!AW18+субсидии!AW18+'держ.бюджет'!AW18+'місц.-район.бюджет'!AW18+обласной!AW18+'госпрозрахунк.'!AW18</f>
        <v>150.1999999999999</v>
      </c>
      <c r="AX18" s="169">
        <f t="shared" si="9"/>
        <v>3135.7</v>
      </c>
      <c r="AY18" s="169">
        <f t="shared" si="10"/>
        <v>3099.7000000000003</v>
      </c>
      <c r="AZ18" s="169">
        <f t="shared" si="8"/>
        <v>35.999999999999545</v>
      </c>
      <c r="BA18" s="169">
        <f t="shared" si="1"/>
        <v>150.19999999999936</v>
      </c>
    </row>
    <row r="19" spans="1:54" ht="24" customHeight="1">
      <c r="A19" s="180">
        <v>12</v>
      </c>
      <c r="B19" s="171" t="s">
        <v>80</v>
      </c>
      <c r="C19" s="168">
        <f>населення!C19+льготи!C19+субсидии!C19+'держ.бюджет'!C19+'місц.-район.бюджет'!C19+обласной!C19+'госпрозрахунк.'!C19</f>
        <v>3884.2</v>
      </c>
      <c r="D19" s="172">
        <f>населення!D19+льготи!D19+субсидии!D19+'держ.бюджет'!D19+'місц.-район.бюджет'!D19+обласной!D19+'госпрозрахунк.'!D19</f>
        <v>3883.5</v>
      </c>
      <c r="E19" s="172">
        <f>населення!E19+льготи!E19+субсидии!E19+'держ.бюджет'!E19+'місц.-район.бюджет'!E19+обласной!E19+'госпрозрахунк.'!E19</f>
        <v>986.5999999999998</v>
      </c>
      <c r="F19" s="173">
        <f t="shared" si="11"/>
        <v>25.404918243852194</v>
      </c>
      <c r="G19" s="172">
        <f>населення!G19+льготи!G19+субсидии!G19+'держ.бюджет'!G19+'місц.-район.бюджет'!G19+обласной!G19+'госпрозрахунк.'!G19</f>
        <v>4162.4</v>
      </c>
      <c r="H19" s="172">
        <f>населення!H19+льготи!H19+субсидии!H19+'держ.бюджет'!H19+'місц.-район.бюджет'!H19+обласной!H19+'госпрозрахунк.'!H19</f>
        <v>4551.1</v>
      </c>
      <c r="I19" s="173">
        <f t="shared" si="2"/>
        <v>109.3383624831828</v>
      </c>
      <c r="J19" s="172">
        <f>населення!J19+льготи!J19+субсидии!J19+'держ.бюджет'!J19+'місц.-район.бюджет'!J19+обласной!J19+'госпрозрахунк.'!J19</f>
        <v>2416</v>
      </c>
      <c r="K19" s="172">
        <f>населення!K19+льготи!K19+субсидии!K19+'держ.бюджет'!K19+'місц.-район.бюджет'!K19+обласной!K19+'госпрозрахунк.'!K19</f>
        <v>4204.7</v>
      </c>
      <c r="L19" s="173">
        <f t="shared" si="3"/>
        <v>174.03559602649005</v>
      </c>
      <c r="M19" s="168">
        <f>населення!M19+льготи!M19+субсидии!M19+'держ.бюджет'!M19+'місц.-район.бюджет'!M19+обласной!M19+'госпрозрахунк.'!M19</f>
        <v>10461.9</v>
      </c>
      <c r="N19" s="168">
        <f>населення!N19+льготи!N19+субсидии!N19+'держ.бюджет'!N19+'місц.-район.бюджет'!N19+обласной!N19+'госпрозрахунк.'!N19</f>
        <v>9742.399999999998</v>
      </c>
      <c r="O19" s="168">
        <f t="shared" si="4"/>
        <v>93.12266414322444</v>
      </c>
      <c r="P19" s="168">
        <f>населення!P19+льготи!P19+субсидии!P19+'держ.бюджет'!P19+'місц.-район.бюджет'!P19+обласной!P19+'госпрозрахунк.'!P19</f>
        <v>7</v>
      </c>
      <c r="Q19" s="168">
        <f>населення!Q19+льготи!Q19+субсидии!Q19+'держ.бюджет'!Q19+'місц.-район.бюджет'!Q19+обласной!Q19+'госпрозрахунк.'!Q19</f>
        <v>270.1</v>
      </c>
      <c r="R19" s="168">
        <f t="shared" si="5"/>
        <v>3858.571428571429</v>
      </c>
      <c r="S19" s="168">
        <f>населення!S19+льготи!S19+субсидии!S19+'держ.бюджет'!S19+'місц.-район.бюджет'!S19+обласной!S19+'госпрозрахунк.'!S19</f>
        <v>0</v>
      </c>
      <c r="T19" s="168">
        <f>населення!T19+льготи!T19+субсидии!T19+'держ.бюджет'!T19+'місц.-район.бюджет'!T19+обласной!T19+'госпрозрахунк.'!T19</f>
        <v>153</v>
      </c>
      <c r="U19" s="168"/>
      <c r="V19" s="168">
        <f>населення!V19+льготи!V19+субсидии!V19+'держ.бюджет'!V19+'місц.-район.бюджет'!V19+обласной!V19+'госпрозрахунк.'!V19</f>
        <v>0</v>
      </c>
      <c r="W19" s="168">
        <f>населення!W19+льготи!W19+субсидии!W19+'держ.бюджет'!W19+'місц.-район.бюджет'!W19+обласной!W19+'госпрозрахунк.'!W19</f>
        <v>127.5</v>
      </c>
      <c r="X19" s="168"/>
      <c r="Y19" s="168">
        <f>населення!Y19+льготи!Y19+субсидии!Y19+'держ.бюджет'!Y19+'місц.-район.бюджет'!Y19+обласной!Y19+'госпрозрахунк.'!Y19</f>
        <v>7</v>
      </c>
      <c r="Z19" s="168">
        <f>населення!Z19+льготи!Z19+субсидии!Z19+'держ.бюджет'!Z19+'місц.-район.бюджет'!Z19+обласной!Z19+'госпрозрахунк.'!Z19</f>
        <v>550.6</v>
      </c>
      <c r="AA19" s="168">
        <f t="shared" si="0"/>
        <v>7865.714285714286</v>
      </c>
      <c r="AB19" s="168">
        <f>населення!AB19+льготи!AB19+субсидии!AB19+'держ.бюджет'!AB19+'місц.-район.бюджет'!AB19+обласной!AB19+'госпрозрахунк.'!AB19</f>
        <v>0</v>
      </c>
      <c r="AC19" s="168">
        <f>населення!AC19+льготи!AC19+субсидии!AC19+'держ.бюджет'!AC19+'місц.-район.бюджет'!AC19+обласной!AC19+'госпрозрахунк.'!AC19</f>
        <v>152</v>
      </c>
      <c r="AD19" s="174" t="e">
        <f t="shared" si="6"/>
        <v>#DIV/0!</v>
      </c>
      <c r="AE19" s="168">
        <f>населення!AE19+льготи!AE19+субсидии!AE19+'держ.бюджет'!AE19+'місц.-район.бюджет'!AE19+обласной!AE19+'госпрозрахунк.'!AE19</f>
        <v>0</v>
      </c>
      <c r="AF19" s="168">
        <f>населення!AF19+льготи!AF19+субсидии!AF19+'держ.бюджет'!AF19+'місц.-район.бюджет'!AF19+обласной!AF19+'госпрозрахунк.'!AF19</f>
        <v>142.1</v>
      </c>
      <c r="AG19" s="174" t="e">
        <f>AF19/AE19*100</f>
        <v>#DIV/0!</v>
      </c>
      <c r="AH19" s="168">
        <f>населення!AH19+льготи!AH19+субсидии!AH19+'держ.бюджет'!AH19+'місц.-район.бюджет'!AH19+обласной!AH19+'госпрозрахунк.'!AH19</f>
        <v>0</v>
      </c>
      <c r="AI19" s="168">
        <f>населення!AI19+льготи!AI19+субсидии!AI19+'держ.бюджет'!AI19+'місц.-район.бюджет'!AI19+обласной!AI19+'госпрозрахунк.'!AI19</f>
        <v>1232.6</v>
      </c>
      <c r="AJ19" s="168">
        <f>населення!AJ19+льготи!AJ19+субсидии!AJ19+'держ.бюджет'!AJ19+'місц.-район.бюджет'!AJ19+обласной!AJ19+'госпрозрахунк.'!AJ19</f>
        <v>0</v>
      </c>
      <c r="AK19" s="168">
        <f>населення!AK19+льготи!AK19+субсидии!AK19+'держ.бюджет'!AK19+'місц.-район.бюджет'!AK19+обласной!AK19+'госпрозрахунк.'!AK19</f>
        <v>1526.7</v>
      </c>
      <c r="AL19" s="174" t="e">
        <f t="shared" si="7"/>
        <v>#DIV/0!</v>
      </c>
      <c r="AM19" s="168">
        <f>населення!AM19+льготи!AM19+субсидии!AM19+'держ.бюджет'!AM19+'місц.-район.бюджет'!AM19+обласной!AM19+'госпрозрахунк.'!AM19</f>
        <v>1191.3</v>
      </c>
      <c r="AN19" s="168">
        <f>населення!AN19+льготи!AN19+субсидии!AN19+'держ.бюджет'!AN19+'місц.-район.бюджет'!AN19+обласной!AN19+'госпрозрахунк.'!AN19</f>
        <v>1984.9999999999998</v>
      </c>
      <c r="AO19" s="168">
        <f>населення!AO19+льготи!AO19+субсидии!AO19+'держ.бюджет'!AO19+'місц.-район.бюджет'!AO19+обласной!AO19+'госпрозрахунк.'!AO19</f>
        <v>3851.9999999999995</v>
      </c>
      <c r="AP19" s="168">
        <f>населення!AP19+льготи!AP19+субсидии!AP19+'держ.бюджет'!AP19+'місц.-район.бюджет'!AP19+обласной!AP19+'госпрозрахунк.'!AP19</f>
        <v>1957.1999999999998</v>
      </c>
      <c r="AQ19" s="168">
        <f>населення!AR19+льготи!AQ19+субсидии!AQ19+'держ.бюджет'!AQ19+'місц.-район.бюджет'!AQ19+обласной!AQ19+'госпрозрахунк.'!AQ19</f>
        <v>4237.7</v>
      </c>
      <c r="AR19" s="168">
        <f>населення!AS19+льготи!AR19+субсидии!AR19+'держ.бюджет'!AR19+'місц.-район.бюджет'!AR19+обласной!AR19+'госпрозрахунк.'!AR19</f>
        <v>4613.400000000001</v>
      </c>
      <c r="AS19" s="168">
        <f>населення!AT19+льготи!AS19+субсидии!AS19+'держ.бюджет'!AS19+'місц.-район.бюджет'!AS19+обласной!AS19+'госпрозрахунк.'!AS19</f>
        <v>19749.9</v>
      </c>
      <c r="AT19" s="168">
        <f>населення!AU19+льготи!AT19+субсидии!AT19+'держ.бюджет'!AT19+'місц.-район.бюджет'!AT19+обласной!AT19+'госпрозрахунк.'!AT19</f>
        <v>20375.3</v>
      </c>
      <c r="AU19" s="175">
        <f t="shared" si="12"/>
        <v>103.16659831189017</v>
      </c>
      <c r="AV19" s="168">
        <f>населення!AW19+льготи!AV19+субсидии!AV19+'держ.бюджет'!AV19+'місц.-район.бюджет'!AV19+обласной!AV19+'госпрозрахунк.'!AV19</f>
        <v>-625.4000000000005</v>
      </c>
      <c r="AW19" s="168">
        <f>населення!AX19+льготи!AW19+субсидии!AW19+'держ.бюджет'!AW19+'місц.-район.бюджет'!AW19+обласной!AW19+'госпрозрахунк.'!AW19</f>
        <v>3258.799999999999</v>
      </c>
      <c r="AX19" s="169">
        <f t="shared" si="9"/>
        <v>19749.899999999998</v>
      </c>
      <c r="AY19" s="169">
        <f t="shared" si="10"/>
        <v>20375.3</v>
      </c>
      <c r="AZ19" s="169">
        <f>AX19-AY19</f>
        <v>-625.4000000000015</v>
      </c>
      <c r="BA19" s="169">
        <f t="shared" si="1"/>
        <v>3258.7999999999993</v>
      </c>
      <c r="BB19" s="160">
        <f>BA19-AW19</f>
        <v>0</v>
      </c>
    </row>
    <row r="20" spans="1:53" ht="27" customHeight="1">
      <c r="A20" s="170">
        <v>13</v>
      </c>
      <c r="B20" s="177" t="s">
        <v>57</v>
      </c>
      <c r="C20" s="168">
        <f>населення!C20+льготи!C20+субсидии!C20+'держ.бюджет'!C20+'місц.-район.бюджет'!C20+обласной!C20+'госпрозрахунк.'!C20</f>
        <v>-1.7</v>
      </c>
      <c r="D20" s="172">
        <f>населення!D20+льготи!D20+субсидии!D20+'держ.бюджет'!D20+'місц.-район.бюджет'!D20+обласной!D20+'госпрозрахунк.'!D20</f>
        <v>0</v>
      </c>
      <c r="E20" s="172">
        <f>населення!E20+льготи!E20+субсидии!E20+'держ.бюджет'!E20+'місц.-район.бюджет'!E20+обласной!E20+'госпрозрахунк.'!E20</f>
        <v>0</v>
      </c>
      <c r="F20" s="178" t="e">
        <f t="shared" si="11"/>
        <v>#DIV/0!</v>
      </c>
      <c r="G20" s="172">
        <f>населення!G20+льготи!G20+субсидии!G20+'держ.бюджет'!G20+'місц.-район.бюджет'!G20+обласной!G20+'госпрозрахунк.'!G20</f>
        <v>0</v>
      </c>
      <c r="H20" s="172">
        <f>населення!H20+льготи!H20+субсидии!H20+'держ.бюджет'!H20+'місц.-район.бюджет'!H20+обласной!H20+'госпрозрахунк.'!H20</f>
        <v>0</v>
      </c>
      <c r="I20" s="178" t="e">
        <f t="shared" si="2"/>
        <v>#DIV/0!</v>
      </c>
      <c r="J20" s="172">
        <f>населення!J20+льготи!J20+субсидии!J20+'держ.бюджет'!J20+'місц.-район.бюджет'!J20+обласной!J20+'госпрозрахунк.'!J20</f>
        <v>0</v>
      </c>
      <c r="K20" s="172">
        <f>населення!K20+льготи!K20+субсидии!K20+'держ.бюджет'!K20+'місц.-район.бюджет'!K20+обласной!K20+'госпрозрахунк.'!K20</f>
        <v>0</v>
      </c>
      <c r="L20" s="178" t="e">
        <f t="shared" si="3"/>
        <v>#DIV/0!</v>
      </c>
      <c r="M20" s="168">
        <f>населення!M20+льготи!M20+субсидии!M20+'держ.бюджет'!M20+'місц.-район.бюджет'!M20+обласной!M20+'госпрозрахунк.'!M20</f>
        <v>0</v>
      </c>
      <c r="N20" s="168">
        <f>населення!N20+льготи!N20+субсидии!N20+'держ.бюджет'!N20+'місц.-район.бюджет'!N20+обласной!N20+'госпрозрахунк.'!N20</f>
        <v>0</v>
      </c>
      <c r="O20" s="168"/>
      <c r="P20" s="168">
        <f>населення!P20+льготи!P20+субсидии!P20+'держ.бюджет'!P20+'місц.-район.бюджет'!P20+обласной!P20+'госпрозрахунк.'!P20</f>
        <v>0</v>
      </c>
      <c r="Q20" s="168">
        <f>населення!Q20+льготи!Q20+субсидии!Q20+'держ.бюджет'!Q20+'місц.-район.бюджет'!Q20+обласной!Q20+'госпрозрахунк.'!Q20</f>
        <v>0</v>
      </c>
      <c r="R20" s="168"/>
      <c r="S20" s="168">
        <f>населення!S20+льготи!S20+субсидии!S20+'держ.бюджет'!S20+'місц.-район.бюджет'!S20+обласной!S20+'госпрозрахунк.'!S20</f>
        <v>0</v>
      </c>
      <c r="T20" s="168">
        <f>населення!T20+льготи!T20+субсидии!T20+'держ.бюджет'!T20+'місц.-район.бюджет'!T20+обласной!T20+'госпрозрахунк.'!T20</f>
        <v>0</v>
      </c>
      <c r="U20" s="168"/>
      <c r="V20" s="168">
        <f>населення!V20+льготи!V20+субсидии!V20+'держ.бюджет'!V20+'місц.-район.бюджет'!V20+обласной!V20+'госпрозрахунк.'!V20</f>
        <v>0</v>
      </c>
      <c r="W20" s="168">
        <f>населення!W20+льготи!W20+субсидии!W20+'держ.бюджет'!W20+'місц.-район.бюджет'!W20+обласной!W20+'госпрозрахунк.'!W20</f>
        <v>0</v>
      </c>
      <c r="X20" s="168"/>
      <c r="Y20" s="168">
        <f>населення!Y20+льготи!Y20+субсидии!Y20+'держ.бюджет'!Y20+'місц.-район.бюджет'!Y20+обласной!Y20+'госпрозрахунк.'!Y20</f>
        <v>0</v>
      </c>
      <c r="Z20" s="168">
        <f>населення!Z20+льготи!Z20+субсидии!Z20+'держ.бюджет'!Z20+'місц.-район.бюджет'!Z20+обласной!Z20+'госпрозрахунк.'!Z20</f>
        <v>0</v>
      </c>
      <c r="AA20" s="168"/>
      <c r="AB20" s="168">
        <f>населення!AB20+льготи!AB20+субсидии!AB20+'держ.бюджет'!AB20+'місц.-район.бюджет'!AB20+обласной!AB20+'госпрозрахунк.'!AB20</f>
        <v>0</v>
      </c>
      <c r="AC20" s="168">
        <f>населення!AC20+льготи!AC20+субсидии!AC20+'держ.бюджет'!AC20+'місц.-район.бюджет'!AC20+обласной!AC20+'госпрозрахунк.'!AC20</f>
        <v>0</v>
      </c>
      <c r="AD20" s="168">
        <v>0</v>
      </c>
      <c r="AE20" s="168">
        <f>населення!AE20+льготи!AE20+субсидии!AE20+'держ.бюджет'!AE20+'місц.-район.бюджет'!AE20+обласной!AE20+'госпрозрахунк.'!AE20</f>
        <v>0</v>
      </c>
      <c r="AF20" s="168">
        <f>населення!AF20+льготи!AF20+субсидии!AF20+'держ.бюджет'!AF20+'місц.-район.бюджет'!AF20+обласной!AF20+'госпрозрахунк.'!AF20</f>
        <v>0</v>
      </c>
      <c r="AG20" s="168">
        <v>0</v>
      </c>
      <c r="AH20" s="168">
        <f>населення!AH20+льготи!AH20+субсидии!AH20+'держ.бюджет'!AH20+'місц.-район.бюджет'!AH20+обласной!AH20+'госпрозрахунк.'!AH20</f>
        <v>0</v>
      </c>
      <c r="AI20" s="168">
        <f>населення!AI20+льготи!AI20+субсидии!AI20+'держ.бюджет'!AI20+'місц.-район.бюджет'!AI20+обласной!AI20+'госпрозрахунк.'!AI20</f>
        <v>0</v>
      </c>
      <c r="AJ20" s="168">
        <f>населення!AJ20+льготи!AJ20+субсидии!AJ20+'держ.бюджет'!AJ20+'місц.-район.бюджет'!AJ20+обласной!AJ20+'госпрозрахунк.'!AJ20</f>
        <v>0</v>
      </c>
      <c r="AK20" s="168">
        <f>населення!AK20+льготи!AK20+субсидии!AK20+'держ.бюджет'!AK20+'місц.-район.бюджет'!AK20+обласной!AK20+'госпрозрахунк.'!AK20</f>
        <v>0</v>
      </c>
      <c r="AL20" s="174" t="e">
        <f t="shared" si="7"/>
        <v>#DIV/0!</v>
      </c>
      <c r="AM20" s="168">
        <f>населення!AM20+льготи!AM20+субсидии!AM20+'держ.бюджет'!AM20+'місц.-район.бюджет'!AM20+обласной!AM20+'госпрозрахунк.'!AM20</f>
        <v>0</v>
      </c>
      <c r="AN20" s="168">
        <f>населення!AN20+льготи!AN20+субсидии!AN20+'держ.бюджет'!AN20+'місц.-район.бюджет'!AN20+обласной!AN20+'госпрозрахунк.'!AN20</f>
        <v>0</v>
      </c>
      <c r="AO20" s="168">
        <f>населення!AO20+льготи!AO20+субсидии!AO20+'держ.бюджет'!AO20+'місц.-район.бюджет'!AO20+обласной!AO20+'госпрозрахунк.'!AO20</f>
        <v>0</v>
      </c>
      <c r="AP20" s="168">
        <f>населення!AP20+льготи!AP20+субсидии!AP20+'держ.бюджет'!AP20+'місц.-район.бюджет'!AP20+обласной!AP20+'госпрозрахунк.'!AP20</f>
        <v>0</v>
      </c>
      <c r="AQ20" s="168">
        <f>населення!AR20+льготи!AQ20+субсидии!AQ20+'держ.бюджет'!AQ20+'місц.-район.бюджет'!AQ20+обласной!AQ20+'госпрозрахунк.'!AQ20</f>
        <v>0</v>
      </c>
      <c r="AR20" s="168">
        <f>населення!AS20+льготи!AR20+субсидии!AR20+'держ.бюджет'!AR20+'місц.-район.бюджет'!AR20+обласной!AR20+'госпрозрахунк.'!AR20</f>
        <v>0</v>
      </c>
      <c r="AS20" s="168">
        <f>населення!AT20+льготи!AS20+субсидии!AS20+'держ.бюджет'!AS20+'місц.-район.бюджет'!AS20+обласной!AS20+'госпрозрахунк.'!AS20</f>
        <v>0</v>
      </c>
      <c r="AT20" s="168">
        <f>населення!AU20+льготи!AT20+субсидии!AT20+'держ.бюджет'!AT20+'місц.-район.бюджет'!AT20+обласной!AT20+'госпрозрахунк.'!AT20</f>
        <v>0</v>
      </c>
      <c r="AU20" s="175">
        <v>0</v>
      </c>
      <c r="AV20" s="168">
        <f>населення!AW20+льготи!AV20+субсидии!AV20+'держ.бюджет'!AV20+'місц.-район.бюджет'!AV20+обласной!AV20+'госпрозрахунк.'!AV20</f>
        <v>0</v>
      </c>
      <c r="AW20" s="168">
        <f>населення!AX20+льготи!AW20+субсидии!AW20+'держ.бюджет'!AW20+'місц.-район.бюджет'!AW20+обласной!AW20+'госпрозрахунк.'!AW20</f>
        <v>-1.7</v>
      </c>
      <c r="AX20" s="169">
        <f t="shared" si="9"/>
        <v>0</v>
      </c>
      <c r="AY20" s="169">
        <f t="shared" si="10"/>
        <v>0</v>
      </c>
      <c r="AZ20" s="169">
        <f t="shared" si="8"/>
        <v>0</v>
      </c>
      <c r="BA20" s="169">
        <f t="shared" si="1"/>
        <v>-1.7</v>
      </c>
    </row>
    <row r="21" spans="1:53" ht="27" customHeight="1">
      <c r="A21" s="180">
        <v>14</v>
      </c>
      <c r="B21" s="177" t="s">
        <v>58</v>
      </c>
      <c r="C21" s="168">
        <f>населення!C21+льготи!C21+субсидии!C21+'держ.бюджет'!C21+'місц.-район.бюджет'!C21+обласной!C21+'госпрозрахунк.'!C21</f>
        <v>-412.5</v>
      </c>
      <c r="D21" s="172">
        <f>населення!D21+льготи!D21+субсидии!D21+'держ.бюджет'!D21+'місц.-район.бюджет'!D21+обласной!D21+'госпрозрахунк.'!D21</f>
        <v>693.5</v>
      </c>
      <c r="E21" s="172">
        <f>населення!E21+льготи!E21+субсидии!E21+'держ.бюджет'!E21+'місц.-район.бюджет'!E21+обласной!E21+'госпрозрахунк.'!E21</f>
        <v>102.6</v>
      </c>
      <c r="F21" s="173">
        <f t="shared" si="11"/>
        <v>14.794520547945206</v>
      </c>
      <c r="G21" s="172">
        <f>населення!G21+льготи!G21+субсидии!G21+'держ.бюджет'!G21+'місц.-район.бюджет'!G21+обласной!G21+'госпрозрахунк.'!G21</f>
        <v>565.4</v>
      </c>
      <c r="H21" s="172">
        <f>населення!H21+льготи!H21+субсидии!H21+'держ.бюджет'!H21+'місц.-район.бюджет'!H21+обласной!H21+'госпрозрахунк.'!H21</f>
        <v>628</v>
      </c>
      <c r="I21" s="173">
        <f t="shared" si="2"/>
        <v>111.07180756986206</v>
      </c>
      <c r="J21" s="172">
        <f>населення!J21+льготи!J21+субсидии!J21+'держ.бюджет'!J21+'місц.-район.бюджет'!J21+обласной!J21+'госпрозрахунк.'!J21</f>
        <v>401.29999999999995</v>
      </c>
      <c r="K21" s="172">
        <f>населення!K21+льготи!K21+субсидии!K21+'держ.бюджет'!K21+'місц.-район.бюджет'!K21+обласной!K21+'госпрозрахунк.'!K21</f>
        <v>491.9</v>
      </c>
      <c r="L21" s="173">
        <f t="shared" si="3"/>
        <v>122.57662596561177</v>
      </c>
      <c r="M21" s="168">
        <f>населення!M21+льготи!M21+субсидии!M21+'держ.бюджет'!M21+'місц.-район.бюджет'!M21+обласной!M21+'госпрозрахунк.'!M21</f>
        <v>1660.2</v>
      </c>
      <c r="N21" s="168">
        <f>населення!N21+льготи!N21+субсидии!N21+'держ.бюджет'!N21+'місц.-район.бюджет'!N21+обласной!N21+'госпрозрахунк.'!N21</f>
        <v>1222.5</v>
      </c>
      <c r="O21" s="168">
        <f t="shared" si="4"/>
        <v>73.63570654138056</v>
      </c>
      <c r="P21" s="168">
        <f>населення!P21+льготи!P21+субсидии!P21+'держ.бюджет'!P21+'місц.-район.бюджет'!P21+обласной!P21+'госпрозрахунк.'!P21</f>
        <v>134.8</v>
      </c>
      <c r="Q21" s="168">
        <f>населення!Q21+льготи!Q21+субсидии!Q21+'держ.бюджет'!Q21+'місц.-район.бюджет'!Q21+обласной!Q21+'госпрозрахунк.'!Q21</f>
        <v>199.39999999999998</v>
      </c>
      <c r="R21" s="168">
        <f t="shared" si="5"/>
        <v>147.9228486646884</v>
      </c>
      <c r="S21" s="168">
        <f>населення!S21+льготи!S21+субсидии!S21+'держ.бюджет'!S21+'місц.-район.бюджет'!S21+обласной!S21+'госпрозрахунк.'!S21</f>
        <v>41.6</v>
      </c>
      <c r="T21" s="168">
        <f>населення!T21+льготи!T21+субсидии!T21+'держ.бюджет'!T21+'місц.-район.бюджет'!T21+обласной!T21+'госпрозрахунк.'!T21</f>
        <v>50</v>
      </c>
      <c r="U21" s="168">
        <f>T21/S21*100</f>
        <v>120.1923076923077</v>
      </c>
      <c r="V21" s="168">
        <f>населення!V21+льготи!V21+субсидии!V21+'держ.бюджет'!V21+'місц.-район.бюджет'!V21+обласной!V21+'госпрозрахунк.'!V21</f>
        <v>74.7</v>
      </c>
      <c r="W21" s="168">
        <f>населення!W21+льготи!W21+субсидии!W21+'держ.бюджет'!W21+'місц.-район.бюджет'!W21+обласной!W21+'госпрозрахунк.'!W21</f>
        <v>0</v>
      </c>
      <c r="X21" s="168">
        <f>W21/V21*100</f>
        <v>0</v>
      </c>
      <c r="Y21" s="168">
        <f>населення!Y21+льготи!Y21+субсидии!Y21+'держ.бюджет'!Y21+'місц.-район.бюджет'!Y21+обласной!Y21+'госпрозрахунк.'!Y21</f>
        <v>251.10000000000002</v>
      </c>
      <c r="Z21" s="168">
        <f>населення!Z21+льготи!Z21+субсидии!Z21+'держ.бюджет'!Z21+'місц.-район.бюджет'!Z21+обласной!Z21+'госпрозрахунк.'!Z21</f>
        <v>249.4</v>
      </c>
      <c r="AA21" s="168">
        <f>Z21/Y21*100</f>
        <v>99.32297889287136</v>
      </c>
      <c r="AB21" s="168">
        <f>населення!AB21+льготи!AB21+субсидии!AB21+'держ.бюджет'!AB21+'місц.-район.бюджет'!AB21+обласной!AB21+'госпрозрахунк.'!AB21</f>
        <v>85.7</v>
      </c>
      <c r="AC21" s="168">
        <f>населення!AC21+льготи!AC21+субсидии!AC21+'держ.бюджет'!AC21+'місц.-район.бюджет'!AC21+обласной!AC21+'госпрозрахунк.'!AC21</f>
        <v>121.1</v>
      </c>
      <c r="AD21" s="168">
        <f t="shared" si="6"/>
        <v>141.3068844807468</v>
      </c>
      <c r="AE21" s="168">
        <f>населення!AE21+льготи!AE21+субсидии!AE21+'держ.бюджет'!AE21+'місц.-район.бюджет'!AE21+обласной!AE21+'госпрозрахунк.'!AE21</f>
        <v>79</v>
      </c>
      <c r="AF21" s="168">
        <f>населення!AF21+льготи!AF21+субсидии!AF21+'держ.бюджет'!AF21+'місц.-район.бюджет'!AF21+обласной!AF21+'госпрозрахунк.'!AF21</f>
        <v>75</v>
      </c>
      <c r="AG21" s="168">
        <f>AF21/AE21*100</f>
        <v>94.9367088607595</v>
      </c>
      <c r="AH21" s="168">
        <f>населення!AH21+льготи!AH21+субсидии!AH21+'держ.бюджет'!AH21+'місц.-район.бюджет'!AH21+обласной!AH21+'госпрозрахунк.'!AH21</f>
        <v>89.1</v>
      </c>
      <c r="AI21" s="168">
        <f>населення!AI21+льготи!AI21+субсидии!AI21+'держ.бюджет'!AI21+'місц.-район.бюджет'!AI21+обласной!AI21+'госпрозрахунк.'!AI21</f>
        <v>80</v>
      </c>
      <c r="AJ21" s="168">
        <f>населення!AJ21+льготи!AJ21+субсидии!AJ21+'держ.бюджет'!AJ21+'місц.-район.бюджет'!AJ21+обласной!AJ21+'госпрозрахунк.'!AJ21</f>
        <v>253.79999999999998</v>
      </c>
      <c r="AK21" s="168">
        <f>населення!AK21+льготи!AK21+субсидии!AK21+'держ.бюджет'!AK21+'місц.-район.бюджет'!AK21+обласной!AK21+'госпрозрахунк.'!AK21</f>
        <v>276.1</v>
      </c>
      <c r="AL21" s="168">
        <f t="shared" si="7"/>
        <v>108.7864460204886</v>
      </c>
      <c r="AM21" s="168">
        <f>населення!AM21+льготи!AM21+субсидии!AM21+'держ.бюджет'!AM21+'місц.-район.бюджет'!AM21+обласной!AM21+'госпрозрахунк.'!AM21</f>
        <v>263.8</v>
      </c>
      <c r="AN21" s="168">
        <f>населення!AN21+льготи!AN21+субсидии!AN21+'держ.бюджет'!AN21+'місц.-район.бюджет'!AN21+обласной!AN21+'госпрозрахунк.'!AN21</f>
        <v>320</v>
      </c>
      <c r="AO21" s="168">
        <f>населення!AO21+льготи!AO21+субсидии!AO21+'держ.бюджет'!AO21+'місц.-район.бюджет'!AO21+обласной!AO21+'госпрозрахунк.'!AO21</f>
        <v>437</v>
      </c>
      <c r="AP21" s="168">
        <f>населення!AP21+льготи!AP21+субсидии!AP21+'держ.бюджет'!AP21+'місц.-район.бюджет'!AP21+обласной!AP21+'госпрозрахунк.'!AP21</f>
        <v>399.8</v>
      </c>
      <c r="AQ21" s="168">
        <f>населення!AR21+льготи!AQ21+субсидии!AQ21+'держ.бюджет'!AQ21+'місц.-район.бюджет'!AQ21+обласной!AQ21+'госпрозрахунк.'!AQ21</f>
        <v>505.90000000000003</v>
      </c>
      <c r="AR21" s="168">
        <f>населення!AS21+льготи!AR21+субсидии!AR21+'держ.бюджет'!AR21+'місц.-район.бюджет'!AR21+обласной!AR21+'госпрозрахунк.'!AR21</f>
        <v>747.3</v>
      </c>
      <c r="AS21" s="168">
        <f>населення!AT21+льготи!AS21+субсидии!AS21+'держ.бюджет'!AS21+'місц.-район.бюджет'!AS21+обласной!AS21+'госпрозрахунк.'!AS21</f>
        <v>3371.7999999999997</v>
      </c>
      <c r="AT21" s="168">
        <f>населення!AU21+льготи!AT21+субсидии!AT21+'держ.бюджет'!AT21+'місц.-район.бюджет'!AT21+обласной!AT21+'госпрозрахунк.'!AT21</f>
        <v>3215.1000000000004</v>
      </c>
      <c r="AU21" s="175">
        <f t="shared" si="12"/>
        <v>95.35263064238687</v>
      </c>
      <c r="AV21" s="168">
        <f>населення!AW21+льготи!AV21+субсидии!AV21+'держ.бюджет'!AV21+'місц.-район.бюджет'!AV21+обласной!AV21+'госпрозрахунк.'!AV21</f>
        <v>156.69999999999936</v>
      </c>
      <c r="AW21" s="168">
        <f>населення!AX21+льготи!AW21+субсидии!AW21+'держ.бюджет'!AW21+'місц.-район.бюджет'!AW21+обласной!AW21+'госпрозрахунк.'!AW21</f>
        <v>-255.80000000000067</v>
      </c>
      <c r="AX21" s="169">
        <f t="shared" si="9"/>
        <v>3371.8000000000006</v>
      </c>
      <c r="AY21" s="169">
        <f t="shared" si="10"/>
        <v>3215.1000000000004</v>
      </c>
      <c r="AZ21" s="169">
        <f t="shared" si="8"/>
        <v>156.70000000000027</v>
      </c>
      <c r="BA21" s="169">
        <f t="shared" si="1"/>
        <v>-255.79999999999973</v>
      </c>
    </row>
    <row r="22" spans="1:53" ht="30" customHeight="1">
      <c r="A22" s="180">
        <v>15</v>
      </c>
      <c r="B22" s="177" t="s">
        <v>59</v>
      </c>
      <c r="C22" s="168">
        <f>населення!C22+льготи!C22+субсидии!C22+'держ.бюджет'!C22+'місц.-район.бюджет'!C22+обласной!C22+'госпрозрахунк.'!C22</f>
        <v>197.2</v>
      </c>
      <c r="D22" s="172">
        <f>населення!D22+льготи!D22+субсидии!D22+'держ.бюджет'!D22+'місц.-район.бюджет'!D22+обласной!D22+'госпрозрахунк.'!D22</f>
        <v>1536.6999999999998</v>
      </c>
      <c r="E22" s="172">
        <f>населення!E22+льготи!E22+субсидии!E22+'держ.бюджет'!E22+'місц.-район.бюджет'!E22+обласной!E22+'госпрозрахунк.'!E22</f>
        <v>1456.8000000000002</v>
      </c>
      <c r="F22" s="173">
        <f t="shared" si="11"/>
        <v>94.80054662588667</v>
      </c>
      <c r="G22" s="172">
        <f>населення!G22+льготи!G22+субсидии!G22+'держ.бюджет'!G22+'місц.-район.бюджет'!G22+обласной!G22+'госпрозрахунк.'!G22</f>
        <v>1534.7</v>
      </c>
      <c r="H22" s="172">
        <f>населення!H22+льготи!H22+субсидии!H22+'держ.бюджет'!H22+'місц.-район.бюджет'!H22+обласной!H22+'госпрозрахунк.'!H22</f>
        <v>1457.9</v>
      </c>
      <c r="I22" s="173">
        <f t="shared" si="2"/>
        <v>94.99576464455595</v>
      </c>
      <c r="J22" s="172">
        <f>населення!J22+льготи!J22+субсидии!J22+'держ.бюджет'!J22+'місц.-район.бюджет'!J22+обласной!J22+'госпрозрахунк.'!J22</f>
        <v>1041.7</v>
      </c>
      <c r="K22" s="172">
        <f>населення!K22+льготи!K22+субсидии!K22+'держ.бюджет'!K22+'місц.-район.бюджет'!K22+обласной!K22+'госпрозрахунк.'!K22</f>
        <v>1084.3</v>
      </c>
      <c r="L22" s="173">
        <f t="shared" si="3"/>
        <v>104.0894691369876</v>
      </c>
      <c r="M22" s="168">
        <f>населення!M22+льготи!M22+субсидии!M22+'держ.бюджет'!M22+'місц.-район.бюджет'!M22+обласной!M22+'госпрозрахунк.'!M22</f>
        <v>4113.1</v>
      </c>
      <c r="N22" s="168">
        <f>населення!N22+льготи!N22+субсидии!N22+'держ.бюджет'!N22+'місц.-район.бюджет'!N22+обласной!N22+'госпрозрахунк.'!N22</f>
        <v>3999</v>
      </c>
      <c r="O22" s="168">
        <f t="shared" si="4"/>
        <v>97.22593664146264</v>
      </c>
      <c r="P22" s="168">
        <f>населення!P22+льготи!P22+субсидии!P22+'держ.бюджет'!P22+'місц.-район.бюджет'!P22+обласной!P22+'госпрозрахунк.'!P22</f>
        <v>161.1</v>
      </c>
      <c r="Q22" s="168">
        <f>населення!Q22+льготи!Q22+субсидии!Q22+'держ.бюджет'!Q22+'місц.-район.бюджет'!Q22+обласной!Q22+'госпрозрахунк.'!Q22</f>
        <v>239.99999999999997</v>
      </c>
      <c r="R22" s="168">
        <f t="shared" si="5"/>
        <v>148.975791433892</v>
      </c>
      <c r="S22" s="168">
        <f>населення!S22+льготи!S22+субсидии!S22+'держ.бюджет'!S22+'місц.-район.бюджет'!S22+обласной!S22+'госпрозрахунк.'!S22</f>
        <v>0</v>
      </c>
      <c r="T22" s="168">
        <f>населення!T22+льготи!T22+субсидии!T22+'держ.бюджет'!T22+'місц.-район.бюджет'!T22+обласной!T22+'госпрозрахунк.'!T22</f>
        <v>44.6</v>
      </c>
      <c r="U22" s="168"/>
      <c r="V22" s="168">
        <f>населення!V22+льготи!V22+субсидии!V22+'держ.бюджет'!V22+'місц.-район.бюджет'!V22+обласной!V22+'госпрозрахунк.'!V22</f>
        <v>0</v>
      </c>
      <c r="W22" s="168">
        <f>населення!W22+льготи!W22+субсидии!W22+'держ.бюджет'!W22+'місц.-район.бюджет'!W22+обласной!W22+'госпрозрахунк.'!W22</f>
        <v>37</v>
      </c>
      <c r="X22" s="168"/>
      <c r="Y22" s="168">
        <f>населення!Y22+льготи!Y22+субсидии!Y22+'держ.бюджет'!Y22+'місц.-район.бюджет'!Y22+обласной!Y22+'госпрозрахунк.'!Y22</f>
        <v>161.1</v>
      </c>
      <c r="Z22" s="168">
        <f>населення!Z22+льготи!Z22+субсидии!Z22+'держ.бюджет'!Z22+'місц.-район.бюджет'!Z22+обласной!Z22+'госпрозрахунк.'!Z22</f>
        <v>321.59999999999997</v>
      </c>
      <c r="AA22" s="168">
        <f>Z22/Y22*100</f>
        <v>199.62756052141526</v>
      </c>
      <c r="AB22" s="168">
        <f>населення!AB22+льготи!AB22+субсидии!AB22+'держ.бюджет'!AB22+'місц.-район.бюджет'!AB22+обласной!AB22+'госпрозрахунк.'!AB22</f>
        <v>0</v>
      </c>
      <c r="AC22" s="168">
        <f>населення!AC22+льготи!AC22+субсидии!AC22+'держ.бюджет'!AC22+'місц.-район.бюджет'!AC22+обласной!AC22+'госпрозрахунк.'!AC22</f>
        <v>28.9</v>
      </c>
      <c r="AD22" s="174" t="e">
        <f t="shared" si="6"/>
        <v>#DIV/0!</v>
      </c>
      <c r="AE22" s="168">
        <f>населення!AE22+льготи!AE22+субсидии!AE22+'держ.бюджет'!AE22+'місц.-район.бюджет'!AE22+обласной!AE22+'госпрозрахунк.'!AE22</f>
        <v>0</v>
      </c>
      <c r="AF22" s="168">
        <f>населення!AF22+льготи!AF22+субсидии!AF22+'держ.бюджет'!AF22+'місц.-район.бюджет'!AF22+обласной!AF22+'госпрозрахунк.'!AF22</f>
        <v>31.9</v>
      </c>
      <c r="AG22" s="174" t="e">
        <f>AF22/AE22*100</f>
        <v>#DIV/0!</v>
      </c>
      <c r="AH22" s="168">
        <f>населення!AH22+льготи!AH22+субсидии!AH22+'держ.бюджет'!AH22+'місц.-район.бюджет'!AH22+обласной!AH22+'госпрозрахунк.'!AH22</f>
        <v>0</v>
      </c>
      <c r="AI22" s="168">
        <f>населення!AI22+льготи!AI22+субсидии!AI22+'держ.бюджет'!AI22+'місц.-район.бюджет'!AI22+обласной!AI22+'госпрозрахунк.'!AI22</f>
        <v>35.6</v>
      </c>
      <c r="AJ22" s="168">
        <f>населення!AJ22+льготи!AJ22+субсидии!AJ22+'держ.бюджет'!AJ22+'місц.-район.бюджет'!AJ22+обласной!AJ22+'госпрозрахунк.'!AJ22</f>
        <v>0</v>
      </c>
      <c r="AK22" s="168">
        <f>населення!AK22+льготи!AK22+субсидии!AK22+'держ.бюджет'!AK22+'місц.-район.бюджет'!AK22+обласной!AK22+'госпрозрахунк.'!AK22</f>
        <v>96.4</v>
      </c>
      <c r="AL22" s="174" t="e">
        <f t="shared" si="7"/>
        <v>#DIV/0!</v>
      </c>
      <c r="AM22" s="168">
        <f>населення!AM22+льготи!AM22+субсидии!AM22+'держ.бюджет'!AM22+'місц.-район.бюджет'!AM22+обласной!AM22+'госпрозрахунк.'!AM22</f>
        <v>345.9</v>
      </c>
      <c r="AN22" s="168">
        <f>населення!AN22+льготи!AN22+субсидии!AN22+'держ.бюджет'!AN22+'місц.-район.бюджет'!AN22+обласной!AN22+'госпрозрахунк.'!AN22</f>
        <v>434.09999999999997</v>
      </c>
      <c r="AO22" s="168">
        <f>населення!AO22+льготи!AO22+субсидии!AO22+'держ.бюджет'!AO22+'місц.-район.бюджет'!AO22+обласной!AO22+'госпрозрахунк.'!AO22</f>
        <v>1444.7000000000003</v>
      </c>
      <c r="AP22" s="168">
        <f>населення!AP22+льготи!AP22+субсидии!AP22+'держ.бюджет'!AP22+'місц.-район.бюджет'!AP22+обласной!AP22+'госпрозрахунк.'!AP22</f>
        <v>1407.1000000000001</v>
      </c>
      <c r="AQ22" s="168">
        <f>населення!AR22+льготи!AQ22+субсидии!AQ22+'держ.бюджет'!AQ22+'місц.-район.бюджет'!AQ22+обласной!AQ22+'госпрозрахунк.'!AQ22</f>
        <v>2002.3</v>
      </c>
      <c r="AR22" s="168">
        <f>населення!AS22+льготи!AR22+субсидии!AR22+'держ.бюджет'!AR22+'місц.-район.бюджет'!AR22+обласной!AR22+'госпрозрахунк.'!AR22</f>
        <v>1990.2999999999997</v>
      </c>
      <c r="AS22" s="168">
        <f>населення!AT22+льготи!AS22+субсидии!AS22+'держ.бюджет'!AS22+'місц.-район.бюджет'!AS22+обласной!AS22+'госпрозрахунк.'!AS22</f>
        <v>8067.099999999999</v>
      </c>
      <c r="AT22" s="168">
        <f>населення!AU22+льготи!AT22+субсидии!AT22+'держ.бюджет'!AT22+'місц.-район.бюджет'!AT22+обласной!AT22+'госпрозрахунк.'!AT22</f>
        <v>8248.5</v>
      </c>
      <c r="AU22" s="175">
        <f t="shared" si="12"/>
        <v>102.24863953589272</v>
      </c>
      <c r="AV22" s="168">
        <f>населення!AW22+льготи!AV22+субсидии!AV22+'держ.бюджет'!AV22+'місц.-район.бюджет'!AV22+обласной!AV22+'госпрозрахунк.'!AV22</f>
        <v>-181.3999999999998</v>
      </c>
      <c r="AW22" s="168">
        <f>населення!AX22+льготи!AW22+субсидии!AW22+'держ.бюджет'!AW22+'місц.-район.бюджет'!AW22+обласной!AW22+'госпрозрахунк.'!AW22</f>
        <v>15.799999999999997</v>
      </c>
      <c r="AX22" s="169">
        <f t="shared" si="9"/>
        <v>8067.100000000001</v>
      </c>
      <c r="AY22" s="169">
        <f t="shared" si="10"/>
        <v>8248.5</v>
      </c>
      <c r="AZ22" s="169">
        <f t="shared" si="8"/>
        <v>-181.39999999999873</v>
      </c>
      <c r="BA22" s="169">
        <f t="shared" si="1"/>
        <v>15.800000000001091</v>
      </c>
    </row>
    <row r="23" spans="1:53" ht="29.25" customHeight="1">
      <c r="A23" s="180">
        <v>16</v>
      </c>
      <c r="B23" s="177" t="s">
        <v>60</v>
      </c>
      <c r="C23" s="168"/>
      <c r="D23" s="181"/>
      <c r="E23" s="181"/>
      <c r="F23" s="181"/>
      <c r="G23" s="181"/>
      <c r="H23" s="181"/>
      <c r="I23" s="181"/>
      <c r="J23" s="172"/>
      <c r="K23" s="172"/>
      <c r="L23" s="181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74" t="e">
        <f t="shared" si="7"/>
        <v>#DIV/0!</v>
      </c>
      <c r="AM23" s="168"/>
      <c r="AN23" s="168"/>
      <c r="AO23" s="168"/>
      <c r="AP23" s="168"/>
      <c r="AQ23" s="168"/>
      <c r="AR23" s="168"/>
      <c r="AS23" s="168"/>
      <c r="AT23" s="168"/>
      <c r="AU23" s="175"/>
      <c r="AV23" s="168"/>
      <c r="AW23" s="168"/>
      <c r="AX23" s="169">
        <f t="shared" si="9"/>
        <v>0</v>
      </c>
      <c r="AY23" s="169">
        <f t="shared" si="10"/>
        <v>0</v>
      </c>
      <c r="AZ23" s="169">
        <f t="shared" si="8"/>
        <v>0</v>
      </c>
      <c r="BA23" s="169">
        <f t="shared" si="1"/>
        <v>0</v>
      </c>
    </row>
    <row r="24" spans="1:53" ht="27.75" customHeight="1">
      <c r="A24" s="180">
        <v>17</v>
      </c>
      <c r="B24" s="177" t="s">
        <v>61</v>
      </c>
      <c r="C24" s="168">
        <f>населення!C24+льготи!C24+субсидии!C24+'держ.бюджет'!C24+'місц.-район.бюджет'!C24+обласной!C24+'госпрозрахунк.'!C24</f>
        <v>15741.8</v>
      </c>
      <c r="D24" s="172">
        <f>населення!D24+льготи!D24+субсидии!D24+'держ.бюджет'!D24+'місц.-район.бюджет'!D24+обласной!D24+'госпрозрахунк.'!D24</f>
        <v>10888.3</v>
      </c>
      <c r="E24" s="172">
        <f>населення!E24+льготи!E24+субсидии!E24+'держ.бюджет'!E24+'місц.-район.бюджет'!E24+обласной!E24+'госпрозрахунк.'!E24</f>
        <v>11260.6</v>
      </c>
      <c r="F24" s="173">
        <f>E24/D24*100</f>
        <v>103.41926655217068</v>
      </c>
      <c r="G24" s="172">
        <f>населення!G24+льготи!G24+субсидии!G24+'держ.бюджет'!G24+'місц.-район.бюджет'!G24+обласной!G24+'госпрозрахунк.'!G24</f>
        <v>9291.800000000001</v>
      </c>
      <c r="H24" s="172">
        <f>населення!H24+льготи!H24+субсидии!H24+'держ.бюджет'!H24+'місц.-район.бюджет'!H24+обласной!H24+'госпрозрахунк.'!H24</f>
        <v>7653.099999999999</v>
      </c>
      <c r="I24" s="173">
        <f>H24/G24*100</f>
        <v>82.36401988850382</v>
      </c>
      <c r="J24" s="172">
        <f>населення!J24+льготи!J24+субсидии!J24+'держ.бюджет'!J24+'місц.-район.бюджет'!J24+обласной!J24+'госпрозрахунк.'!J24</f>
        <v>5252.2</v>
      </c>
      <c r="K24" s="172">
        <f>населення!K24+льготи!K24+субсидии!K24+'держ.бюджет'!K24+'місц.-район.бюджет'!K24+обласной!K24+'госпрозрахунк.'!K24</f>
        <v>6408.300000000001</v>
      </c>
      <c r="L24" s="173">
        <f>K24/J24*100</f>
        <v>122.01172841856749</v>
      </c>
      <c r="M24" s="168">
        <f>населення!M24+льготи!M24+субсидии!M24+'держ.бюджет'!M24+'місц.-район.бюджет'!M24+обласной!M24+'госпрозрахунк.'!M24</f>
        <v>25432.3</v>
      </c>
      <c r="N24" s="168">
        <f>населення!N24+льготи!N24+субсидии!N24+'держ.бюджет'!N24+'місц.-район.бюджет'!N24+обласной!N24+'госпрозрахунк.'!N24</f>
        <v>25321.999999999996</v>
      </c>
      <c r="O24" s="168">
        <f t="shared" si="4"/>
        <v>99.5662995482123</v>
      </c>
      <c r="P24" s="168">
        <f>населення!P24+льготи!P24+субсидии!P24+'держ.бюджет'!P24+'місц.-район.бюджет'!P24+обласной!P24+'госпрозрахунк.'!P24</f>
        <v>1.4210854715202004E-14</v>
      </c>
      <c r="Q24" s="168">
        <f>населення!Q24+льготи!Q24+субсидии!Q24+'держ.бюджет'!Q24+'місц.-район.бюджет'!Q24+обласной!Q24+'госпрозрахунк.'!Q24</f>
        <v>3748.7999999999997</v>
      </c>
      <c r="R24" s="168"/>
      <c r="S24" s="168">
        <f>населення!S24+льготи!S24+субсидии!S24+'держ.бюджет'!S24+'місц.-район.бюджет'!S24+обласной!S24+'госпрозрахунк.'!S24</f>
        <v>0</v>
      </c>
      <c r="T24" s="168">
        <f>населення!T24+льготи!T24+субсидии!T24+'держ.бюджет'!T24+'місц.-район.бюджет'!T24+обласной!T24+'госпрозрахунк.'!T24</f>
        <v>958.3000000000001</v>
      </c>
      <c r="U24" s="168"/>
      <c r="V24" s="168">
        <f>населення!V24+льготи!V24+субсидии!V24+'держ.бюджет'!V24+'місц.-район.бюджет'!V24+обласной!V24+'госпрозрахунк.'!V24</f>
        <v>0</v>
      </c>
      <c r="W24" s="168">
        <f>населення!W24+льготи!W24+субсидии!W24+'держ.бюджет'!W24+'місц.-район.бюджет'!W24+обласной!W24+'госпрозрахунк.'!W24</f>
        <v>3867.7</v>
      </c>
      <c r="X24" s="168"/>
      <c r="Y24" s="168">
        <f>населення!Y24+льготи!Y24+субсидии!Y24+'держ.бюджет'!Y24+'місц.-район.бюджет'!Y24+обласной!Y24+'госпрозрахунк.'!Y24</f>
        <v>0</v>
      </c>
      <c r="Z24" s="168">
        <f>населення!Z24+льготи!Z24+субсидии!Z24+'держ.бюджет'!Z24+'місц.-район.бюджет'!Z24+обласной!Z24+'госпрозрахунк.'!Z24</f>
        <v>8574.8</v>
      </c>
      <c r="AA24" s="174" t="e">
        <f>Z24/Y24*100</f>
        <v>#DIV/0!</v>
      </c>
      <c r="AB24" s="168">
        <f>населення!AB24+льготи!AB24+субсидии!AB24+'держ.бюджет'!AB24+'місц.-район.бюджет'!AB24+обласной!AB24+'госпрозрахунк.'!AB24</f>
        <v>0</v>
      </c>
      <c r="AC24" s="168">
        <f>населення!AC24+льготи!AC24+субсидии!AC24+'держ.бюджет'!AC24+'місц.-район.бюджет'!AC24+обласной!AC24+'госпрозрахунк.'!AC24</f>
        <v>702</v>
      </c>
      <c r="AD24" s="174" t="e">
        <f t="shared" si="6"/>
        <v>#DIV/0!</v>
      </c>
      <c r="AE24" s="168">
        <f>населення!AE24+льготи!AE24+субсидии!AE24+'держ.бюджет'!AE24+'місц.-район.бюджет'!AE24+обласной!AE24+'госпрозрахунк.'!AE24</f>
        <v>0</v>
      </c>
      <c r="AF24" s="168">
        <f>населення!AF24+льготи!AF24+субсидии!AF24+'держ.бюджет'!AF24+'місц.-район.бюджет'!AF24+обласной!AF24+'госпрозрахунк.'!AF24</f>
        <v>666.7</v>
      </c>
      <c r="AG24" s="174" t="e">
        <f>AF24/AE24*100</f>
        <v>#DIV/0!</v>
      </c>
      <c r="AH24" s="168">
        <f>населення!AH24+льготи!AH24+субсидии!AH24+'держ.бюджет'!AH24+'місц.-район.бюджет'!AH24+обласной!AH24+'госпрозрахунк.'!AH24</f>
        <v>0</v>
      </c>
      <c r="AI24" s="168">
        <f>населення!AI24+льготи!AI24+субсидии!AI24+'держ.бюджет'!AI24+'місц.-район.бюджет'!AI24+обласной!AI24+'госпрозрахунк.'!AI24</f>
        <v>3519.6</v>
      </c>
      <c r="AJ24" s="168">
        <f>населення!AJ24+льготи!AJ24+субсидии!AJ24+'держ.бюджет'!AJ24+'місц.-район.бюджет'!AJ24+обласной!AJ24+'госпрозрахунк.'!AJ24</f>
        <v>0</v>
      </c>
      <c r="AK24" s="168">
        <f>населення!AK24+льготи!AK24+субсидии!AK24+'держ.бюджет'!AK24+'місц.-район.бюджет'!AK24+обласной!AK24+'госпрозрахунк.'!AK24</f>
        <v>4888.3</v>
      </c>
      <c r="AL24" s="174" t="e">
        <f t="shared" si="7"/>
        <v>#DIV/0!</v>
      </c>
      <c r="AM24" s="168">
        <f>населення!AM24+льготи!AM24+субсидии!AM24+'держ.бюджет'!AM24+'місц.-район.бюджет'!AM24+обласной!AM24+'госпрозрахунк.'!AM24</f>
        <v>2395.1</v>
      </c>
      <c r="AN24" s="168">
        <f>населення!AN24+льготи!AN24+субсидии!AN24+'держ.бюджет'!AN24+'місц.-район.бюджет'!AN24+обласной!AN24+'госпрозрахунк.'!AN24</f>
        <v>1505.4</v>
      </c>
      <c r="AO24" s="168">
        <f>населення!AO24+льготи!AO24+субсидии!AO24+'держ.бюджет'!AO24+'місц.-район.бюджет'!AO24+обласной!AO24+'госпрозрахунк.'!AO24</f>
        <v>9586.699999999999</v>
      </c>
      <c r="AP24" s="168">
        <f>населення!AP24+льготи!AP24+субсидии!AP24+'держ.бюджет'!AP24+'місц.-район.бюджет'!AP24+обласной!AP24+'госпрозрахунк.'!AP24</f>
        <v>3231.7000000000003</v>
      </c>
      <c r="AQ24" s="168">
        <f>населення!AR24+льготи!AQ24+субсидии!AQ24+'держ.бюджет'!AQ24+'місц.-район.бюджет'!AQ24+обласной!AQ24+'госпрозрахунк.'!AQ24</f>
        <v>10430</v>
      </c>
      <c r="AR24" s="168">
        <f>населення!AS24+льготи!AR24+субсидии!AR24+'держ.бюджет'!AR24+'місц.-район.бюджет'!AR24+обласной!AR24+'госпрозрахунк.'!AR24</f>
        <v>11117.2</v>
      </c>
      <c r="AS24" s="168">
        <f>населення!AT24+льготи!AS24+субсидии!AS24+'держ.бюджет'!AS24+'місц.-район.бюджет'!AS24+обласной!AS24+'госпрозрахунк.'!AS24</f>
        <v>47844.100000000006</v>
      </c>
      <c r="AT24" s="168">
        <f>населення!AU24+льготи!AT24+субсидии!AT24+'держ.бюджет'!AT24+'місц.-район.бюджет'!AT24+обласной!AT24+'госпрозрахунк.'!AT24</f>
        <v>54639.4</v>
      </c>
      <c r="AU24" s="175">
        <f t="shared" si="12"/>
        <v>114.20300517723187</v>
      </c>
      <c r="AV24" s="168">
        <f>населення!AW24+льготи!AV24+субсидии!AV24+'держ.бюджет'!AV24+'місц.-район.бюджет'!AV24+обласной!AV24+'госпрозрахунк.'!AV24</f>
        <v>-6795.299999999999</v>
      </c>
      <c r="AW24" s="168">
        <f>населення!AX24+льготи!AW24+субсидии!AW24+'держ.бюджет'!AW24+'місц.-район.бюджет'!AW24+обласной!AW24+'госпрозрахунк.'!AW24</f>
        <v>8946.5</v>
      </c>
      <c r="AX24" s="169">
        <f t="shared" si="9"/>
        <v>47844.1</v>
      </c>
      <c r="AY24" s="169">
        <f t="shared" si="10"/>
        <v>54639.399999999994</v>
      </c>
      <c r="AZ24" s="169">
        <f t="shared" si="8"/>
        <v>-6795.299999999996</v>
      </c>
      <c r="BA24" s="169">
        <f t="shared" si="1"/>
        <v>8946.5</v>
      </c>
    </row>
    <row r="25" spans="1:53" ht="22.5" customHeight="1">
      <c r="A25" s="180">
        <v>18</v>
      </c>
      <c r="B25" s="171" t="s">
        <v>62</v>
      </c>
      <c r="C25" s="168">
        <f>населення!C25+льготи!C25+субсидии!C25+'держ.бюджет'!C25+'місц.-район.бюджет'!C25+обласной!C25+'госпрозрахунк.'!C25</f>
        <v>-299.2</v>
      </c>
      <c r="D25" s="172">
        <f>населення!D25+льготи!D25+субсидии!D25+'держ.бюджет'!D25+'місц.-район.бюджет'!D25+обласной!D25+'госпрозрахунк.'!D25</f>
        <v>1232.1000000000001</v>
      </c>
      <c r="E25" s="172">
        <f>населення!E25+льготи!E25+субсидии!E25+'держ.бюджет'!E25+'місц.-район.бюджет'!E25+обласной!E25+'госпрозрахунк.'!E25</f>
        <v>290.70000000000005</v>
      </c>
      <c r="F25" s="182">
        <f>E25/D25*100</f>
        <v>23.593864134404676</v>
      </c>
      <c r="G25" s="172">
        <f>населення!G25+льготи!G25+субсидии!G25+'держ.бюджет'!G25+'місц.-район.бюджет'!G25+обласной!G25+'госпрозрахунк.'!G25</f>
        <v>1006.3999999999999</v>
      </c>
      <c r="H25" s="172">
        <f>населення!H25+льготи!H25+субсидии!H25+'держ.бюджет'!H25+'місц.-район.бюджет'!H25+обласной!H25+'госпрозрахунк.'!H25</f>
        <v>763.8</v>
      </c>
      <c r="I25" s="173">
        <f>H25/G25*100</f>
        <v>75.89427662957075</v>
      </c>
      <c r="J25" s="172">
        <f>населення!J25+льготи!J25+субсидии!J25+'держ.бюджет'!J25+'місц.-район.бюджет'!J25+обласной!J25+'госпрозрахунк.'!J25</f>
        <v>576.6</v>
      </c>
      <c r="K25" s="172">
        <f>населення!K25+льготи!K25+субсидии!K25+'держ.бюджет'!K25+'місц.-район.бюджет'!K25+обласной!K25+'госпрозрахунк.'!K25</f>
        <v>754.3</v>
      </c>
      <c r="L25" s="173">
        <f>K25/J25*100</f>
        <v>130.81859174471035</v>
      </c>
      <c r="M25" s="168">
        <f>населення!M25+льготи!M25+субсидии!M25+'держ.бюджет'!M25+'місц.-район.бюджет'!M25+обласной!M25+'госпрозрахунк.'!M25</f>
        <v>2815.1000000000004</v>
      </c>
      <c r="N25" s="168">
        <f>населення!N25+льготи!N25+субсидии!N25+'держ.бюджет'!N25+'місц.-район.бюджет'!N25+обласной!N25+'госпрозрахунк.'!N25</f>
        <v>1808.8000000000002</v>
      </c>
      <c r="O25" s="168">
        <f t="shared" si="4"/>
        <v>64.25349010692337</v>
      </c>
      <c r="P25" s="168">
        <f>населення!P25+льготи!P25+субсидии!P25+'держ.бюджет'!P25+'місц.-район.бюджет'!P25+обласной!P25+'госпрозрахунк.'!P25</f>
        <v>87.5</v>
      </c>
      <c r="Q25" s="168">
        <f>населення!Q25+льготи!Q25+субсидии!Q25+'держ.бюджет'!Q25+'місц.-район.бюджет'!Q25+обласной!Q25+'госпрозрахунк.'!Q25</f>
        <v>186.5</v>
      </c>
      <c r="R25" s="168">
        <f t="shared" si="5"/>
        <v>213.1428571428571</v>
      </c>
      <c r="S25" s="168">
        <f>населення!S25+льготи!S25+субсидии!S25+'держ.бюджет'!S25+'місц.-район.бюджет'!S25+обласной!S25+'госпрозрахунк.'!S25</f>
        <v>6.7</v>
      </c>
      <c r="T25" s="168">
        <f>населення!T25+льготи!T25+субсидии!T25+'держ.бюджет'!T25+'місц.-район.бюджет'!T25+обласной!T25+'госпрозрахунк.'!T25</f>
        <v>400.40000000000003</v>
      </c>
      <c r="U25" s="168">
        <f>T25/S25*100</f>
        <v>5976.119402985075</v>
      </c>
      <c r="V25" s="168">
        <f>населення!V25+льготи!V25+субсидии!V25+'держ.бюджет'!V25+'місц.-район.бюджет'!V25+обласной!V25+'госпрозрахунк.'!V25</f>
        <v>0</v>
      </c>
      <c r="W25" s="168">
        <f>населення!W25+льготи!W25+субсидии!W25+'держ.бюджет'!W25+'місц.-район.бюджет'!W25+обласной!W25+'госпрозрахунк.'!W25</f>
        <v>34.6</v>
      </c>
      <c r="X25" s="174" t="e">
        <f>W25/V25*100</f>
        <v>#DIV/0!</v>
      </c>
      <c r="Y25" s="168">
        <f>населення!Y25+льготи!Y25+субсидии!Y25+'держ.бюджет'!Y25+'місц.-район.бюджет'!Y25+обласной!Y25+'госпрозрахунк.'!Y25</f>
        <v>94.2</v>
      </c>
      <c r="Z25" s="168">
        <f>населення!Z25+льготи!Z25+субсидии!Z25+'держ.бюджет'!Z25+'місц.-район.бюджет'!Z25+обласной!Z25+'госпрозрахунк.'!Z25</f>
        <v>621.5</v>
      </c>
      <c r="AA25" s="168">
        <f>Z25/Y25*100</f>
        <v>659.7664543524415</v>
      </c>
      <c r="AB25" s="168">
        <f>населення!AB25+льготи!AB25+субсидии!AB25+'держ.бюджет'!AB25+'місц.-район.бюджет'!AB25+обласной!AB25+'госпрозрахунк.'!AB25</f>
        <v>0</v>
      </c>
      <c r="AC25" s="168">
        <f>населення!AC25+льготи!AC25+субсидии!AC25+'держ.бюджет'!AC25+'місц.-район.бюджет'!AC25+обласной!AC25+'госпрозрахунк.'!AC25</f>
        <v>17.4</v>
      </c>
      <c r="AD25" s="174" t="e">
        <f t="shared" si="6"/>
        <v>#DIV/0!</v>
      </c>
      <c r="AE25" s="168">
        <f>населення!AE25+льготи!AE25+субсидии!AE25+'держ.бюджет'!AE25+'місц.-район.бюджет'!AE25+обласной!AE25+'госпрозрахунк.'!AE25</f>
        <v>6.7</v>
      </c>
      <c r="AF25" s="168">
        <f>населення!AF25+льготи!AF25+субсидии!AF25+'держ.бюджет'!AF25+'місц.-район.бюджет'!AF25+обласной!AF25+'госпрозрахунк.'!AF25</f>
        <v>53.4</v>
      </c>
      <c r="AG25" s="174">
        <f>AF25/AE25*100</f>
        <v>797.0149253731342</v>
      </c>
      <c r="AH25" s="168">
        <f>населення!AH25+льготи!AH25+субсидии!AH25+'держ.бюджет'!AH25+'місц.-район.бюджет'!AH25+обласной!AH25+'госпрозрахунк.'!AH25</f>
        <v>6.7</v>
      </c>
      <c r="AI25" s="168">
        <f>населення!AI25+льготи!AI25+субсидии!AI25+'держ.бюджет'!AI25+'місц.-район.бюджет'!AI25+обласной!AI25+'госпрозрахунк.'!AI25</f>
        <v>84.8</v>
      </c>
      <c r="AJ25" s="168">
        <f>населення!AJ25+льготи!AJ25+субсидии!AJ25+'держ.бюджет'!AJ25+'місц.-район.бюджет'!AJ25+обласной!AJ25+'госпрозрахунк.'!AJ25</f>
        <v>13.4</v>
      </c>
      <c r="AK25" s="168">
        <f>населення!AK25+льготи!AK25+субсидии!AK25+'держ.бюджет'!AK25+'місц.-район.бюджет'!AK25+обласной!AK25+'госпрозрахунк.'!AK25</f>
        <v>155.60000000000002</v>
      </c>
      <c r="AL25" s="174">
        <f t="shared" si="7"/>
        <v>1161.1940298507466</v>
      </c>
      <c r="AM25" s="168">
        <f>населення!AM25+льготи!AM25+субсидии!AM25+'держ.бюджет'!AM25+'місц.-район.бюджет'!AM25+обласной!AM25+'госпрозрахунк.'!AM25</f>
        <v>261</v>
      </c>
      <c r="AN25" s="168">
        <f>населення!AN25+льготи!AN25+субсидии!AN25+'держ.бюджет'!AN25+'місц.-район.бюджет'!AN25+обласной!AN25+'госпрозрахунк.'!AN25</f>
        <v>138</v>
      </c>
      <c r="AO25" s="168">
        <f>населення!AO25+льготи!AO25+субсидии!AO25+'держ.бюджет'!AO25+'місц.-район.бюджет'!AO25+обласной!AO25+'госпрозрахунк.'!AO25</f>
        <v>738.1999999999999</v>
      </c>
      <c r="AP25" s="168">
        <f>населення!AP25+льготи!AP25+субсидии!AP25+'держ.бюджет'!AP25+'місц.-район.бюджет'!AP25+обласной!AP25+'госпрозрахунк.'!AP25</f>
        <v>375.9</v>
      </c>
      <c r="AQ25" s="168">
        <f>населення!AR25+льготи!AQ25+субсидии!AQ25+'держ.бюджет'!AQ25+'місц.-район.бюджет'!AQ25+обласной!AQ25+'госпрозрахунк.'!AQ25</f>
        <v>1039.7</v>
      </c>
      <c r="AR25" s="168">
        <f>населення!AS25+льготи!AR25+субсидии!AR25+'держ.бюджет'!AR25+'місц.-район.бюджет'!AR25+обласной!AR25+'госпрозрахунк.'!AR25</f>
        <v>2098.4</v>
      </c>
      <c r="AS25" s="168">
        <f>населення!AT25+льготи!AS25+субсидии!AS25+'держ.бюджет'!AS25+'місц.-район.бюджет'!AS25+обласной!AS25+'госпрозрахунк.'!AS25</f>
        <v>4961.6</v>
      </c>
      <c r="AT25" s="168">
        <f>населення!AU25+льготи!AT25+субсидии!AT25+'держ.бюджет'!AT25+'місц.-район.бюджет'!AT25+обласной!AT25+'госпрозрахунк.'!AT25</f>
        <v>5198.200000000001</v>
      </c>
      <c r="AU25" s="175">
        <f t="shared" si="12"/>
        <v>104.7686230248307</v>
      </c>
      <c r="AV25" s="168">
        <f>населення!AW25+льготи!AV25+субсидии!AV25+'держ.бюджет'!AV25+'місц.-район.бюджет'!AV25+обласной!AV25+'госпрозрахунк.'!AV25</f>
        <v>-236.60000000000014</v>
      </c>
      <c r="AW25" s="168">
        <f>населення!AX25+льготи!AW25+субсидии!AW25+'держ.бюджет'!AW25+'місц.-район.бюджет'!AW25+обласной!AW25+'госпрозрахунк.'!AW25</f>
        <v>-535.8000000000002</v>
      </c>
      <c r="AX25" s="169">
        <f t="shared" si="9"/>
        <v>4961.6</v>
      </c>
      <c r="AY25" s="169">
        <f t="shared" si="10"/>
        <v>5198.200000000001</v>
      </c>
      <c r="AZ25" s="169">
        <f t="shared" si="8"/>
        <v>-236.60000000000036</v>
      </c>
      <c r="BA25" s="169">
        <f t="shared" si="1"/>
        <v>-535.8000000000002</v>
      </c>
    </row>
    <row r="26" spans="1:53" ht="24.75" customHeight="1">
      <c r="A26" s="180">
        <v>19</v>
      </c>
      <c r="B26" s="177" t="s">
        <v>63</v>
      </c>
      <c r="C26" s="168">
        <f>населення!C26+льготи!C26+субсидии!C26+'держ.бюджет'!C26+'місц.-район.бюджет'!C26+обласной!C26+'госпрозрахунк.'!C26</f>
        <v>2389.9</v>
      </c>
      <c r="D26" s="172">
        <f>населення!D26+льготи!D26+субсидии!D26+'держ.бюджет'!D26+'місц.-район.бюджет'!D26+обласной!D26+'госпрозрахунк.'!D26</f>
        <v>1689.6</v>
      </c>
      <c r="E26" s="172">
        <f>населення!E26+льготи!E26+субсидии!E26+'держ.бюджет'!E26+'місц.-район.бюджет'!E26+обласной!E26+'госпрозрахунк.'!E26</f>
        <v>532.6</v>
      </c>
      <c r="F26" s="173">
        <f>E26/D26*100</f>
        <v>31.52225378787879</v>
      </c>
      <c r="G26" s="172">
        <f>населення!G26+льготи!G26+субсидии!G26+'держ.бюджет'!G26+'місц.-район.бюджет'!G26+обласной!G26+'госпрозрахунк.'!G26</f>
        <v>1383.1</v>
      </c>
      <c r="H26" s="172">
        <f>населення!H26+льготи!H26+субсидии!H26+'держ.бюджет'!H26+'місц.-район.бюджет'!H26+обласной!H26+'госпрозрахунк.'!H26</f>
        <v>1772.6</v>
      </c>
      <c r="I26" s="173">
        <f>H26/G26*100</f>
        <v>128.16137661774277</v>
      </c>
      <c r="J26" s="172">
        <f>населення!J26+льготи!J26+субсидии!J26+'держ.бюджет'!J26+'місц.-район.бюджет'!J26+обласной!J26+'госпрозрахунк.'!J26</f>
        <v>892.9</v>
      </c>
      <c r="K26" s="172">
        <f>населення!K26+льготи!K26+субсидии!K26+'держ.бюджет'!K26+'місц.-район.бюджет'!K26+обласной!K26+'госпрозрахунк.'!K26</f>
        <v>538.4</v>
      </c>
      <c r="L26" s="173">
        <f>K26/J26*100</f>
        <v>60.29790570052638</v>
      </c>
      <c r="M26" s="168">
        <f>населення!M26+льготи!M26+субсидии!M26+'держ.бюджет'!M26+'місц.-район.бюджет'!M26+обласной!M26+'госпрозрахунк.'!M26</f>
        <v>3965.6</v>
      </c>
      <c r="N26" s="168">
        <f>населення!N26+льготи!N26+субсидии!N26+'держ.бюджет'!N26+'місц.-район.бюджет'!N26+обласной!N26+'госпрозрахунк.'!N26</f>
        <v>2843.6</v>
      </c>
      <c r="O26" s="168">
        <f t="shared" si="4"/>
        <v>71.70667742586242</v>
      </c>
      <c r="P26" s="168">
        <f>населення!P26+льготи!P26+субсидии!P26+'держ.бюджет'!P26+'місц.-район.бюджет'!P26+обласной!P26+'госпрозрахунк.'!P26</f>
        <v>25.299999999999997</v>
      </c>
      <c r="Q26" s="168">
        <f>населення!Q26+льготи!Q26+субсидии!Q26+'держ.бюджет'!Q26+'місц.-район.бюджет'!Q26+обласной!Q26+'госпрозрахунк.'!Q26</f>
        <v>324.30000000000007</v>
      </c>
      <c r="R26" s="168">
        <f t="shared" si="5"/>
        <v>1281.8181818181822</v>
      </c>
      <c r="S26" s="168">
        <f>населення!S26+льготи!S26+субсидии!S26+'держ.бюджет'!S26+'місц.-район.бюджет'!S26+обласной!S26+'госпрозрахунк.'!S26</f>
        <v>13.799999999999997</v>
      </c>
      <c r="T26" s="168">
        <f>населення!T26+льготи!T26+субсидии!T26+'держ.бюджет'!T26+'місц.-район.бюджет'!T26+обласной!T26+'госпрозрахунк.'!T26</f>
        <v>740.3000000000001</v>
      </c>
      <c r="U26" s="168">
        <f>T26/S26*100</f>
        <v>5364.49275362319</v>
      </c>
      <c r="V26" s="168">
        <f>населення!V26+льготи!V26+субсидии!V26+'держ.бюджет'!V26+'місц.-район.бюджет'!V26+обласной!V26+'госпрозрахунк.'!V26</f>
        <v>0</v>
      </c>
      <c r="W26" s="168">
        <f>населення!W26+льготи!W26+субсидии!W26+'держ.бюджет'!W26+'місц.-район.бюджет'!W26+обласной!W26+'госпрозрахунк.'!W26</f>
        <v>544.8000000000001</v>
      </c>
      <c r="X26" s="174" t="e">
        <f>W26/V26*100</f>
        <v>#DIV/0!</v>
      </c>
      <c r="Y26" s="168">
        <f>населення!Y26+льготи!Y26+субсидии!Y26+'держ.бюджет'!Y26+'місц.-район.бюджет'!Y26+обласной!Y26+'госпрозрахунк.'!Y26</f>
        <v>39.099999999999994</v>
      </c>
      <c r="Z26" s="168">
        <f>населення!Z26+льготи!Z26+субсидии!Z26+'держ.бюджет'!Z26+'місц.-район.бюджет'!Z26+обласной!Z26+'госпрозрахунк.'!Z26</f>
        <v>1609.4</v>
      </c>
      <c r="AA26" s="168">
        <f>Z26/Y26*100</f>
        <v>4116.112531969311</v>
      </c>
      <c r="AB26" s="168">
        <f>населення!AB26+льготи!AB26+субсидии!AB26+'держ.бюджет'!AB26+'місц.-район.бюджет'!AB26+обласной!AB26+'госпрозрахунк.'!AB26</f>
        <v>0</v>
      </c>
      <c r="AC26" s="168">
        <f>населення!AC26+льготи!AC26+субсидии!AC26+'держ.бюджет'!AC26+'місц.-район.бюджет'!AC26+обласной!AC26+'госпрозрахунк.'!AC26</f>
        <v>22.3</v>
      </c>
      <c r="AD26" s="174" t="e">
        <f t="shared" si="6"/>
        <v>#DIV/0!</v>
      </c>
      <c r="AE26" s="168">
        <f>населення!AE26+льготи!AE26+субсидии!AE26+'держ.бюджет'!AE26+'місц.-район.бюджет'!AE26+обласной!AE26+'госпрозрахунк.'!AE26</f>
        <v>0</v>
      </c>
      <c r="AF26" s="168">
        <f>населення!AF26+льготи!AF26+субсидии!AF26+'держ.бюджет'!AF26+'місц.-район.бюджет'!AF26+обласной!AF26+'госпрозрахунк.'!AF26</f>
        <v>31.5</v>
      </c>
      <c r="AG26" s="174" t="e">
        <f>AF26/AE26*100</f>
        <v>#DIV/0!</v>
      </c>
      <c r="AH26" s="168">
        <f>населення!AH26+льготи!AH26+субсидии!AH26+'держ.бюджет'!AH26+'місц.-район.бюджет'!AH26+обласной!AH26+'госпрозрахунк.'!AH26</f>
        <v>0</v>
      </c>
      <c r="AI26" s="168">
        <f>населення!AI26+льготи!AI26+субсидии!AI26+'держ.бюджет'!AI26+'місц.-район.бюджет'!AI26+обласной!AI26+'госпрозрахунк.'!AI26</f>
        <v>39.2</v>
      </c>
      <c r="AJ26" s="168">
        <f>населення!AJ26+льготи!AJ26+субсидии!AJ26+'держ.бюджет'!AJ26+'місц.-район.бюджет'!AJ26+обласной!AJ26+'госпрозрахунк.'!AJ26</f>
        <v>0</v>
      </c>
      <c r="AK26" s="168">
        <f>населення!AK26+льготи!AK26+субсидии!AK26+'держ.бюджет'!AK26+'місц.-район.бюджет'!AK26+обласной!AK26+'госпрозрахунк.'!AK26</f>
        <v>93</v>
      </c>
      <c r="AL26" s="174" t="e">
        <f t="shared" si="7"/>
        <v>#DIV/0!</v>
      </c>
      <c r="AM26" s="168">
        <f>населення!AM26+льготи!AM26+субсидии!AM26+'держ.бюджет'!AM26+'місц.-район.бюджет'!AM26+обласной!AM26+'госпрозрахунк.'!AM26</f>
        <v>173.2</v>
      </c>
      <c r="AN26" s="168">
        <f>населення!AN26+льготи!AN26+субсидии!AN26+'держ.бюджет'!AN26+'місц.-район.бюджет'!AN26+обласной!AN26+'госпрозрахунк.'!AN26</f>
        <v>44</v>
      </c>
      <c r="AO26" s="168">
        <f>населення!AO26+льготи!AO26+субсидии!AO26+'держ.бюджет'!AO26+'місц.-район.бюджет'!AO26+обласной!AO26+'госпрозрахунк.'!AO26</f>
        <v>1226.4</v>
      </c>
      <c r="AP26" s="168">
        <f>населення!AP26+льготи!AP26+субсидии!AP26+'держ.бюджет'!AP26+'місц.-район.бюджет'!AP26+обласной!AP26+'госпрозрахунк.'!AP26</f>
        <v>768</v>
      </c>
      <c r="AQ26" s="168">
        <f>населення!AR26+льготи!AQ26+субсидии!AQ26+'держ.бюджет'!AQ26+'місц.-район.бюджет'!AQ26+обласной!AQ26+'госпрозрахунк.'!AQ26</f>
        <v>1616.7</v>
      </c>
      <c r="AR26" s="168">
        <f>населення!AS26+льготи!AR26+субсидии!AR26+'держ.бюджет'!AR26+'місц.-район.бюджет'!AR26+обласной!AR26+'госпрозрахунк.'!AR26</f>
        <v>2128</v>
      </c>
      <c r="AS26" s="168">
        <f>населення!AT26+льготи!AS26+субсидии!AS26+'держ.бюджет'!AS26+'місц.-район.бюджет'!AS26+обласной!AS26+'госпрозрахунк.'!AS26</f>
        <v>7021</v>
      </c>
      <c r="AT26" s="168">
        <f>населення!AU26+льготи!AT26+субсидии!AT26+'держ.бюджет'!AT26+'місц.-район.бюджет'!AT26+обласной!AT26+'госпрозрахунк.'!AT26</f>
        <v>7486</v>
      </c>
      <c r="AU26" s="175">
        <f t="shared" si="12"/>
        <v>106.62298817832219</v>
      </c>
      <c r="AV26" s="168">
        <f>населення!AW26+льготи!AV26+субсидии!AV26+'держ.бюджет'!AV26+'місц.-район.бюджет'!AV26+обласной!AV26+'госпрозрахунк.'!AV26</f>
        <v>-464.99999999999915</v>
      </c>
      <c r="AW26" s="168">
        <f>населення!AX26+льготи!AW26+субсидии!AW26+'держ.бюджет'!AW26+'місц.-район.бюджет'!AW26+обласной!AW26+'госпрозрахунк.'!AW26</f>
        <v>1924.9000000000017</v>
      </c>
      <c r="AX26" s="169">
        <f t="shared" si="9"/>
        <v>7020.999999999999</v>
      </c>
      <c r="AY26" s="169">
        <f t="shared" si="10"/>
        <v>7486</v>
      </c>
      <c r="AZ26" s="169">
        <f t="shared" si="8"/>
        <v>-465.0000000000009</v>
      </c>
      <c r="BA26" s="169">
        <f t="shared" si="1"/>
        <v>1924.8999999999996</v>
      </c>
    </row>
    <row r="27" spans="1:53" ht="30" customHeight="1">
      <c r="A27" s="180">
        <v>20</v>
      </c>
      <c r="B27" s="177" t="s">
        <v>93</v>
      </c>
      <c r="C27" s="168">
        <f>населення!C27+льготи!C27+субсидии!C27+'держ.бюджет'!C27+'місц.-район.бюджет'!C27+обласной!C27+'госпрозрахунк.'!C27</f>
        <v>6723</v>
      </c>
      <c r="D27" s="172">
        <f>населення!D27+льготи!D27+субсидии!D27+'держ.бюджет'!D27+'місц.-район.бюджет'!D27+обласной!D27+'госпрозрахунк.'!D27</f>
        <v>5169.6</v>
      </c>
      <c r="E27" s="172">
        <f>населення!E27+льготи!E27+субсидии!E27+'держ.бюджет'!E27+'місц.-район.бюджет'!E27+обласной!E27+'госпрозрахунк.'!E27</f>
        <v>5846.999999999999</v>
      </c>
      <c r="F27" s="182">
        <f>E27/D27*100</f>
        <v>113.10352831940574</v>
      </c>
      <c r="G27" s="172">
        <f>населення!G27+льготи!G27+субсидии!G27+'держ.бюджет'!G27+'місц.-район.бюджет'!G27+обласной!G27+'госпрозрахунк.'!G27</f>
        <v>5662.4</v>
      </c>
      <c r="H27" s="172">
        <f>населення!H27+льготи!H27+субсидии!H27+'держ.бюджет'!H27+'місц.-район.бюджет'!H27+обласной!H27+'госпрозрахунк.'!H27</f>
        <v>1534.8</v>
      </c>
      <c r="I27" s="173">
        <f>H27/G27*100</f>
        <v>27.10511443910709</v>
      </c>
      <c r="J27" s="172">
        <f>населення!J27+льготи!J27+субсидии!J27+'держ.бюджет'!J27+'місц.-район.бюджет'!J27+обласной!J27+'госпрозрахунк.'!J27</f>
        <v>2925.7000000000003</v>
      </c>
      <c r="K27" s="172">
        <f>населення!K27+льготи!K27+субсидии!K27+'держ.бюджет'!K27+'місц.-район.бюджет'!K27+обласной!K27+'госпрозрахунк.'!K27</f>
        <v>4860.400000000001</v>
      </c>
      <c r="L27" s="173">
        <f>K27/J27*100</f>
        <v>166.12776429572412</v>
      </c>
      <c r="M27" s="168">
        <f>населення!M27+льготи!M27+субсидии!M27+'держ.бюджет'!M27+'місц.-район.бюджет'!M27+обласной!M27+'госпрозрахунк.'!M27</f>
        <v>13757.700000000003</v>
      </c>
      <c r="N27" s="168">
        <f>населення!N27+льготи!N27+субсидии!N27+'держ.бюджет'!N27+'місц.-район.бюджет'!N27+обласной!N27+'госпрозрахунк.'!N27</f>
        <v>12242.2</v>
      </c>
      <c r="O27" s="168">
        <f t="shared" si="4"/>
        <v>88.98435058185596</v>
      </c>
      <c r="P27" s="168">
        <f>населення!P27+льготи!P27+субсидии!P27+'держ.бюджет'!P27+'місц.-район.бюджет'!P27+обласной!P27+'госпрозрахунк.'!P27</f>
        <v>104.80000000000001</v>
      </c>
      <c r="Q27" s="168">
        <f>населення!Q27+льготи!Q27+субсидии!Q27+'держ.бюджет'!Q27+'місц.-район.бюджет'!Q27+обласной!Q27+'госпрозрахунк.'!Q27</f>
        <v>1644.1</v>
      </c>
      <c r="R27" s="168">
        <f t="shared" si="5"/>
        <v>1568.797709923664</v>
      </c>
      <c r="S27" s="168">
        <f>населення!S27+льготи!S27+субсидии!S27+'держ.бюджет'!S27+'місц.-район.бюджет'!S27+обласной!S27+'госпрозрахунк.'!S27</f>
        <v>0</v>
      </c>
      <c r="T27" s="168">
        <f>населення!T27+льготи!T27+субсидии!T27+'держ.бюджет'!T27+'місц.-район.бюджет'!T27+обласной!T27+'госпрозрахунк.'!T27</f>
        <v>1728.9</v>
      </c>
      <c r="U27" s="168"/>
      <c r="V27" s="168">
        <f>населення!V27+льготи!V27+субсидии!V27+'держ.бюджет'!V27+'місц.-район.бюджет'!V27+обласной!V27+'госпрозрахунк.'!V27</f>
        <v>0</v>
      </c>
      <c r="W27" s="168">
        <f>населення!W27+льготи!W27+субсидии!W27+'держ.бюджет'!W27+'місц.-район.бюджет'!W27+обласной!W27+'госпрозрахунк.'!W27</f>
        <v>1915.5</v>
      </c>
      <c r="X27" s="168"/>
      <c r="Y27" s="168">
        <f>населення!Y27+льготи!Y27+субсидии!Y27+'держ.бюджет'!Y27+'місц.-район.бюджет'!Y27+обласной!Y27+'госпрозрахунк.'!Y27</f>
        <v>104.80000000000018</v>
      </c>
      <c r="Z27" s="168">
        <f>населення!Z27+льготи!Z27+субсидии!Z27+'держ.бюджет'!Z27+'місц.-район.бюджет'!Z27+обласной!Z27+'госпрозрахунк.'!Z27</f>
        <v>5288.500000000001</v>
      </c>
      <c r="AA27" s="168">
        <f>Z27/Y27*100</f>
        <v>5046.278625954191</v>
      </c>
      <c r="AB27" s="168">
        <f>населення!AB27+льготи!AB27+субсидии!AB27+'держ.бюджет'!AB27+'місц.-район.бюджет'!AB27+обласной!AB27+'госпрозрахунк.'!AB27</f>
        <v>-0.4</v>
      </c>
      <c r="AC27" s="168">
        <f>населення!AC27+льготи!AC27+субсидии!AC27+'держ.бюджет'!AC27+'місц.-район.бюджет'!AC27+обласной!AC27+'госпрозрахунк.'!AC27</f>
        <v>100.19999999999999</v>
      </c>
      <c r="AD27" s="179">
        <f t="shared" si="6"/>
        <v>-25049.999999999996</v>
      </c>
      <c r="AE27" s="168">
        <f>населення!AE27+льготи!AE27+субсидии!AE27+'держ.бюджет'!AE27+'місц.-район.бюджет'!AE27+обласной!AE27+'госпрозрахунк.'!AE27</f>
        <v>0</v>
      </c>
      <c r="AF27" s="168">
        <f>населення!AF27+льготи!AF27+субсидии!AF27+'держ.бюджет'!AF27+'місц.-район.бюджет'!AF27+обласной!AF27+'госпрозрахунк.'!AF27</f>
        <v>678.1999999999999</v>
      </c>
      <c r="AG27" s="174" t="e">
        <f>AF27/AE27*100</f>
        <v>#DIV/0!</v>
      </c>
      <c r="AH27" s="168">
        <f>населення!AH27+льготи!AH27+субсидии!AH27+'держ.бюджет'!AH27+'місц.-район.бюджет'!AH27+обласной!AH27+'госпрозрахунк.'!AH27</f>
        <v>0</v>
      </c>
      <c r="AI27" s="168">
        <f>населення!AI27+льготи!AI27+субсидии!AI27+'держ.бюджет'!AI27+'місц.-район.бюджет'!AI27+обласной!AI27+'госпрозрахунк.'!AI27</f>
        <v>79.9</v>
      </c>
      <c r="AJ27" s="168">
        <f>населення!AJ27+льготи!AJ27+субсидии!AJ27+'держ.бюджет'!AJ27+'місц.-район.бюджет'!AJ27+обласной!AJ27+'госпрозрахунк.'!AJ27</f>
        <v>-0.4</v>
      </c>
      <c r="AK27" s="168">
        <f>населення!AK27+льготи!AK27+субсидии!AK27+'держ.бюджет'!AK27+'місц.-район.бюджет'!AK27+обласной!AK27+'госпрозрахунк.'!AK27</f>
        <v>858.3</v>
      </c>
      <c r="AL27" s="174">
        <f t="shared" si="7"/>
        <v>-214574.99999999994</v>
      </c>
      <c r="AM27" s="168">
        <f>населення!AM27+льготи!AM27+субсидии!AM27+'держ.бюджет'!AM27+'місц.-район.бюджет'!AM27+обласной!AM27+'госпрозрахунк.'!AM27</f>
        <v>1180.3</v>
      </c>
      <c r="AN27" s="168">
        <f>населення!AN27+льготи!AN27+субсидии!AN27+'держ.бюджет'!AN27+'місц.-район.бюджет'!AN27+обласной!AN27+'госпрозрахунк.'!AN27</f>
        <v>79.5</v>
      </c>
      <c r="AO27" s="168">
        <f>населення!AO27+льготи!AO27+субсидии!AO27+'держ.бюджет'!AO27+'місц.-район.бюджет'!AO27+обласной!AO27+'госпрозрахунк.'!AO27</f>
        <v>3429.7</v>
      </c>
      <c r="AP27" s="168">
        <f>населення!AP27+льготи!AP27+субсидии!AP27+'держ.бюджет'!AP27+'місц.-район.бюджет'!AP27+обласной!AP27+'госпрозрахунк.'!AP27</f>
        <v>1139</v>
      </c>
      <c r="AQ27" s="168">
        <f>населення!AR27+льготи!AQ27+субсидии!AQ27+'держ.бюджет'!AQ27+'місц.-район.бюджет'!AQ27+обласной!AQ27+'госпрозрахунк.'!AQ27</f>
        <v>4940.4</v>
      </c>
      <c r="AR27" s="168">
        <f>населення!AS27+льготи!AR27+субсидии!AR27+'держ.бюджет'!AR27+'місц.-район.бюджет'!AR27+обласной!AR27+'госпрозрахунк.'!AR27</f>
        <v>2749.4</v>
      </c>
      <c r="AS27" s="168">
        <f>населення!AT27+льготи!AS27+субсидии!AS27+'держ.бюджет'!AS27+'місц.-район.бюджет'!AS27+обласной!AS27+'госпрозрахунк.'!AS27</f>
        <v>23412.500000000004</v>
      </c>
      <c r="AT27" s="168">
        <f>населення!AU27+льготи!AT27+субсидии!AT27+'держ.бюджет'!AT27+'місц.-район.бюджет'!AT27+обласной!AT27+'госпрозрахунк.'!AT27</f>
        <v>22356.899999999998</v>
      </c>
      <c r="AU27" s="175">
        <f t="shared" si="12"/>
        <v>95.4912973838761</v>
      </c>
      <c r="AV27" s="168">
        <f>населення!AW27+льготи!AV27+субсидии!AV27+'держ.бюджет'!AV27+'місц.-район.бюджет'!AV27+обласной!AV27+'госпрозрахунк.'!AV27</f>
        <v>1055.6000000000008</v>
      </c>
      <c r="AW27" s="168">
        <f>населення!AX27+льготи!AW27+субсидии!AW27+'держ.бюджет'!AW27+'місц.-район.бюджет'!AW27+обласной!AW27+'госпрозрахунк.'!AW27</f>
        <v>7778.600000000001</v>
      </c>
      <c r="AX27" s="169">
        <f t="shared" si="9"/>
        <v>23412.5</v>
      </c>
      <c r="AY27" s="169">
        <f t="shared" si="10"/>
        <v>22356.9</v>
      </c>
      <c r="AZ27" s="169">
        <f t="shared" si="8"/>
        <v>1055.5999999999985</v>
      </c>
      <c r="BA27" s="169">
        <f t="shared" si="1"/>
        <v>7778.5999999999985</v>
      </c>
    </row>
    <row r="28" spans="1:53" s="187" customFormat="1" ht="30.75" customHeight="1">
      <c r="A28" s="183">
        <v>21</v>
      </c>
      <c r="B28" s="184" t="s">
        <v>64</v>
      </c>
      <c r="C28" s="179">
        <f>населення!C28+льготи!C28+субсидии!C28+'держ.бюджет'!C28+'місц.-район.бюджет'!C28+обласной!C28+'госпрозрахунк.'!C28</f>
        <v>359</v>
      </c>
      <c r="D28" s="185">
        <f>населення!D28+льготи!D28+субсидии!D28+'держ.бюджет'!D28+'місц.-район.бюджет'!D28+обласной!D28+'госпрозрахунк.'!D28</f>
        <v>3827.4</v>
      </c>
      <c r="E28" s="185">
        <f>населення!E28+льготи!E28+субсидии!E28+'держ.бюджет'!E28+'місц.-район.бюджет'!E28+обласной!E28+'госпрозрахунк.'!E28</f>
        <v>2568.6000000000004</v>
      </c>
      <c r="F28" s="182">
        <f>E28/D28*100</f>
        <v>67.11083241887444</v>
      </c>
      <c r="G28" s="185">
        <f>населення!G28+льготи!G28+субсидии!G28+'держ.бюджет'!G28+'місц.-район.бюджет'!G28+обласной!G28+'госпрозрахунк.'!G28</f>
        <v>2289.2999999999997</v>
      </c>
      <c r="H28" s="185">
        <f>населення!H28+льготи!H28+субсидии!H28+'держ.бюджет'!H28+'місц.-район.бюджет'!H28+обласной!H28+'госпрозрахунк.'!H28</f>
        <v>2955.3</v>
      </c>
      <c r="I28" s="182">
        <f>H28/G28*100</f>
        <v>129.09186214126592</v>
      </c>
      <c r="J28" s="185">
        <f>населення!J28+льготи!J28+субсидии!J28+'держ.бюджет'!J28+'місц.-район.бюджет'!J28+обласной!J28+'госпрозрахунк.'!J28</f>
        <v>1351</v>
      </c>
      <c r="K28" s="185">
        <f>населення!K28+льготи!K28+субсидии!K28+'держ.бюджет'!K28+'місц.-район.бюджет'!K28+обласной!K28+'госпрозрахунк.'!K28</f>
        <v>1579.8000000000002</v>
      </c>
      <c r="L28" s="182">
        <f>K28/J28*100</f>
        <v>116.9356032568468</v>
      </c>
      <c r="M28" s="179">
        <f>населення!M28+льготи!M28+субсидии!M28+'держ.бюджет'!M28+'місц.-район.бюджет'!M28+обласной!M28+'госпрозрахунк.'!M28</f>
        <v>7467.700000000001</v>
      </c>
      <c r="N28" s="179">
        <f>населення!N28+льготи!N28+субсидии!N28+'держ.бюджет'!N28+'місц.-район.бюджет'!N28+обласной!N28+'госпрозрахунк.'!N28</f>
        <v>7103.700000000001</v>
      </c>
      <c r="O28" s="179">
        <f t="shared" si="4"/>
        <v>95.12567457182264</v>
      </c>
      <c r="P28" s="179">
        <f>населення!P28+льготи!P28+субсидии!P28+'держ.бюджет'!P28+'місц.-район.бюджет'!P28+обласной!P28+'госпрозрахунк.'!P28</f>
        <v>121.3</v>
      </c>
      <c r="Q28" s="179">
        <f>населення!Q28+льготи!Q28+субсидии!Q28+'держ.бюджет'!Q28+'місц.-район.бюджет'!Q28+обласной!Q28+'госпрозрахунк.'!Q28</f>
        <v>289.8</v>
      </c>
      <c r="R28" s="179">
        <f t="shared" si="5"/>
        <v>238.91178895300905</v>
      </c>
      <c r="S28" s="179">
        <f>населення!S28+льготи!S28+субсидии!S28+'держ.бюджет'!S28+'місц.-район.бюджет'!S28+обласной!S28+'госпрозрахунк.'!S28</f>
        <v>0</v>
      </c>
      <c r="T28" s="179">
        <f>населення!T28+льготи!T28+субсидии!T28+'держ.бюджет'!T28+'місц.-район.бюджет'!T28+обласной!T28+'госпрозрахунк.'!T28</f>
        <v>213</v>
      </c>
      <c r="U28" s="179"/>
      <c r="V28" s="179">
        <f>населення!V28+льготи!V28+субсидии!V28+'держ.бюджет'!V28+'місц.-район.бюджет'!V28+обласной!V28+'госпрозрахунк.'!V28</f>
        <v>0</v>
      </c>
      <c r="W28" s="179">
        <f>населення!W28+льготи!W28+субсидии!W28+'держ.бюджет'!W28+'місц.-район.бюджет'!W28+обласной!W28+'госпрозрахунк.'!W28</f>
        <v>366.40000000000003</v>
      </c>
      <c r="X28" s="179"/>
      <c r="Y28" s="179">
        <f>населення!Y28+льготи!Y28+субсидии!Y28+'держ.бюджет'!Y28+'місц.-район.бюджет'!Y28+обласной!Y28+'госпрозрахунк.'!Y28</f>
        <v>121.3</v>
      </c>
      <c r="Z28" s="179">
        <f>населення!Z28+льготи!Z28+субсидии!Z28+'держ.бюджет'!Z28+'місц.-район.бюджет'!Z28+обласной!Z28+'госпрозрахунк.'!Z28</f>
        <v>869.2</v>
      </c>
      <c r="AA28" s="179">
        <f>Z28/Y28*100</f>
        <v>716.570486397362</v>
      </c>
      <c r="AB28" s="179">
        <f>населення!AB28+льготи!AB28+субсидии!AB28+'держ.бюджет'!AB28+'місц.-район.бюджет'!AB28+обласной!AB28+'госпрозрахунк.'!AB28</f>
        <v>0</v>
      </c>
      <c r="AC28" s="179">
        <f>населення!AC28+льготи!AC28+субсидии!AC28+'держ.бюджет'!AC28+'місц.-район.бюджет'!AC28+обласной!AC28+'госпрозрахунк.'!AC28</f>
        <v>0</v>
      </c>
      <c r="AD28" s="179">
        <v>0</v>
      </c>
      <c r="AE28" s="179">
        <f>населення!AE28+льготи!AE28+субсидии!AE28+'держ.бюджет'!AE28+'місц.-район.бюджет'!AE28+обласной!AE28+'госпрозрахунк.'!AE28</f>
        <v>0</v>
      </c>
      <c r="AF28" s="179">
        <f>населення!AF28+льготи!AF28+субсидии!AF28+'держ.бюджет'!AF28+'місц.-район.бюджет'!AF28+обласной!AF28+'госпрозрахунк.'!AF28</f>
        <v>0</v>
      </c>
      <c r="AG28" s="179">
        <v>0</v>
      </c>
      <c r="AH28" s="179">
        <f>населення!AH28+льготи!AH28+субсидии!AH28+'держ.бюджет'!AH28+'місц.-район.бюджет'!AH28+обласной!AH28+'госпрозрахунк.'!AH28</f>
        <v>0</v>
      </c>
      <c r="AI28" s="179">
        <f>населення!AI28+льготи!AI28+субсидии!AI28+'держ.бюджет'!AI28+'місц.-район.бюджет'!AI28+обласной!AI28+'госпрозрахунк.'!AI28</f>
        <v>0</v>
      </c>
      <c r="AJ28" s="168">
        <f>населення!AJ28+льготи!AJ28+субсидии!AJ28+'держ.бюджет'!AJ28+'місц.-район.бюджет'!AJ28+обласной!AJ28+'госпрозрахунк.'!AJ28</f>
        <v>0</v>
      </c>
      <c r="AK28" s="168">
        <f>населення!AK28+льготи!AK28+субсидии!AK28+'держ.бюджет'!AK28+'місц.-район.бюджет'!AK28+обласной!AK28+'госпрозрахунк.'!AK28</f>
        <v>0</v>
      </c>
      <c r="AL28" s="174" t="e">
        <f t="shared" si="7"/>
        <v>#DIV/0!</v>
      </c>
      <c r="AM28" s="168">
        <f>населення!AM28+льготи!AM28+субсидии!AM28+'держ.бюджет'!AM28+'місц.-район.бюджет'!AM28+обласной!AM28+'госпрозрахунк.'!AM28</f>
        <v>1080.6999999999998</v>
      </c>
      <c r="AN28" s="168">
        <f>населення!AN28+льготи!AN28+субсидии!AN28+'держ.бюджет'!AN28+'місц.-район.бюджет'!AN28+обласной!AN28+'госпрозрахунк.'!AN28</f>
        <v>0</v>
      </c>
      <c r="AO28" s="168">
        <f>населення!AO28+льготи!AO28+субсидии!AO28+'держ.бюджет'!AO28+'місц.-район.бюджет'!AO28+обласной!AO28+'госпрозрахунк.'!AO28</f>
        <v>2230.5</v>
      </c>
      <c r="AP28" s="168">
        <f>населення!AP28+льготи!AP28+субсидии!AP28+'держ.бюджет'!AP28+'місц.-район.бюджет'!AP28+обласной!AP28+'госпрозрахунк.'!AP28</f>
        <v>2625.1000000000004</v>
      </c>
      <c r="AQ28" s="168">
        <f>населення!AR28+льготи!AQ28+субсидии!AQ28+'держ.бюджет'!AQ28+'місц.-район.бюджет'!AQ28+обласной!AQ28+'госпрозрахунк.'!AQ28</f>
        <v>2426.1000000000004</v>
      </c>
      <c r="AR28" s="168">
        <f>населення!AS28+льготи!AR28+субсидии!AR28+'держ.бюджет'!AR28+'місц.-район.бюджет'!AR28+обласной!AR28+'госпрозрахунк.'!AR28</f>
        <v>3569.4</v>
      </c>
      <c r="AS28" s="179">
        <f>населення!AT28+льготи!AS28+субсидии!AS28+'держ.бюджет'!AS28+'місц.-район.бюджет'!AS28+обласной!AS28+'госпрозрахунк.'!AS28</f>
        <v>13326.300000000001</v>
      </c>
      <c r="AT28" s="179">
        <f>населення!AU28+льготи!AT28+субсидии!AT28+'держ.бюджет'!AT28+'місц.-район.бюджет'!AT28+обласной!AT28+'госпрозрахунк.'!AT28</f>
        <v>14167.4</v>
      </c>
      <c r="AU28" s="175">
        <f t="shared" si="12"/>
        <v>106.3115793581114</v>
      </c>
      <c r="AV28" s="179">
        <f>населення!AW28+льготи!AV28+субсидии!AV28+'держ.бюджет'!AV28+'місц.-район.бюджет'!AV28+обласной!AV28+'госпрозрахунк.'!AV28</f>
        <v>-841.0999999999995</v>
      </c>
      <c r="AW28" s="179">
        <f>населення!AX28+льготи!AW28+субсидии!AW28+'держ.бюджет'!AW28+'місц.-район.бюджет'!AW28+обласной!AW28+'госпрозрахунк.'!AW28</f>
        <v>-482.0999999999991</v>
      </c>
      <c r="AX28" s="169">
        <f t="shared" si="9"/>
        <v>13326.300000000001</v>
      </c>
      <c r="AY28" s="169">
        <f t="shared" si="10"/>
        <v>14167.4</v>
      </c>
      <c r="AZ28" s="186">
        <f t="shared" si="8"/>
        <v>-841.0999999999985</v>
      </c>
      <c r="BA28" s="186">
        <f t="shared" si="1"/>
        <v>-482.09999999999854</v>
      </c>
    </row>
    <row r="29" spans="1:53" ht="24.75" customHeight="1">
      <c r="A29" s="180">
        <v>22</v>
      </c>
      <c r="B29" s="171" t="s">
        <v>65</v>
      </c>
      <c r="C29" s="168"/>
      <c r="D29" s="188"/>
      <c r="E29" s="188"/>
      <c r="F29" s="188"/>
      <c r="G29" s="188"/>
      <c r="H29" s="188"/>
      <c r="I29" s="188"/>
      <c r="J29" s="172"/>
      <c r="K29" s="172"/>
      <c r="L29" s="18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75"/>
      <c r="AV29" s="168"/>
      <c r="AW29" s="168"/>
      <c r="AX29" s="169">
        <f t="shared" si="9"/>
        <v>0</v>
      </c>
      <c r="AY29" s="169">
        <f t="shared" si="10"/>
        <v>0</v>
      </c>
      <c r="AZ29" s="169">
        <f t="shared" si="8"/>
        <v>0</v>
      </c>
      <c r="BA29" s="169">
        <f t="shared" si="1"/>
        <v>0</v>
      </c>
    </row>
    <row r="30" spans="1:53" ht="24.75" customHeight="1">
      <c r="A30" s="180">
        <v>23</v>
      </c>
      <c r="B30" s="177" t="s">
        <v>66</v>
      </c>
      <c r="C30" s="168"/>
      <c r="D30" s="188"/>
      <c r="E30" s="188"/>
      <c r="F30" s="188"/>
      <c r="G30" s="188"/>
      <c r="H30" s="188"/>
      <c r="I30" s="188"/>
      <c r="J30" s="172"/>
      <c r="K30" s="172"/>
      <c r="L30" s="18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75"/>
      <c r="AV30" s="168"/>
      <c r="AW30" s="168"/>
      <c r="AX30" s="169">
        <f t="shared" si="9"/>
        <v>0</v>
      </c>
      <c r="AY30" s="169">
        <f t="shared" si="10"/>
        <v>0</v>
      </c>
      <c r="AZ30" s="169">
        <f t="shared" si="8"/>
        <v>0</v>
      </c>
      <c r="BA30" s="169">
        <f t="shared" si="1"/>
        <v>0</v>
      </c>
    </row>
    <row r="31" spans="1:53" ht="24.75" customHeight="1">
      <c r="A31" s="180">
        <v>24</v>
      </c>
      <c r="B31" s="177" t="s">
        <v>67</v>
      </c>
      <c r="C31" s="168"/>
      <c r="D31" s="188"/>
      <c r="E31" s="188"/>
      <c r="F31" s="188"/>
      <c r="G31" s="188"/>
      <c r="H31" s="188"/>
      <c r="I31" s="188"/>
      <c r="J31" s="172"/>
      <c r="K31" s="172"/>
      <c r="L31" s="18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75"/>
      <c r="AV31" s="168"/>
      <c r="AW31" s="168"/>
      <c r="AX31" s="169">
        <f t="shared" si="9"/>
        <v>0</v>
      </c>
      <c r="AY31" s="169">
        <f t="shared" si="10"/>
        <v>0</v>
      </c>
      <c r="AZ31" s="169">
        <f t="shared" si="8"/>
        <v>0</v>
      </c>
      <c r="BA31" s="169">
        <f t="shared" si="1"/>
        <v>0</v>
      </c>
    </row>
    <row r="32" spans="1:53" ht="24.75" customHeight="1">
      <c r="A32" s="180">
        <v>25</v>
      </c>
      <c r="B32" s="177" t="s">
        <v>68</v>
      </c>
      <c r="C32" s="168"/>
      <c r="D32" s="189"/>
      <c r="E32" s="189"/>
      <c r="F32" s="189"/>
      <c r="G32" s="190"/>
      <c r="H32" s="190"/>
      <c r="I32" s="189"/>
      <c r="J32" s="172"/>
      <c r="K32" s="172"/>
      <c r="L32" s="189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75"/>
      <c r="AV32" s="168"/>
      <c r="AW32" s="168"/>
      <c r="AX32" s="169">
        <f t="shared" si="9"/>
        <v>0</v>
      </c>
      <c r="AY32" s="169">
        <f t="shared" si="10"/>
        <v>0</v>
      </c>
      <c r="AZ32" s="169">
        <f t="shared" si="8"/>
        <v>0</v>
      </c>
      <c r="BA32" s="169">
        <f t="shared" si="1"/>
        <v>0</v>
      </c>
    </row>
    <row r="33" spans="1:53" ht="24.75" customHeight="1">
      <c r="A33" s="170"/>
      <c r="B33" s="177" t="s">
        <v>104</v>
      </c>
      <c r="C33" s="168">
        <f>населення!C33+льготи!C33+субсидии!C33+'держ.бюджет'!C33+'місц.-район.бюджет'!C33+обласной!C33+'госпрозрахунк.'!C33</f>
        <v>29321.3</v>
      </c>
      <c r="D33" s="172">
        <f>населення!D33+льготи!D33+субсидии!D33+'держ.бюджет'!D33+'місц.-район.бюджет'!D33+обласной!D33+'госпрозрахунк.'!D33</f>
        <v>22307.899999999998</v>
      </c>
      <c r="E33" s="172">
        <f>населення!E33+льготи!E33+субсидии!E33+'держ.бюджет'!E33+'місц.-район.бюджет'!E33+обласной!E33+'госпрозрахунк.'!E33</f>
        <v>11600.2</v>
      </c>
      <c r="F33" s="173">
        <f>E33/D33*100</f>
        <v>52.000412409953434</v>
      </c>
      <c r="G33" s="172">
        <f>населення!G33+льготи!G33+субсидии!G33+'держ.бюджет'!G33+'місц.-район.бюджет'!G33+обласной!G33+'госпрозрахунк.'!G33</f>
        <v>17663.2</v>
      </c>
      <c r="H33" s="172">
        <f>населення!H33+льготи!H33+субсидии!H33+'держ.бюджет'!H33+'місц.-район.бюджет'!H33+обласной!H33+'госпрозрахунк.'!H33</f>
        <v>14745.699999999997</v>
      </c>
      <c r="I33" s="173">
        <f aca="true" t="shared" si="13" ref="I33:I45">H33/G33*100</f>
        <v>83.48260790796682</v>
      </c>
      <c r="J33" s="172">
        <f>населення!J33+льготи!J33+субсидии!J33+'держ.бюджет'!J33+'місц.-район.бюджет'!J33+обласной!J33+'госпрозрахунк.'!J33</f>
        <v>7861.4</v>
      </c>
      <c r="K33" s="172">
        <f>населення!K33+льготи!K33+субсидии!K33+'держ.бюджет'!K33+'місц.-район.бюджет'!K33+обласной!K33+'госпрозрахунк.'!K33</f>
        <v>12349.5</v>
      </c>
      <c r="L33" s="173">
        <f aca="true" t="shared" si="14" ref="L33:L45">K33/J33*100</f>
        <v>157.09034014297708</v>
      </c>
      <c r="M33" s="168">
        <f>населення!M33+льготи!M33+субсидии!M33+'держ.бюджет'!M33+'місц.-район.бюджет'!M33+обласной!M33+'госпрозрахунк.'!M33</f>
        <v>47832.49999999999</v>
      </c>
      <c r="N33" s="168">
        <f>населення!N33+льготи!N33+субсидии!N33+'держ.бюджет'!N33+'місц.-район.бюджет'!N33+обласной!N33+'госпрозрахунк.'!N33</f>
        <v>38695.399999999994</v>
      </c>
      <c r="O33" s="168">
        <f t="shared" si="4"/>
        <v>80.89771598808342</v>
      </c>
      <c r="P33" s="168">
        <f>населення!P33+льготи!P33+субсидии!P33+'держ.бюджет'!P33+'місц.-район.бюджет'!P33+обласной!P33+'госпрозрахунк.'!P33</f>
        <v>1062.3</v>
      </c>
      <c r="Q33" s="168">
        <f>населення!Q33+льготи!Q33+субсидии!Q33+'держ.бюджет'!Q33+'місц.-район.бюджет'!Q33+обласной!Q33+'госпрозрахунк.'!Q33</f>
        <v>9040.5</v>
      </c>
      <c r="R33" s="168">
        <f t="shared" si="5"/>
        <v>851.0307822648971</v>
      </c>
      <c r="S33" s="168">
        <f>населення!S33+льготи!S33+субсидии!S33+'держ.бюджет'!S33+'місц.-район.бюджет'!S33+обласной!S33+'госпрозрахунк.'!S33</f>
        <v>-127.39999999999962</v>
      </c>
      <c r="T33" s="168">
        <f>населення!T33+льготи!T33+субсидии!T33+'держ.бюджет'!T33+'місц.-район.бюджет'!T33+обласной!T33+'госпрозрахунк.'!T33</f>
        <v>1475.4999999999998</v>
      </c>
      <c r="U33" s="168">
        <f>T33/S33*100</f>
        <v>-1158.1632653061258</v>
      </c>
      <c r="V33" s="168">
        <f>населення!V33+льготи!V33+субсидии!V33+'держ.бюджет'!V33+'місц.-район.бюджет'!V33+обласной!V33+'госпрозрахунк.'!V33</f>
        <v>39.09999999999998</v>
      </c>
      <c r="W33" s="168">
        <f>населення!W33+льготи!W33+субсидии!W33+'держ.бюджет'!W33+'місц.-район.бюджет'!W33+обласной!W33+'госпрозрахунк.'!W33</f>
        <v>862.2</v>
      </c>
      <c r="X33" s="168">
        <f>W33/V33*100</f>
        <v>2205.1150895140677</v>
      </c>
      <c r="Y33" s="168">
        <f>населення!Y33+льготи!Y33+субсидии!Y33+'держ.бюджет'!Y33+'місц.-район.бюджет'!Y33+обласной!Y33+'госпрозрахунк.'!Y33</f>
        <v>974</v>
      </c>
      <c r="Z33" s="168">
        <f>населення!Z33+льготи!Z33+субсидии!Z33+'держ.бюджет'!Z33+'місц.-район.бюджет'!Z33+обласной!Z33+'госпрозрахунк.'!Z33</f>
        <v>11378.2</v>
      </c>
      <c r="AA33" s="168">
        <f aca="true" t="shared" si="15" ref="AA33:AA46">Z33/Y33*100</f>
        <v>1168.1930184804928</v>
      </c>
      <c r="AB33" s="168">
        <f>населення!AB33+льготи!AB33+субсидии!AB33+'держ.бюджет'!AB33+'місц.-район.бюджет'!AB33+обласной!AB33+'госпрозрахунк.'!AB33</f>
        <v>31.6</v>
      </c>
      <c r="AC33" s="168">
        <f>населення!AC33+льготи!AC33+субсидии!AC33+'держ.бюджет'!AC33+'місц.-район.бюджет'!AC33+обласной!AC33+'госпрозрахунк.'!AC33</f>
        <v>194.20000000000002</v>
      </c>
      <c r="AD33" s="168">
        <f t="shared" si="6"/>
        <v>614.5569620253165</v>
      </c>
      <c r="AE33" s="168">
        <f>населення!AE33+льготи!AE33+субсидии!AE33+'держ.бюджет'!AE33+'місц.-район.бюджет'!AE33+обласной!AE33+'госпрозрахунк.'!AE33</f>
        <v>-8.881784197001252E-16</v>
      </c>
      <c r="AF33" s="168">
        <f>населення!AF33+льготи!AF33+субсидии!AF33+'держ.бюджет'!AF33+'місц.-район.бюджет'!AF33+обласной!AF33+'госпрозрахунк.'!AF33</f>
        <v>1618.2</v>
      </c>
      <c r="AG33" s="174">
        <f aca="true" t="shared" si="16" ref="AG33:AG46">AF33/AE33*100</f>
        <v>-1.821931229252734E+20</v>
      </c>
      <c r="AH33" s="168">
        <f>населення!AH33+льготи!AH33+субсидии!AH33+'держ.бюджет'!AH33+'місц.-район.бюджет'!AH33+обласной!AH33+'госпрозрахунк.'!AH33</f>
        <v>145.1</v>
      </c>
      <c r="AI33" s="168">
        <f>населення!AI33+льготи!AI33+субсидии!AI33+'держ.бюджет'!AI33+'місц.-район.бюджет'!AI33+обласной!AI33+'госпрозрахунк.'!AI33</f>
        <v>2881.5</v>
      </c>
      <c r="AJ33" s="168">
        <f>населення!AJ33+льготи!AJ33+субсидии!AJ33+'держ.бюджет'!AJ33+'місц.-район.бюджет'!AJ33+обласной!AJ33+'госпрозрахунк.'!AJ33</f>
        <v>176.7</v>
      </c>
      <c r="AK33" s="168">
        <f>населення!AK33+льготи!AK33+субсидии!AK33+'держ.бюджет'!AK33+'місц.-район.бюджет'!AK33+обласной!AK33+'госпрозрахунк.'!AK33</f>
        <v>4693.900000000001</v>
      </c>
      <c r="AL33" s="174">
        <f t="shared" si="7"/>
        <v>2656.423316355405</v>
      </c>
      <c r="AM33" s="168">
        <f>населення!AM33+льготи!AM33+субсидии!AM33+'держ.бюджет'!AM33+'місц.-район.бюджет'!AM33+обласной!AM33+'госпрозрахунк.'!AM33</f>
        <v>2814.9</v>
      </c>
      <c r="AN33" s="168">
        <f>населення!AN33+льготи!AN33+субсидии!AN33+'держ.бюджет'!AN33+'місц.-район.бюджет'!AN33+обласной!AN33+'госпрозрахунк.'!AN33</f>
        <v>5906.6</v>
      </c>
      <c r="AO33" s="168">
        <f>населення!AO33+льготи!AO33+субсидии!AO33+'держ.бюджет'!AO33+'місц.-район.бюджет'!AO33+обласной!AO33+'госпрозрахунк.'!AO33</f>
        <v>6531.400000000001</v>
      </c>
      <c r="AP33" s="168">
        <f>населення!AP33+льготи!AP33+субсидии!AP33+'держ.бюджет'!AP33+'місц.-район.бюджет'!AP33+обласной!AP33+'госпрозрахунк.'!AP33</f>
        <v>3375.7999999999997</v>
      </c>
      <c r="AQ33" s="168">
        <f>населення!AR33+льготи!AQ33+субсидии!AQ33+'держ.бюджет'!AQ33+'місц.-район.бюджет'!AQ33+обласной!AQ33+'госпрозрахунк.'!AQ33</f>
        <v>6698.599999999999</v>
      </c>
      <c r="AR33" s="168">
        <f>населення!AS33+льготи!AR33+субсидии!AR33+'держ.бюджет'!AR33+'місц.-район.бюджет'!AR33+обласной!AR33+'госпрозрахунк.'!AR33</f>
        <v>9583.900000000001</v>
      </c>
      <c r="AS33" s="168">
        <f>населення!AT33+льготи!AS33+субсидии!AS33+'держ.бюджет'!AS33+'місц.-район.бюджет'!AS33+обласной!AS33+'госпрозрахунк.'!AS33</f>
        <v>65028.1</v>
      </c>
      <c r="AT33" s="168">
        <f>населення!AU33+льготи!AT33+субсидии!AT33+'держ.бюджет'!AT33+'місц.-район.бюджет'!AT33+обласной!AT33+'госпрозрахунк.'!AT33</f>
        <v>73633.79999999999</v>
      </c>
      <c r="AU33" s="175">
        <f aca="true" t="shared" si="17" ref="AU33:AU46">AT33/AS33*100</f>
        <v>113.23381738048626</v>
      </c>
      <c r="AV33" s="168">
        <f>населення!AW33+льготи!AV33+субсидии!AV33+'держ.бюджет'!AV33+'місц.-район.бюджет'!AV33+обласной!AV33+'госпрозрахунк.'!AV33</f>
        <v>-8605.700000000006</v>
      </c>
      <c r="AW33" s="168">
        <f>населення!AX33+льготи!AW33+субсидии!AW33+'держ.бюджет'!AW33+'місц.-район.бюджет'!AW33+обласной!AW33+'госпрозрахунк.'!AW33</f>
        <v>20715.59999999999</v>
      </c>
      <c r="AX33" s="169">
        <f t="shared" si="9"/>
        <v>65028.09999999999</v>
      </c>
      <c r="AY33" s="169">
        <f t="shared" si="10"/>
        <v>73633.79999999999</v>
      </c>
      <c r="AZ33" s="169">
        <f t="shared" si="8"/>
        <v>-8605.699999999997</v>
      </c>
      <c r="BA33" s="169">
        <f t="shared" si="1"/>
        <v>20715.600000000006</v>
      </c>
    </row>
    <row r="34" spans="1:53" ht="24.75" customHeight="1">
      <c r="A34" s="180"/>
      <c r="B34" s="177" t="s">
        <v>69</v>
      </c>
      <c r="C34" s="168">
        <f>населення!C34+льготи!C34+субсидии!C34+'держ.бюджет'!C34+'місц.-район.бюджет'!C34+обласной!C34+'госпрозрахунк.'!C34</f>
        <v>20.500000000000007</v>
      </c>
      <c r="D34" s="172">
        <f>населення!D34+льготи!D34+субсидии!D34+'держ.бюджет'!D34+'місц.-район.бюджет'!D34+обласной!D34+'госпрозрахунк.'!D34</f>
        <v>616.4</v>
      </c>
      <c r="E34" s="172">
        <f>населення!E34+льготи!E34+субсидии!E34+'держ.бюджет'!E34+'місц.-район.бюджет'!E34+обласной!E34+'госпрозрахунк.'!E34</f>
        <v>0</v>
      </c>
      <c r="F34" s="173">
        <f aca="true" t="shared" si="18" ref="F34:F43">E34/D34*100</f>
        <v>0</v>
      </c>
      <c r="G34" s="172">
        <f>населення!G34+льготи!G34+субсидии!G34+'держ.бюджет'!G34+'місц.-район.бюджет'!G34+обласной!G34+'госпрозрахунк.'!G34</f>
        <v>908.4</v>
      </c>
      <c r="H34" s="172">
        <f>населення!H34+льготи!H34+субсидии!H34+'держ.бюджет'!H34+'місц.-район.бюджет'!H34+обласной!H34+'госпрозрахунк.'!H34</f>
        <v>100.7</v>
      </c>
      <c r="I34" s="173">
        <f t="shared" si="13"/>
        <v>11.085424922941437</v>
      </c>
      <c r="J34" s="172">
        <f>населення!J34+льготи!J34+субсидии!J34+'держ.бюджет'!J34+'місц.-район.бюджет'!J34+обласной!J34+'госпрозрахунк.'!J34</f>
        <v>670</v>
      </c>
      <c r="K34" s="172">
        <f>населення!K34+льготи!K34+субсидии!K34+'держ.бюджет'!K34+'місц.-район.бюджет'!K34+обласной!K34+'госпрозрахунк.'!K34</f>
        <v>2015.1</v>
      </c>
      <c r="L34" s="173">
        <f t="shared" si="14"/>
        <v>300.76119402985074</v>
      </c>
      <c r="M34" s="168">
        <f>населення!M34+льготи!M34+субсидии!M34+'держ.бюджет'!M34+'місц.-район.бюджет'!M34+обласной!M34+'госпрозрахунк.'!M34</f>
        <v>2194.8</v>
      </c>
      <c r="N34" s="168">
        <f>населення!N34+льготи!N34+субсидии!N34+'держ.бюджет'!N34+'місц.-район.бюджет'!N34+обласной!N34+'госпрозрахунк.'!N34</f>
        <v>2115.8</v>
      </c>
      <c r="O34" s="168">
        <f t="shared" si="4"/>
        <v>96.40058319664662</v>
      </c>
      <c r="P34" s="168">
        <f>населення!P34+льготи!P34+субсидии!P34+'держ.бюджет'!P34+'місц.-район.бюджет'!P34+обласной!P34+'госпрозрахунк.'!P34</f>
        <v>80.39999999999999</v>
      </c>
      <c r="Q34" s="168">
        <f>населення!Q34+льготи!Q34+субсидии!Q34+'держ.бюджет'!Q34+'місц.-район.бюджет'!Q34+обласной!Q34+'госпрозрахунк.'!Q34</f>
        <v>107.3</v>
      </c>
      <c r="R34" s="168">
        <f t="shared" si="5"/>
        <v>133.4577114427861</v>
      </c>
      <c r="S34" s="168">
        <f>населення!S34+льготи!S34+субсидии!S34+'держ.бюджет'!S34+'місц.-район.бюджет'!S34+обласной!S34+'госпрозрахунк.'!S34</f>
        <v>27.8</v>
      </c>
      <c r="T34" s="168">
        <f>населення!T34+льготи!T34+субсидии!T34+'держ.бюджет'!T34+'місц.-район.бюджет'!T34+обласной!T34+'госпрозрахунк.'!T34</f>
        <v>0</v>
      </c>
      <c r="U34" s="168">
        <f>T34/S34*100</f>
        <v>0</v>
      </c>
      <c r="V34" s="168">
        <f>населення!V34+льготи!V34+субсидии!V34+'держ.бюджет'!V34+'місц.-район.бюджет'!V34+обласной!V34+'госпрозрахунк.'!V34</f>
        <v>30</v>
      </c>
      <c r="W34" s="168">
        <f>населення!W34+льготи!W34+субсидии!W34+'держ.бюджет'!W34+'місц.-район.бюджет'!W34+обласной!W34+'госпрозрахунк.'!W34</f>
        <v>57.7</v>
      </c>
      <c r="X34" s="168">
        <f>W34/V34*100</f>
        <v>192.33333333333334</v>
      </c>
      <c r="Y34" s="168">
        <f>населення!Y34+льготи!Y34+субсидии!Y34+'держ.бюджет'!Y34+'місц.-район.бюджет'!Y34+обласной!Y34+'госпрозрахунк.'!Y34</f>
        <v>138.2</v>
      </c>
      <c r="Z34" s="168">
        <f>населення!Z34+льготи!Z34+субсидии!Z34+'держ.бюджет'!Z34+'місц.-район.бюджет'!Z34+обласной!Z34+'госпрозрахунк.'!Z34</f>
        <v>165</v>
      </c>
      <c r="AA34" s="168">
        <f t="shared" si="15"/>
        <v>119.39218523878439</v>
      </c>
      <c r="AB34" s="168">
        <f>населення!AB34+льготи!AB34+субсидии!AB34+'держ.бюджет'!AB34+'місц.-район.бюджет'!AB34+обласной!AB34+'госпрозрахунк.'!AB34</f>
        <v>29.9</v>
      </c>
      <c r="AC34" s="168">
        <f>населення!AC34+льготи!AC34+субсидии!AC34+'держ.бюджет'!AC34+'місц.-район.бюджет'!AC34+обласной!AC34+'госпрозрахунк.'!AC34</f>
        <v>29.9</v>
      </c>
      <c r="AD34" s="168">
        <f t="shared" si="6"/>
        <v>100</v>
      </c>
      <c r="AE34" s="168">
        <f>населення!AE34+льготи!AE34+субсидии!AE34+'держ.бюджет'!AE34+'місц.-район.бюджет'!AE34+обласной!AE34+'госпрозрахунк.'!AE34</f>
        <v>21.7</v>
      </c>
      <c r="AF34" s="168">
        <f>населення!AF34+льготи!AF34+субсидии!AF34+'держ.бюджет'!AF34+'місц.-район.бюджет'!AF34+обласной!AF34+'госпрозрахунк.'!AF34</f>
        <v>21.7</v>
      </c>
      <c r="AG34" s="168">
        <f t="shared" si="16"/>
        <v>100</v>
      </c>
      <c r="AH34" s="168">
        <f>населення!AH34+льготи!AH34+субсидии!AH34+'держ.бюджет'!AH34+'місц.-район.бюджет'!AH34+обласной!AH34+'госпрозрахунк.'!AH34</f>
        <v>22.3</v>
      </c>
      <c r="AI34" s="168">
        <f>населення!AI34+льготи!AI34+субсидии!AI34+'держ.бюджет'!AI34+'місц.-район.бюджет'!AI34+обласной!AI34+'госпрозрахунк.'!AI34</f>
        <v>22.3</v>
      </c>
      <c r="AJ34" s="168">
        <f>населення!AJ34+льготи!AJ34+субсидии!AJ34+'держ.бюджет'!AJ34+'місц.-район.бюджет'!AJ34+обласной!AJ34+'госпрозрахунк.'!AJ34</f>
        <v>73.89999999999999</v>
      </c>
      <c r="AK34" s="168">
        <f>населення!AK34+льготи!AK34+субсидии!AK34+'держ.бюджет'!AK34+'місц.-район.бюджет'!AK34+обласной!AK34+'госпрозрахунк.'!AK34</f>
        <v>73.89999999999999</v>
      </c>
      <c r="AL34" s="168">
        <f t="shared" si="7"/>
        <v>100</v>
      </c>
      <c r="AM34" s="168">
        <f>населення!AM34+льготи!AM34+субсидии!AM34+'держ.бюджет'!AM34+'місц.-район.бюджет'!AM34+обласной!AM34+'госпрозрахунк.'!AM34</f>
        <v>395.4</v>
      </c>
      <c r="AN34" s="168">
        <f>населення!AN34+льготи!AN34+субсидии!AN34+'держ.бюджет'!AN34+'місц.-район.бюджет'!AN34+обласной!AN34+'госпрозрахунк.'!AN34</f>
        <v>0</v>
      </c>
      <c r="AO34" s="168">
        <f>населення!AO34+льготи!AO34+субсидии!AO34+'держ.бюджет'!AO34+'місц.-район.бюджет'!AO34+обласной!AO34+'госпрозрахунк.'!AO34</f>
        <v>1077.3</v>
      </c>
      <c r="AP34" s="168">
        <f>населення!AP34+льготи!AP34+субсидии!AP34+'держ.бюджет'!AP34+'місц.-район.бюджет'!AP34+обласной!AP34+'госпрозрахунк.'!AP34</f>
        <v>1273.4</v>
      </c>
      <c r="AQ34" s="168">
        <f>населення!AR34+льготи!AQ34+субсидии!AQ34+'держ.бюджет'!AQ34+'місц.-район.бюджет'!AQ34+обласной!AQ34+'госпрозрахунк.'!AQ34</f>
        <v>2109.9</v>
      </c>
      <c r="AR34" s="168">
        <f>населення!AS34+льготи!AR34+субсидии!AR34+'держ.бюджет'!AR34+'місц.-район.бюджет'!AR34+обласной!AR34+'госпрозрахунк.'!AR34</f>
        <v>2519.1</v>
      </c>
      <c r="AS34" s="168">
        <f>населення!AT34+льготи!AS34+субсидии!AS34+'держ.бюджет'!AS34+'місц.-район.бюджет'!AS34+обласной!AS34+'госпрозрахунк.'!AS34</f>
        <v>5989.5</v>
      </c>
      <c r="AT34" s="168">
        <f>населення!AU34+льготи!AT34+субсидии!AT34+'держ.бюджет'!AT34+'місц.-район.бюджет'!AT34+обласной!AT34+'госпрозрахунк.'!AT34</f>
        <v>6147.2</v>
      </c>
      <c r="AU34" s="175">
        <f t="shared" si="17"/>
        <v>102.63294098004843</v>
      </c>
      <c r="AV34" s="168">
        <f>населення!AW34+льготи!AV34+субсидии!AV34+'держ.бюджет'!AV34+'місц.-район.бюджет'!AV34+обласной!AV34+'госпрозрахунк.'!AV34</f>
        <v>-157.69999999999996</v>
      </c>
      <c r="AW34" s="168">
        <f>населення!AX34+льготи!AW34+субсидии!AW34+'держ.бюджет'!AW34+'місц.-район.бюджет'!AW34+обласной!AW34+'госпрозрахунк.'!AW34</f>
        <v>-137.19999999999993</v>
      </c>
      <c r="AX34" s="169">
        <f t="shared" si="9"/>
        <v>5989.5</v>
      </c>
      <c r="AY34" s="169">
        <f t="shared" si="10"/>
        <v>6147.200000000001</v>
      </c>
      <c r="AZ34" s="169">
        <f t="shared" si="8"/>
        <v>-157.70000000000073</v>
      </c>
      <c r="BA34" s="169">
        <f t="shared" si="1"/>
        <v>-137.20000000000073</v>
      </c>
    </row>
    <row r="35" spans="1:53" ht="36.75" customHeight="1">
      <c r="A35" s="180">
        <v>26</v>
      </c>
      <c r="B35" s="177" t="s">
        <v>94</v>
      </c>
      <c r="C35" s="168">
        <f>населення!C35+льготи!C35+субсидии!C35+'держ.бюджет'!C35+'місц.-район.бюджет'!C35+обласной!C35+'госпрозрахунк.'!C35</f>
        <v>17205.5</v>
      </c>
      <c r="D35" s="172">
        <f>населення!D35+льготи!D35+субсидии!D35+'держ.бюджет'!D35+'місц.-район.бюджет'!D35+обласной!D35+'госпрозрахунк.'!D35</f>
        <v>6875.499999999999</v>
      </c>
      <c r="E35" s="172">
        <f>населення!E35+льготи!E35+субсидии!E35+'держ.бюджет'!E35+'місц.-район.бюджет'!E35+обласной!E35+'госпрозрахунк.'!E35</f>
        <v>5264.599999999999</v>
      </c>
      <c r="F35" s="173">
        <f t="shared" si="18"/>
        <v>76.57043124136426</v>
      </c>
      <c r="G35" s="172">
        <f>населення!G35+льготи!G35+субсидии!G35+'держ.бюджет'!G35+'місц.-район.бюджет'!G35+обласной!G35+'госпрозрахунк.'!G35</f>
        <v>6399.000000000001</v>
      </c>
      <c r="H35" s="172">
        <f>населення!H35+льготи!H35+субсидии!H35+'держ.бюджет'!H35+'місц.-район.бюджет'!H35+обласной!H35+'госпрозрахунк.'!H35</f>
        <v>2292.6</v>
      </c>
      <c r="I35" s="173">
        <f t="shared" si="13"/>
        <v>35.82747304266291</v>
      </c>
      <c r="J35" s="172">
        <f>населення!J35+льготи!J35+субсидии!J35+'держ.бюджет'!J35+'місц.-район.бюджет'!J35+обласной!J35+'госпрозрахунк.'!J35</f>
        <v>4688.7</v>
      </c>
      <c r="K35" s="172">
        <f>населення!K35+льготи!K35+субсидии!K35+'держ.бюджет'!K35+'місц.-район.бюджет'!K35+обласной!K35+'госпрозрахунк.'!K35</f>
        <v>2211.4</v>
      </c>
      <c r="L35" s="173">
        <f t="shared" si="14"/>
        <v>47.16445923177</v>
      </c>
      <c r="M35" s="168">
        <f>населення!M35+льготи!M35+субсидии!M35+'держ.бюджет'!M35+'місц.-район.бюджет'!M35+обласной!M35+'госпрозрахунк.'!M35</f>
        <v>17963.2</v>
      </c>
      <c r="N35" s="168">
        <f>населення!N35+льготи!N35+субсидии!N35+'держ.бюджет'!N35+'місц.-район.бюджет'!N35+обласной!N35+'госпрозрахунк.'!N35</f>
        <v>9768.6</v>
      </c>
      <c r="O35" s="168">
        <f t="shared" si="4"/>
        <v>54.38117929990203</v>
      </c>
      <c r="P35" s="168">
        <f>населення!P35+льготи!P35+субсидии!P35+'держ.бюджет'!P35+'місц.-район.бюджет'!P35+обласной!P35+'госпрозрахунк.'!P35</f>
        <v>74.6</v>
      </c>
      <c r="Q35" s="168">
        <f>населення!Q35+льготи!Q35+субсидии!Q35+'держ.бюджет'!Q35+'місц.-район.бюджет'!Q35+обласной!Q35+'госпрозрахунк.'!Q35</f>
        <v>2182.5</v>
      </c>
      <c r="R35" s="168">
        <f t="shared" si="5"/>
        <v>2925.6032171581774</v>
      </c>
      <c r="S35" s="168">
        <f>населення!S35+льготи!S35+субсидии!S35+'держ.бюджет'!S35+'місц.-район.бюджет'!S35+обласной!S35+'госпрозрахунк.'!S35</f>
        <v>0</v>
      </c>
      <c r="T35" s="168">
        <f>населення!T35+льготи!T35+субсидии!T35+'держ.бюджет'!T35+'місц.-район.бюджет'!T35+обласной!T35+'госпрозрахунк.'!T35</f>
        <v>5594.3</v>
      </c>
      <c r="U35" s="168"/>
      <c r="V35" s="168">
        <f>населення!V35+льготи!V35+субсидии!V35+'держ.бюджет'!V35+'місц.-район.бюджет'!V35+обласной!V35+'госпрозрахунк.'!V35</f>
        <v>-1.4210854715202004E-14</v>
      </c>
      <c r="W35" s="168">
        <f>населення!W35+льготи!W35+субсидии!W35+'держ.бюджет'!W35+'місц.-район.бюджет'!W35+обласной!W35+'госпрозрахунк.'!W35</f>
        <v>768.7</v>
      </c>
      <c r="X35" s="168"/>
      <c r="Y35" s="168">
        <f>населення!Y35+льготи!Y35+субсидии!Y35+'держ.бюджет'!Y35+'місц.-район.бюджет'!Y35+обласной!Y35+'госпрозрахунк.'!Y35</f>
        <v>74.59999999999968</v>
      </c>
      <c r="Z35" s="168">
        <f>населення!Z35+льготи!Z35+субсидии!Z35+'держ.бюджет'!Z35+'місц.-район.бюджет'!Z35+обласной!Z35+'госпрозрахунк.'!Z35</f>
        <v>8545.500000000002</v>
      </c>
      <c r="AA35" s="168">
        <f t="shared" si="15"/>
        <v>11455.093833780213</v>
      </c>
      <c r="AB35" s="168">
        <f>населення!AB35+льготи!AB35+субсидии!AB35+'держ.бюджет'!AB35+'місц.-район.бюджет'!AB35+обласной!AB35+'госпрозрахунк.'!AB35</f>
        <v>-0.29999999999999893</v>
      </c>
      <c r="AC35" s="168">
        <f>населення!AC35+льготи!AC35+субсидии!AC35+'держ.бюджет'!AC35+'місц.-район.бюджет'!AC35+обласной!AC35+'госпрозрахунк.'!AC35</f>
        <v>645.7</v>
      </c>
      <c r="AD35" s="168">
        <f t="shared" si="6"/>
        <v>-215233.33333333413</v>
      </c>
      <c r="AE35" s="168">
        <f>населення!AE35+льготи!AE35+субсидии!AE35+'держ.бюджет'!AE35+'місц.-район.бюджет'!AE35+обласной!AE35+'госпрозрахунк.'!AE35</f>
        <v>0</v>
      </c>
      <c r="AF35" s="168">
        <f>населення!AF35+льготи!AF35+субсидии!AF35+'держ.бюджет'!AF35+'місц.-район.бюджет'!AF35+обласной!AF35+'госпрозрахунк.'!AF35</f>
        <v>859.5</v>
      </c>
      <c r="AG35" s="168" t="e">
        <f t="shared" si="16"/>
        <v>#DIV/0!</v>
      </c>
      <c r="AH35" s="168">
        <f>населення!AH35+льготи!AH35+субсидии!AH35+'держ.бюджет'!AH35+'місц.-район.бюджет'!AH35+обласной!AH35+'госпрозрахунк.'!AH35</f>
        <v>0</v>
      </c>
      <c r="AI35" s="168">
        <f>населення!AI35+льготи!AI35+субсидии!AI35+'держ.бюджет'!AI35+'місц.-район.бюджет'!AI35+обласной!AI35+'госпрозрахунк.'!AI35</f>
        <v>749.8</v>
      </c>
      <c r="AJ35" s="168">
        <f>населення!AJ35+льготи!AJ35+субсидии!AJ35+'держ.бюджет'!AJ35+'місц.-район.бюджет'!AJ35+обласной!AJ35+'госпрозрахунк.'!AJ35</f>
        <v>-0.29999999999999893</v>
      </c>
      <c r="AK35" s="168">
        <f>населення!AK35+льготи!AK35+субсидии!AK35+'держ.бюджет'!AK35+'місц.-район.бюджет'!AK35+обласной!AK35+'госпрозрахунк.'!AK35</f>
        <v>2255</v>
      </c>
      <c r="AL35" s="168">
        <f t="shared" si="7"/>
        <v>-751666.6666666693</v>
      </c>
      <c r="AM35" s="168">
        <f>населення!AM35+льготи!AM35+субсидии!AM35+'держ.бюджет'!AM35+'місц.-район.бюджет'!AM35+обласной!AM35+'госпрозрахунк.'!AM35</f>
        <v>918.8000000000001</v>
      </c>
      <c r="AN35" s="168">
        <f>населення!AN35+льготи!AN35+субсидии!AN35+'держ.бюджет'!AN35+'місц.-район.бюджет'!AN35+обласной!AN35+'госпрозрахунк.'!AN35</f>
        <v>871.3999999999999</v>
      </c>
      <c r="AO35" s="168">
        <f>населення!AO35+льготи!AO35+субсидии!AO35+'держ.бюджет'!AO35+'місц.-район.бюджет'!AO35+обласной!AO35+'госпрозрахунк.'!AO35</f>
        <v>5651.400000000001</v>
      </c>
      <c r="AP35" s="168">
        <f>населення!AP35+льготи!AP35+субсидии!AP35+'держ.бюджет'!AP35+'місц.-район.бюджет'!AP35+обласной!AP35+'госпрозрахунк.'!AP35</f>
        <v>1323.3</v>
      </c>
      <c r="AQ35" s="168">
        <f>населення!AR35+льготи!AQ35+субсидии!AQ35+'держ.бюджет'!AQ35+'місц.-район.бюджет'!AQ35+обласной!AQ35+'госпрозрахунк.'!AQ35</f>
        <v>6197.400000000001</v>
      </c>
      <c r="AR35" s="168">
        <f>населення!AS35+льготи!AR35+субсидии!AR35+'держ.бюджет'!AR35+'місц.-район.бюджет'!AR35+обласной!AR35+'госпрозрахунк.'!AR35</f>
        <v>8761.6</v>
      </c>
      <c r="AS35" s="168">
        <f>населення!AT35+льготи!AS35+субсидии!AS35+'держ.бюджет'!AS35+'місц.-район.бюджет'!AS35+обласной!AS35+'госпрозрахунк.'!AS35</f>
        <v>30805.100000000002</v>
      </c>
      <c r="AT35" s="168">
        <f>населення!AU35+льготи!AT35+субсидии!AT35+'держ.бюджет'!AT35+'місц.-район.бюджет'!AT35+обласной!AT35+'госпрозрахунк.'!AT35</f>
        <v>31525.399999999998</v>
      </c>
      <c r="AU35" s="175">
        <f t="shared" si="17"/>
        <v>102.3382491860114</v>
      </c>
      <c r="AV35" s="168">
        <f>населення!AW35+льготи!AV35+субсидии!AV35+'держ.бюджет'!AV35+'місц.-район.бюджет'!AV35+обласной!AV35+'госпрозрахунк.'!AV35</f>
        <v>-720.2999999999972</v>
      </c>
      <c r="AW35" s="168">
        <f>населення!AX35+льготи!AW35+субсидии!AW35+'держ.бюджет'!AW35+'місц.-район.бюджет'!AW35+обласной!AW35+'госпрозрахунк.'!AW35</f>
        <v>16485.2</v>
      </c>
      <c r="AX35" s="169">
        <f t="shared" si="9"/>
        <v>30805.100000000002</v>
      </c>
      <c r="AY35" s="169">
        <f t="shared" si="10"/>
        <v>31525.4</v>
      </c>
      <c r="AZ35" s="169">
        <f t="shared" si="8"/>
        <v>-720.2999999999993</v>
      </c>
      <c r="BA35" s="169">
        <f t="shared" si="1"/>
        <v>16485.200000000004</v>
      </c>
    </row>
    <row r="36" spans="1:53" ht="27.75" customHeight="1">
      <c r="A36" s="180">
        <v>27</v>
      </c>
      <c r="B36" s="171" t="s">
        <v>70</v>
      </c>
      <c r="C36" s="168">
        <f>населення!C36+льготи!C36+субсидии!C36+'держ.бюджет'!C36+'місц.-район.бюджет'!C36+обласной!C36+'госпрозрахунк.'!C36</f>
        <v>-517.4999999999999</v>
      </c>
      <c r="D36" s="172">
        <f>населення!D36+льготи!D36+субсидии!D36+'держ.бюджет'!D36+'місц.-район.бюджет'!D36+обласной!D36+'госпрозрахунк.'!D36</f>
        <v>1930.8999999999999</v>
      </c>
      <c r="E36" s="172">
        <f>населення!E36+льготи!E36+субсидии!E36+'держ.бюджет'!E36+'місц.-район.бюджет'!E36+обласной!E36+'госпрозрахунк.'!E36</f>
        <v>458</v>
      </c>
      <c r="F36" s="173">
        <f t="shared" si="18"/>
        <v>23.719509037236524</v>
      </c>
      <c r="G36" s="172">
        <f>населення!G36+льготи!G36+субсидии!G36+'держ.бюджет'!G36+'місц.-район.бюджет'!G36+обласной!G36+'госпрозрахунк.'!G36</f>
        <v>1613.5</v>
      </c>
      <c r="H36" s="172">
        <f>населення!H36+льготи!H36+субсидии!H36+'держ.бюджет'!H36+'місц.-район.бюджет'!H36+обласной!H36+'госпрозрахунк.'!H36</f>
        <v>1338.9</v>
      </c>
      <c r="I36" s="173">
        <f t="shared" si="13"/>
        <v>82.98109699411218</v>
      </c>
      <c r="J36" s="172">
        <f>населення!J36+льготи!J36+субсидии!J36+'держ.бюджет'!J36+'місц.-район.бюджет'!J36+обласной!J36+'госпрозрахунк.'!J36</f>
        <v>866.1</v>
      </c>
      <c r="K36" s="172">
        <f>населення!K36+льготи!K36+субсидии!K36+'держ.бюджет'!K36+'місц.-район.бюджет'!K36+обласной!K36+'госпрозрахунк.'!K36</f>
        <v>862.8</v>
      </c>
      <c r="L36" s="173">
        <f t="shared" si="14"/>
        <v>99.61898164184274</v>
      </c>
      <c r="M36" s="168">
        <f>населення!M36+льготи!M36+субсидии!M36+'держ.бюджет'!M36+'місц.-район.бюджет'!M36+обласной!M36+'госпрозрахунк.'!M36</f>
        <v>4410.5</v>
      </c>
      <c r="N36" s="168">
        <f>населення!N36+льготи!N36+субсидии!N36+'держ.бюджет'!N36+'місц.-район.бюджет'!N36+обласной!N36+'госпрозрахунк.'!N36</f>
        <v>2659.7</v>
      </c>
      <c r="O36" s="168">
        <f t="shared" si="4"/>
        <v>60.30382042852283</v>
      </c>
      <c r="P36" s="168">
        <f>населення!P36+льготи!P36+субсидии!P36+'держ.бюджет'!P36+'місц.-район.бюджет'!P36+обласной!P36+'госпрозрахунк.'!P36</f>
        <v>83.89999999999999</v>
      </c>
      <c r="Q36" s="168">
        <f>населення!Q36+льготи!Q36+субсидии!Q36+'держ.бюджет'!Q36+'місц.-район.бюджет'!Q36+обласной!Q36+'госпрозрахунк.'!Q36</f>
        <v>554.7</v>
      </c>
      <c r="R36" s="168">
        <f t="shared" si="5"/>
        <v>661.1442193087009</v>
      </c>
      <c r="S36" s="168">
        <f>населення!S36+льготи!S36+субсидии!S36+'держ.бюджет'!S36+'місц.-район.бюджет'!S36+обласной!S36+'госпрозрахунк.'!S36</f>
        <v>0</v>
      </c>
      <c r="T36" s="168">
        <f>населення!T36+льготи!T36+субсидии!T36+'держ.бюджет'!T36+'місц.-район.бюджет'!T36+обласной!T36+'госпрозрахунк.'!T36</f>
        <v>441.2</v>
      </c>
      <c r="U36" s="168"/>
      <c r="V36" s="168">
        <f>населення!V36+льготи!V36+субсидии!V36+'держ.бюджет'!V36+'місц.-район.бюджет'!V36+обласной!V36+'госпрозрахунк.'!V36</f>
        <v>0</v>
      </c>
      <c r="W36" s="168">
        <f>населення!W36+льготи!W36+субсидии!W36+'держ.бюджет'!W36+'місц.-район.бюджет'!W36+обласной!W36+'госпрозрахунк.'!W36</f>
        <v>292</v>
      </c>
      <c r="X36" s="168"/>
      <c r="Y36" s="168">
        <f>населення!Y36+льготи!Y36+субсидии!Y36+'держ.бюджет'!Y36+'місц.-район.бюджет'!Y36+обласной!Y36+'госпрозрахунк.'!Y36</f>
        <v>83.89999999999999</v>
      </c>
      <c r="Z36" s="168">
        <f>населення!Z36+льготи!Z36+субсидии!Z36+'держ.бюджет'!Z36+'місц.-район.бюджет'!Z36+обласной!Z36+'госпрозрахунк.'!Z36</f>
        <v>1287.9</v>
      </c>
      <c r="AA36" s="168">
        <f t="shared" si="15"/>
        <v>1535.0417163289633</v>
      </c>
      <c r="AB36" s="168">
        <f>населення!AB36+льготи!AB36+субсидии!AB36+'держ.бюджет'!AB36+'місц.-район.бюджет'!AB36+обласной!AB36+'госпрозрахунк.'!AB36</f>
        <v>0</v>
      </c>
      <c r="AC36" s="168">
        <f>населення!AC36+льготи!AC36+субсидии!AC36+'держ.бюджет'!AC36+'місц.-район.бюджет'!AC36+обласной!AC36+'госпрозрахунк.'!AC36</f>
        <v>10.6</v>
      </c>
      <c r="AD36" s="174" t="e">
        <f t="shared" si="6"/>
        <v>#DIV/0!</v>
      </c>
      <c r="AE36" s="168">
        <f>населення!AE36+льготи!AE36+субсидии!AE36+'держ.бюджет'!AE36+'місц.-район.бюджет'!AE36+обласной!AE36+'госпрозрахунк.'!AE36</f>
        <v>0</v>
      </c>
      <c r="AF36" s="168">
        <f>населення!AF36+льготи!AF36+субсидии!AF36+'держ.бюджет'!AF36+'місц.-район.бюджет'!AF36+обласной!AF36+'госпрозрахунк.'!AF36</f>
        <v>16.4</v>
      </c>
      <c r="AG36" s="174" t="e">
        <f t="shared" si="16"/>
        <v>#DIV/0!</v>
      </c>
      <c r="AH36" s="168">
        <f>населення!AH36+льготи!AH36+субсидии!AH36+'держ.бюджет'!AH36+'місц.-район.бюджет'!AH36+обласной!AH36+'госпрозрахунк.'!AH36</f>
        <v>0</v>
      </c>
      <c r="AI36" s="168">
        <f>населення!AI36+льготи!AI36+субсидии!AI36+'держ.бюджет'!AI36+'місц.-район.бюджет'!AI36+обласной!AI36+'госпрозрахунк.'!AI36</f>
        <v>31.3</v>
      </c>
      <c r="AJ36" s="168">
        <f>населення!AJ36+льготи!AJ36+субсидии!AJ36+'держ.бюджет'!AJ36+'місц.-район.бюджет'!AJ36+обласной!AJ36+'госпрозрахунк.'!AJ36</f>
        <v>0</v>
      </c>
      <c r="AK36" s="168">
        <f>населення!AK36+льготи!AK36+субсидии!AK36+'держ.бюджет'!AK36+'місц.-район.бюджет'!AK36+обласной!AK36+'госпрозрахунк.'!AK36</f>
        <v>58.3</v>
      </c>
      <c r="AL36" s="174" t="e">
        <f t="shared" si="7"/>
        <v>#DIV/0!</v>
      </c>
      <c r="AM36" s="168">
        <f>населення!AM36+льготи!AM36+субсидии!AM36+'держ.бюджет'!AM36+'місц.-район.бюджет'!AM36+обласной!AM36+'госпрозрахунк.'!AM36</f>
        <v>802.4</v>
      </c>
      <c r="AN36" s="168">
        <f>населення!AN36+льготи!AN36+субсидии!AN36+'держ.бюджет'!AN36+'місц.-район.бюджет'!AN36+обласной!AN36+'госпрозрахунк.'!AN36</f>
        <v>741.3</v>
      </c>
      <c r="AO36" s="168">
        <f>населення!AO36+льготи!AO36+субсидии!AO36+'держ.бюджет'!AO36+'місц.-район.бюджет'!AO36+обласной!AO36+'госпрозрахунк.'!AO36</f>
        <v>2579.6</v>
      </c>
      <c r="AP36" s="168">
        <f>населення!AP36+льготи!AP36+субсидии!AP36+'держ.бюджет'!AP36+'місц.-район.бюджет'!AP36+обласной!AP36+'госпрозрахунк.'!AP36</f>
        <v>2843.3</v>
      </c>
      <c r="AQ36" s="168">
        <f>населення!AR36+льготи!AQ36+субсидии!AQ36+'держ.бюджет'!AQ36+'місц.-район.бюджет'!AQ36+обласной!AQ36+'госпрозрахунк.'!AQ36</f>
        <v>2836.0000000000005</v>
      </c>
      <c r="AR36" s="168">
        <f>населення!AS36+льготи!AR36+субсидии!AR36+'держ.бюджет'!AR36+'місц.-район.бюджет'!AR36+обласной!AR36+'госпрозрахунк.'!AR36</f>
        <v>3441</v>
      </c>
      <c r="AS36" s="168">
        <f>населення!AT36+льготи!AS36+субсидии!AS36+'держ.бюджет'!AS36+'місц.-район.бюджет'!AS36+обласной!AS36+'госпрозрахунк.'!AS36</f>
        <v>10712.4</v>
      </c>
      <c r="AT36" s="168">
        <f>населення!AU36+льготи!AT36+субсидии!AT36+'держ.бюджет'!AT36+'місц.-район.бюджет'!AT36+обласной!AT36+'госпрозрахунк.'!AT36</f>
        <v>11031.5</v>
      </c>
      <c r="AU36" s="175">
        <f t="shared" si="17"/>
        <v>102.97879093387104</v>
      </c>
      <c r="AV36" s="168">
        <f>населення!AW36+льготи!AV36+субсидии!AV36+'держ.бюджет'!AV36+'місц.-район.бюджет'!AV36+обласной!AV36+'госпрозрахунк.'!AV36</f>
        <v>-319.1000000000003</v>
      </c>
      <c r="AW36" s="168">
        <f>населення!AX36+льготи!AW36+субсидии!AW36+'держ.бюджет'!AW36+'місц.-район.бюджет'!AW36+обласной!AW36+'госпрозрахунк.'!AW36</f>
        <v>-836.6000000000004</v>
      </c>
      <c r="AX36" s="169">
        <f t="shared" si="9"/>
        <v>10712.4</v>
      </c>
      <c r="AY36" s="169">
        <f t="shared" si="10"/>
        <v>11031.5</v>
      </c>
      <c r="AZ36" s="169">
        <f t="shared" si="8"/>
        <v>-319.10000000000036</v>
      </c>
      <c r="BA36" s="169">
        <f t="shared" si="1"/>
        <v>-836.6000000000004</v>
      </c>
    </row>
    <row r="37" spans="1:53" ht="24.75" customHeight="1">
      <c r="A37" s="180">
        <v>28</v>
      </c>
      <c r="B37" s="177" t="s">
        <v>71</v>
      </c>
      <c r="C37" s="168">
        <f>населення!C37+льготи!C37+субсидии!C37+'держ.бюджет'!C37+'місц.-район.бюджет'!C37+обласной!C37+'госпрозрахунк.'!C37</f>
        <v>30832.9</v>
      </c>
      <c r="D37" s="172">
        <f>населення!D37+льготи!D37+субсидии!D37+'держ.бюджет'!D37+'місц.-район.бюджет'!D37+обласной!D37+'госпрозрахунк.'!D37</f>
        <v>18473.899999999998</v>
      </c>
      <c r="E37" s="172">
        <f>населення!E37+льготи!E37+субсидии!E37+'держ.бюджет'!E37+'місц.-район.бюджет'!E37+обласной!E37+'госпрозрахунк.'!E37</f>
        <v>18627.5</v>
      </c>
      <c r="F37" s="173">
        <f t="shared" si="18"/>
        <v>100.8314432794375</v>
      </c>
      <c r="G37" s="172">
        <f>населення!G37+льготи!G37+субсидии!G37+'держ.бюджет'!G37+'місц.-район.бюджет'!G37+обласной!G37+'госпрозрахунк.'!G37</f>
        <v>16795.8</v>
      </c>
      <c r="H37" s="172">
        <f>населення!H37+льготи!H37+субсидии!H37+'держ.бюджет'!H37+'місц.-район.бюджет'!H37+обласной!H37+'госпрозрахунк.'!H37</f>
        <v>15385.199999999999</v>
      </c>
      <c r="I37" s="173">
        <f t="shared" si="13"/>
        <v>91.60147179652056</v>
      </c>
      <c r="J37" s="172">
        <f>населення!J37+льготи!J37+субсидии!J37+'держ.бюджет'!J37+'місц.-район.бюджет'!J37+обласной!J37+'госпрозрахунк.'!J37</f>
        <v>10146.099999999999</v>
      </c>
      <c r="K37" s="172">
        <f>населення!K37+льготи!K37+субсидии!K37+'держ.бюджет'!K37+'місц.-район.бюджет'!K37+обласной!K37+'госпрозрахунк.'!K37</f>
        <v>6997.4</v>
      </c>
      <c r="L37" s="173">
        <f t="shared" si="14"/>
        <v>68.96640088309795</v>
      </c>
      <c r="M37" s="168">
        <f>населення!M37+льготи!M37+субсидии!M37+'держ.бюджет'!M37+'місц.-район.бюджет'!M37+обласной!M37+'госпрозрахунк.'!M37</f>
        <v>45415.8</v>
      </c>
      <c r="N37" s="168">
        <f>населення!N37+льготи!N37+субсидии!N37+'держ.бюджет'!N37+'місц.-район.бюджет'!N37+обласной!N37+'госпрозрахунк.'!N37</f>
        <v>41010.1</v>
      </c>
      <c r="O37" s="168">
        <f t="shared" si="4"/>
        <v>90.29919103043433</v>
      </c>
      <c r="P37" s="168">
        <f>населення!P37+льготи!P37+субсидии!P37+'держ.бюджет'!P37+'місц.-район.бюджет'!P37+обласной!P37+'госпрозрахунк.'!P37</f>
        <v>1043.8999999999999</v>
      </c>
      <c r="Q37" s="168">
        <f>населення!Q37+льготи!Q37+субсидии!Q37+'держ.бюджет'!Q37+'місц.-район.бюджет'!Q37+обласной!Q37+'госпрозрахунк.'!Q37</f>
        <v>11358.9</v>
      </c>
      <c r="R37" s="168">
        <f t="shared" si="5"/>
        <v>1088.1214675735225</v>
      </c>
      <c r="S37" s="168">
        <f>населення!S37+льготи!S37+субсидии!S37+'держ.бюджет'!S37+'місц.-район.бюджет'!S37+обласной!S37+'госпрозрахунк.'!S37</f>
        <v>18.49999999999995</v>
      </c>
      <c r="T37" s="168">
        <f>населення!T37+льготи!T37+субсидии!T37+'держ.бюджет'!T37+'місц.-район.бюджет'!T37+обласной!T37+'госпрозрахунк.'!T37</f>
        <v>2468.4</v>
      </c>
      <c r="U37" s="168">
        <f>T37/S37*100</f>
        <v>13342.702702702738</v>
      </c>
      <c r="V37" s="168">
        <f>населення!V37+льготи!V37+субсидии!V37+'держ.бюджет'!V37+'місц.-район.бюджет'!V37+обласной!V37+'госпрозрахунк.'!V37</f>
        <v>7.2999999999999945</v>
      </c>
      <c r="W37" s="168">
        <f>населення!W37+льготи!W37+субсидии!W37+'держ.бюджет'!W37+'місц.-район.бюджет'!W37+обласной!W37+'госпрозрахунк.'!W37</f>
        <v>2043.5</v>
      </c>
      <c r="X37" s="168">
        <f>W37/V37*100</f>
        <v>27993.150684931526</v>
      </c>
      <c r="Y37" s="168">
        <f>населення!Y37+льготи!Y37+субсидии!Y37+'держ.бюджет'!Y37+'місц.-район.бюджет'!Y37+обласной!Y37+'госпрозрахунк.'!Y37</f>
        <v>1069.6999999999998</v>
      </c>
      <c r="Z37" s="168">
        <f>населення!Z37+льготи!Z37+субсидии!Z37+'держ.бюджет'!Z37+'місц.-район.бюджет'!Z37+обласной!Z37+'госпрозрахунк.'!Z37</f>
        <v>15870.800000000001</v>
      </c>
      <c r="AA37" s="168">
        <f t="shared" si="15"/>
        <v>1483.668318220062</v>
      </c>
      <c r="AB37" s="168">
        <f>населення!AB37+льготи!AB37+субсидии!AB37+'держ.бюджет'!AB37+'місц.-район.бюджет'!AB37+обласной!AB37+'госпрозрахунк.'!AB37</f>
        <v>-2.0000000000000107</v>
      </c>
      <c r="AC37" s="168">
        <f>населення!AC37+льготи!AC37+субсидии!AC37+'держ.бюджет'!AC37+'місц.-район.бюджет'!AC37+обласной!AC37+'госпрозрахунк.'!AC37</f>
        <v>783.2</v>
      </c>
      <c r="AD37" s="168">
        <f t="shared" si="6"/>
        <v>-39159.99999999979</v>
      </c>
      <c r="AE37" s="168">
        <f>населення!AE37+льготи!AE37+субсидии!AE37+'держ.бюджет'!AE37+'місц.-район.бюджет'!AE37+обласной!AE37+'госпрозрахунк.'!AE37</f>
        <v>8.9</v>
      </c>
      <c r="AF37" s="168">
        <f>населення!AF37+льготи!AF37+субсидии!AF37+'держ.бюджет'!AF37+'місц.-район.бюджет'!AF37+обласной!AF37+'госпрозрахунк.'!AF37</f>
        <v>8729.699999999999</v>
      </c>
      <c r="AG37" s="168">
        <f t="shared" si="16"/>
        <v>98086.51685393257</v>
      </c>
      <c r="AH37" s="168">
        <f>населення!AH37+льготи!AH37+субсидии!AH37+'держ.бюджет'!AH37+'місц.-район.бюджет'!AH37+обласной!AH37+'госпрозрахунк.'!AH37</f>
        <v>9.400000000000006</v>
      </c>
      <c r="AI37" s="168">
        <f>населення!AI37+льготи!AI37+субсидии!AI37+'держ.бюджет'!AI37+'місц.-район.бюджет'!AI37+обласной!AI37+'госпрозрахунк.'!AI37</f>
        <v>829.3</v>
      </c>
      <c r="AJ37" s="168">
        <f>населення!AJ37+льготи!AJ37+субсидии!AJ37+'держ.бюджет'!AJ37+'місц.-район.бюджет'!AJ37+обласной!AJ37+'госпрозрахунк.'!AJ37</f>
        <v>16.299999999999997</v>
      </c>
      <c r="AK37" s="168">
        <f>населення!AK37+льготи!AK37+субсидии!AK37+'держ.бюджет'!AK37+'місц.-район.бюджет'!AK37+обласной!AK37+'госпрозрахунк.'!AK37</f>
        <v>10342.2</v>
      </c>
      <c r="AL37" s="174">
        <f t="shared" si="7"/>
        <v>63449.07975460125</v>
      </c>
      <c r="AM37" s="168">
        <f>населення!AM37+льготи!AM37+субсидии!AM37+'держ.бюджет'!AM37+'місц.-район.бюджет'!AM37+обласной!AM37+'госпрозрахунк.'!AM37</f>
        <v>5138.299999999999</v>
      </c>
      <c r="AN37" s="168">
        <f>населення!AN37+льготи!AN37+субсидии!AN37+'держ.бюджет'!AN37+'місц.-район.бюджет'!AN37+обласной!AN37+'госпрозрахунк.'!AN37</f>
        <v>1434.5</v>
      </c>
      <c r="AO37" s="168">
        <f>населення!AO37+льготи!AO37+субсидии!AO37+'держ.бюджет'!AO37+'місц.-район.бюджет'!AO37+обласной!AO37+'госпрозрахунк.'!AO37</f>
        <v>11967.6</v>
      </c>
      <c r="AP37" s="168">
        <f>населення!AP37+льготи!AP37+субсидии!AP37+'держ.бюджет'!AP37+'місц.-район.бюджет'!AP37+обласной!AP37+'госпрозрахунк.'!AP37</f>
        <v>3539.6</v>
      </c>
      <c r="AQ37" s="168">
        <f>населення!AR37+льготи!AQ37+субсидии!AQ37+'держ.бюджет'!AQ37+'місц.-район.бюджет'!AQ37+обласной!AQ37+'госпрозрахунк.'!AQ37</f>
        <v>13193.199999999999</v>
      </c>
      <c r="AR37" s="168">
        <f>населення!AS37+льготи!AR37+субсидии!AR37+'держ.бюджет'!AR37+'місц.-район.бюджет'!AR37+обласной!AR37+'госпрозрахунк.'!AR37</f>
        <v>16576.2</v>
      </c>
      <c r="AS37" s="168">
        <f>населення!AT37+льготи!AS37+субсидии!AS37+'держ.бюджет'!AS37+'місц.-район.бюджет'!AS37+обласной!AS37+'госпрозрахунк.'!AS37</f>
        <v>76800.90000000001</v>
      </c>
      <c r="AT37" s="168">
        <f>населення!AU37+льготи!AT37+субсидии!AT37+'держ.бюджет'!AT37+'місц.-район.бюджет'!AT37+обласной!AT37+'госпрозрахунк.'!AT37</f>
        <v>88773.40000000001</v>
      </c>
      <c r="AU37" s="175">
        <f t="shared" si="17"/>
        <v>115.5890100246221</v>
      </c>
      <c r="AV37" s="168">
        <f>населення!AW37+льготи!AV37+субсидии!AV37+'держ.бюджет'!AV37+'місц.-район.бюджет'!AV37+обласной!AV37+'госпрозрахунк.'!AV37</f>
        <v>-11972.499999999996</v>
      </c>
      <c r="AW37" s="168">
        <f>населення!AX37+льготи!AW37+субсидии!AW37+'держ.бюджет'!AW37+'місц.-район.бюджет'!AW37+обласной!AW37+'госпрозрахунк.'!AW37</f>
        <v>18860.40000000001</v>
      </c>
      <c r="AX37" s="169">
        <f t="shared" si="9"/>
        <v>76800.90000000001</v>
      </c>
      <c r="AY37" s="169">
        <f t="shared" si="10"/>
        <v>88773.40000000001</v>
      </c>
      <c r="AZ37" s="169">
        <f t="shared" si="8"/>
        <v>-11972.5</v>
      </c>
      <c r="BA37" s="169">
        <f t="shared" si="1"/>
        <v>18860.40000000001</v>
      </c>
    </row>
    <row r="38" spans="1:53" ht="22.5" customHeight="1">
      <c r="A38" s="180">
        <v>29</v>
      </c>
      <c r="B38" s="177" t="s">
        <v>72</v>
      </c>
      <c r="C38" s="168">
        <f>населення!C38+льготи!C38+субсидии!C38+'держ.бюджет'!C38+'місц.-район.бюджет'!C38+обласной!C38+'госпрозрахунк.'!C38</f>
        <v>23473.1</v>
      </c>
      <c r="D38" s="172">
        <f>населення!D38+льготи!D38+субсидии!D38+'держ.бюджет'!D38+'місц.-район.бюджет'!D38+обласной!D38+'госпрозрахунк.'!D38</f>
        <v>15256.199999999999</v>
      </c>
      <c r="E38" s="172">
        <f>населення!E38+льготи!E38+субсидии!E38+'держ.бюджет'!E38+'місц.-район.бюджет'!E38+обласной!E38+'госпрозрахунк.'!E38</f>
        <v>5945.6</v>
      </c>
      <c r="F38" s="173">
        <f t="shared" si="18"/>
        <v>38.971696752795594</v>
      </c>
      <c r="G38" s="172">
        <f>населення!G38+льготи!G38+субсидии!G38+'держ.бюджет'!G38+'місц.-район.бюджет'!G38+обласной!G38+'госпрозрахунк.'!G38</f>
        <v>16376.7</v>
      </c>
      <c r="H38" s="172">
        <f>населення!H38+льготи!H38+субсидии!H38+'держ.бюджет'!H38+'місц.-район.бюджет'!H38+обласной!H38+'госпрозрахунк.'!H38</f>
        <v>7202.7</v>
      </c>
      <c r="I38" s="173">
        <f t="shared" si="13"/>
        <v>43.98138819176024</v>
      </c>
      <c r="J38" s="172">
        <f>населення!J38+льготи!J38+субсидии!J38+'держ.бюджет'!J38+'місц.-район.бюджет'!J38+обласной!J38+'госпрозрахунк.'!J38</f>
        <v>8858.199999999999</v>
      </c>
      <c r="K38" s="172">
        <f>населення!K38+льготи!K38+субсидии!K38+'держ.бюджет'!K38+'місц.-район.бюджет'!K38+обласной!K38+'госпрозрахунк.'!K38</f>
        <v>3814.2999999999997</v>
      </c>
      <c r="L38" s="173">
        <f t="shared" si="14"/>
        <v>43.059538055135356</v>
      </c>
      <c r="M38" s="168">
        <f>населення!M38+льготи!M38+субсидии!M38+'держ.бюджет'!M38+'місц.-район.бюджет'!M38+обласной!M38+'госпрозрахунк.'!M38</f>
        <v>40491.100000000006</v>
      </c>
      <c r="N38" s="168">
        <f>населення!N38+льготи!N38+субсидии!N38+'держ.бюджет'!N38+'місц.-район.бюджет'!N38+обласной!N38+'госпрозрахунк.'!N38</f>
        <v>16962.6</v>
      </c>
      <c r="O38" s="168">
        <f t="shared" si="4"/>
        <v>41.89216889637475</v>
      </c>
      <c r="P38" s="168">
        <f>населення!P38+льготи!P38+субсидии!P38+'держ.бюджет'!P38+'місц.-район.бюджет'!P38+обласной!P38+'госпрозрахунк.'!P38</f>
        <v>1771.8</v>
      </c>
      <c r="Q38" s="168">
        <f>населення!Q38+льготи!Q38+субсидии!Q38+'держ.бюджет'!Q38+'місц.-район.бюджет'!Q38+обласной!Q38+'госпрозрахунк.'!Q38</f>
        <v>5605.599999999999</v>
      </c>
      <c r="R38" s="168">
        <f t="shared" si="5"/>
        <v>316.3788237950107</v>
      </c>
      <c r="S38" s="168">
        <f>населення!S38+льготи!S38+субсидии!S38+'держ.бюджет'!S38+'місц.-район.бюджет'!S38+обласной!S38+'госпрозрахунк.'!S38</f>
        <v>9.699999999999818</v>
      </c>
      <c r="T38" s="168">
        <f>населення!T38+льготи!T38+субсидии!T38+'держ.бюджет'!T38+'місц.-район.бюджет'!T38+обласной!T38+'госпрозрахунк.'!T38</f>
        <v>12795.899999999998</v>
      </c>
      <c r="U38" s="168">
        <f>T38/S38*100</f>
        <v>131916.49484536328</v>
      </c>
      <c r="V38" s="168">
        <f>населення!V38+льготи!V38+субсидии!V38+'держ.бюджет'!V38+'місц.-район.бюджет'!V38+обласной!V38+'госпрозрахунк.'!V38</f>
        <v>0</v>
      </c>
      <c r="W38" s="168">
        <f>населення!W38+льготи!W38+субсидии!W38+'держ.бюджет'!W38+'місц.-район.бюджет'!W38+обласной!W38+'госпрозрахунк.'!W38</f>
        <v>1670</v>
      </c>
      <c r="X38" s="174" t="e">
        <f>W38/V38*100</f>
        <v>#DIV/0!</v>
      </c>
      <c r="Y38" s="168">
        <f>населення!Y38+льготи!Y38+субсидии!Y38+'держ.бюджет'!Y38+'місц.-район.бюджет'!Y38+обласной!Y38+'госпрозрахунк.'!Y38</f>
        <v>1781.4999999999989</v>
      </c>
      <c r="Z38" s="168">
        <f>населення!Z38+льготи!Z38+субсидии!Z38+'держ.бюджет'!Z38+'місц.-район.бюджет'!Z38+обласной!Z38+'госпрозрахунк.'!Z38</f>
        <v>20071.500000000004</v>
      </c>
      <c r="AA38" s="168">
        <f t="shared" si="15"/>
        <v>1126.6629245018253</v>
      </c>
      <c r="AB38" s="168">
        <f>населення!AB38+льготи!AB38+субсидии!AB38+'держ.бюджет'!AB38+'місц.-район.бюджет'!AB38+обласной!AB38+'госпрозрахунк.'!AB38</f>
        <v>7.105427357601002E-15</v>
      </c>
      <c r="AC38" s="168">
        <f>населення!AC38+льготи!AC38+субсидии!AC38+'держ.бюджет'!AC38+'місц.-район.бюджет'!AC38+обласной!AC38+'госпрозрахунк.'!AC38</f>
        <v>1197.3</v>
      </c>
      <c r="AD38" s="174">
        <f t="shared" si="6"/>
        <v>1.6850499480783421E+19</v>
      </c>
      <c r="AE38" s="168">
        <f>населення!AE38+льготи!AE38+субсидии!AE38+'держ.бюджет'!AE38+'місц.-район.бюджет'!AE38+обласной!AE38+'госпрозрахунк.'!AE38</f>
        <v>0</v>
      </c>
      <c r="AF38" s="168">
        <f>населення!AF38+льготи!AF38+субсидии!AF38+'держ.бюджет'!AF38+'місц.-район.бюджет'!AF38+обласной!AF38+'госпрозрахунк.'!AF38</f>
        <v>757.6</v>
      </c>
      <c r="AG38" s="174" t="e">
        <f t="shared" si="16"/>
        <v>#DIV/0!</v>
      </c>
      <c r="AH38" s="168">
        <f>населення!AH38+льготи!AH38+субсидии!AH38+'держ.бюджет'!AH38+'місц.-район.бюджет'!AH38+обласной!AH38+'госпрозрахунк.'!AH38</f>
        <v>0</v>
      </c>
      <c r="AI38" s="168">
        <f>населення!AI38+льготи!AI38+субсидии!AI38+'держ.бюджет'!AI38+'місц.-район.бюджет'!AI38+обласной!AI38+'госпрозрахунк.'!AI38</f>
        <v>2047.2</v>
      </c>
      <c r="AJ38" s="168">
        <f>населення!AJ38+льготи!AJ38+субсидии!AJ38+'держ.бюджет'!AJ38+'місц.-район.бюджет'!AJ38+обласной!AJ38+'госпрозрахунк.'!AJ38</f>
        <v>7.105427357601002E-15</v>
      </c>
      <c r="AK38" s="168">
        <f>населення!AK38+льготи!AK38+субсидии!AK38+'держ.бюджет'!AK38+'місц.-район.бюджет'!AK38+обласной!AK38+'госпрозрахунк.'!AK38</f>
        <v>4002.1</v>
      </c>
      <c r="AL38" s="174">
        <f t="shared" si="7"/>
        <v>5.632455021468582E+19</v>
      </c>
      <c r="AM38" s="168">
        <f>населення!AM38+льготи!AM38+субсидии!AM38+'держ.бюджет'!AM38+'місц.-район.бюджет'!AM38+обласной!AM38+'госпрозрахунк.'!AM38</f>
        <v>2096.6</v>
      </c>
      <c r="AN38" s="168">
        <f>населення!AN38+льготи!AN38+субсидии!AN38+'держ.бюджет'!AN38+'місц.-район.бюджет'!AN38+обласной!AN38+'госпрозрахунк.'!AN38</f>
        <v>1088.9</v>
      </c>
      <c r="AO38" s="168">
        <f>населення!AO38+льготи!AO38+субсидии!AO38+'держ.бюджет'!AO38+'місц.-район.бюджет'!AO38+обласной!AO38+'госпрозрахунк.'!AO38</f>
        <v>14669.1</v>
      </c>
      <c r="AP38" s="168">
        <f>населення!AP38+льготи!AP38+субсидии!AP38+'держ.бюджет'!AP38+'місц.-район.бюджет'!AP38+обласной!AP38+'госпрозрахунк.'!AP38</f>
        <v>6035.500000000001</v>
      </c>
      <c r="AQ38" s="168">
        <f>населення!AR38+льготи!AQ38+субсидии!AQ38+'держ.бюджет'!AQ38+'місц.-район.бюджет'!AQ38+обласной!AQ38+'госпрозрахунк.'!AQ38</f>
        <v>17902.899999999998</v>
      </c>
      <c r="AR38" s="168">
        <f>населення!AS38+льготи!AR38+субсидии!AR38+'держ.бюджет'!AR38+'місц.-район.бюджет'!AR38+обласной!AR38+'госпрозрахунк.'!AR38</f>
        <v>22033.4</v>
      </c>
      <c r="AS38" s="168">
        <f>населення!AT38+льготи!AS38+субсидии!AS38+'держ.бюджет'!AS38+'місц.-район.бюджет'!AS38+обласной!AS38+'госпрозрахунк.'!AS38</f>
        <v>76941.2</v>
      </c>
      <c r="AT38" s="168">
        <f>населення!AU38+льготи!AT38+субсидии!AT38+'держ.бюджет'!AT38+'місц.-район.бюджет'!AT38+обласной!AT38+'госпрозрахунк.'!AT38</f>
        <v>70194</v>
      </c>
      <c r="AU38" s="175">
        <f t="shared" si="17"/>
        <v>91.23070604565565</v>
      </c>
      <c r="AV38" s="168">
        <f>населення!AW38+льготи!AV38+субсидии!AV38+'держ.бюджет'!AV38+'місц.-район.бюджет'!AV38+обласной!AV38+'госпрозрахунк.'!AV38</f>
        <v>6747.200000000003</v>
      </c>
      <c r="AW38" s="168">
        <f>населення!AX38+льготи!AW38+субсидии!AW38+'держ.бюджет'!AW38+'місц.-район.бюджет'!AW38+обласной!AW38+'госпрозрахунк.'!AW38</f>
        <v>30220.299999999996</v>
      </c>
      <c r="AX38" s="169">
        <f t="shared" si="9"/>
        <v>76941.2</v>
      </c>
      <c r="AY38" s="169">
        <f t="shared" si="10"/>
        <v>70194</v>
      </c>
      <c r="AZ38" s="169">
        <f t="shared" si="8"/>
        <v>6747.199999999997</v>
      </c>
      <c r="BA38" s="169">
        <f t="shared" si="1"/>
        <v>30220.29999999999</v>
      </c>
    </row>
    <row r="39" spans="1:53" ht="27.75" customHeight="1">
      <c r="A39" s="180">
        <v>30</v>
      </c>
      <c r="B39" s="177" t="s">
        <v>95</v>
      </c>
      <c r="C39" s="168">
        <f>населення!C39+льготи!C39+субсидии!C39+'держ.бюджет'!C39+'місц.-район.бюджет'!C39+обласной!C39+'госпрозрахунк.'!C39</f>
        <v>88302</v>
      </c>
      <c r="D39" s="172">
        <f>населення!D39+льготи!D39+субсидии!D39+'держ.бюджет'!D39+'місц.-район.бюджет'!D39+обласной!D39+'госпрозрахунк.'!D39</f>
        <v>43186.9</v>
      </c>
      <c r="E39" s="172">
        <f>населення!E39+льготи!E39+субсидии!E39+'держ.бюджет'!E39+'місц.-район.бюджет'!E39+обласной!E39+'госпрозрахунк.'!E39</f>
        <v>40535.100000000006</v>
      </c>
      <c r="F39" s="173">
        <f t="shared" si="18"/>
        <v>93.85971208861947</v>
      </c>
      <c r="G39" s="172">
        <f>населення!G39+льготи!G39+субсидии!G39+'держ.бюджет'!G39+'місц.-район.бюджет'!G39+обласной!G39+'госпрозрахунк.'!G39</f>
        <v>45315.700000000004</v>
      </c>
      <c r="H39" s="172">
        <f>населення!H39+льготи!H39+субсидии!H39+'держ.бюджет'!H39+'місц.-район.бюджет'!H39+обласной!H39+'госпрозрахунк.'!H39</f>
        <v>39846.9</v>
      </c>
      <c r="I39" s="173">
        <f t="shared" si="13"/>
        <v>87.93177640420427</v>
      </c>
      <c r="J39" s="172">
        <f>населення!J39+льготи!J39+субсидии!J39+'держ.бюджет'!J39+'місц.-район.бюджет'!J39+обласной!J39+'госпрозрахунк.'!J39</f>
        <v>26405.699999999997</v>
      </c>
      <c r="K39" s="172">
        <f>населення!K39+льготи!K39+субсидии!K39+'держ.бюджет'!K39+'місц.-район.бюджет'!K39+обласной!K39+'госпрозрахунк.'!K39</f>
        <v>14416.500000000002</v>
      </c>
      <c r="L39" s="173">
        <f t="shared" si="14"/>
        <v>54.59616673672731</v>
      </c>
      <c r="M39" s="168">
        <f>населення!M39+льготи!M39+субсидии!M39+'держ.бюджет'!M39+'місц.-район.бюджет'!M39+обласной!M39+'госпрозрахунк.'!M39</f>
        <v>114908.29999999999</v>
      </c>
      <c r="N39" s="168">
        <f>населення!N39+льготи!N39+субсидии!N39+'держ.бюджет'!N39+'місц.-район.бюджет'!N39+обласной!N39+'госпрозрахунк.'!N39</f>
        <v>94798.5</v>
      </c>
      <c r="O39" s="168">
        <f t="shared" si="4"/>
        <v>82.49926245536659</v>
      </c>
      <c r="P39" s="168">
        <f>населення!P39+льготи!P39+субсидии!P39+'держ.бюджет'!P39+'місц.-район.бюджет'!P39+обласной!P39+'госпрозрахунк.'!P39</f>
        <v>2588.9999999999995</v>
      </c>
      <c r="Q39" s="168">
        <f>населення!Q39+льготи!Q39+субсидии!Q39+'держ.бюджет'!Q39+'місц.-район.бюджет'!Q39+обласной!Q39+'госпрозрахунк.'!Q39</f>
        <v>7885.9</v>
      </c>
      <c r="R39" s="168">
        <f t="shared" si="5"/>
        <v>304.5925067593666</v>
      </c>
      <c r="S39" s="168">
        <f>населення!S39+льготи!S39+субсидии!S39+'держ.бюджет'!S39+'місц.-район.бюджет'!S39+обласной!S39+'госпрозрахунк.'!S39</f>
        <v>8.900000000000182</v>
      </c>
      <c r="T39" s="168">
        <f>населення!T39+льготи!T39+субсидии!T39+'держ.бюджет'!T39+'місц.-район.бюджет'!T39+обласной!T39+'госпрозрахунк.'!T39</f>
        <v>5035.400000000001</v>
      </c>
      <c r="U39" s="168">
        <f>T39/S39*100</f>
        <v>56577.528089886495</v>
      </c>
      <c r="V39" s="168">
        <f>населення!V39+льготи!V39+субсидии!V39+'держ.бюджет'!V39+'місц.-район.бюджет'!V39+обласной!V39+'госпрозрахунк.'!V39</f>
        <v>-26.699999999999996</v>
      </c>
      <c r="W39" s="168">
        <f>населення!W39+льготи!W39+субсидии!W39+'держ.бюджет'!W39+'місц.-район.бюджет'!W39+обласной!W39+'госпрозрахунк.'!W39</f>
        <v>4016.8999999999996</v>
      </c>
      <c r="X39" s="168">
        <f>W39/V39*100</f>
        <v>-15044.569288389514</v>
      </c>
      <c r="Y39" s="168">
        <f>населення!Y39+льготи!Y39+субсидии!Y39+'держ.бюджет'!Y39+'місц.-район.бюджет'!Y39+обласной!Y39+'госпрозрахунк.'!Y39</f>
        <v>2571.2000000000016</v>
      </c>
      <c r="Z39" s="168">
        <f>населення!Z39+льготи!Z39+субсидии!Z39+'держ.бюджет'!Z39+'місц.-район.бюджет'!Z39+обласной!Z39+'госпрозрахунк.'!Z39</f>
        <v>16938.2</v>
      </c>
      <c r="AA39" s="168">
        <f t="shared" si="15"/>
        <v>658.7663347853138</v>
      </c>
      <c r="AB39" s="168">
        <f>населення!AB39+льготи!AB39+субсидии!AB39+'держ.бюджет'!AB39+'місц.-район.бюджет'!AB39+обласной!AB39+'госпрозрахунк.'!AB39</f>
        <v>-4.000000000000001</v>
      </c>
      <c r="AC39" s="168">
        <f>населення!AC39+льготи!AC39+субсидии!AC39+'держ.бюджет'!AC39+'місц.-район.бюджет'!AC39+обласной!AC39+'госпрозрахунк.'!AC39</f>
        <v>3807.5</v>
      </c>
      <c r="AD39" s="168">
        <f t="shared" si="6"/>
        <v>-95187.49999999997</v>
      </c>
      <c r="AE39" s="168">
        <f>населення!AE39+льготи!AE39+субсидии!AE39+'держ.бюджет'!AE39+'місц.-район.бюджет'!AE39+обласной!AE39+'госпрозрахунк.'!AE39</f>
        <v>-20.5</v>
      </c>
      <c r="AF39" s="168">
        <f>населення!AF39+льготи!AF39+субсидии!AF39+'держ.бюджет'!AF39+'місц.-район.бюджет'!AF39+обласной!AF39+'госпрозрахунк.'!AF39</f>
        <v>28540.2</v>
      </c>
      <c r="AG39" s="168">
        <f t="shared" si="16"/>
        <v>-139220.48780487807</v>
      </c>
      <c r="AH39" s="168">
        <f>населення!AH39+льготи!AH39+субсидии!AH39+'держ.бюджет'!AH39+'місц.-район.бюджет'!AH39+обласной!AH39+'госпрозрахунк.'!AH39</f>
        <v>0.7</v>
      </c>
      <c r="AI39" s="168">
        <f>населення!AI39+льготи!AI39+субсидии!AI39+'держ.бюджет'!AI39+'місц.-район.бюджет'!AI39+обласной!AI39+'госпрозрахунк.'!AI39</f>
        <v>6940.5</v>
      </c>
      <c r="AJ39" s="168">
        <f>населення!AJ39+льготи!AJ39+субсидии!AJ39+'держ.бюджет'!AJ39+'місц.-район.бюджет'!AJ39+обласной!AJ39+'госпрозрахунк.'!AJ39</f>
        <v>-23.799999999999997</v>
      </c>
      <c r="AK39" s="168">
        <f>населення!AK39+льготи!AK39+субсидии!AK39+'держ.бюджет'!AK39+'місц.-район.бюджет'!AK39+обласной!AK39+'госпрозрахунк.'!AK39</f>
        <v>39288.200000000004</v>
      </c>
      <c r="AL39" s="174">
        <f t="shared" si="7"/>
        <v>-165076.47058823533</v>
      </c>
      <c r="AM39" s="168">
        <f>населення!AM39+льготи!AM39+субсидии!AM39+'держ.бюджет'!AM39+'місц.-район.бюджет'!AM39+обласной!AM39+'госпрозрахунк.'!AM39</f>
        <v>11509.6</v>
      </c>
      <c r="AN39" s="168">
        <f>населення!AN39+льготи!AN39+субсидии!AN39+'держ.бюджет'!AN39+'місц.-район.бюджет'!AN39+обласной!AN39+'госпрозрахунк.'!AN39</f>
        <v>1705.3000000000002</v>
      </c>
      <c r="AO39" s="168">
        <f>населення!AO39+льготи!AO39+субсидии!AO39+'держ.бюджет'!AO39+'місц.-район.бюджет'!AO39+обласной!AO39+'госпрозрахунк.'!AO39</f>
        <v>37499.600000000006</v>
      </c>
      <c r="AP39" s="168">
        <f>населення!AP39+льготи!AP39+субсидии!AP39+'держ.бюджет'!AP39+'місц.-район.бюджет'!AP39+обласной!AP39+'госпрозрахунк.'!AP39</f>
        <v>6298.6</v>
      </c>
      <c r="AQ39" s="168">
        <f>населення!AR39+льготи!AQ39+субсидии!AQ39+'держ.бюджет'!AQ39+'місц.-район.бюджет'!AQ39+обласной!AQ39+'госпрозрахунк.'!AQ39</f>
        <v>37725.100000000006</v>
      </c>
      <c r="AR39" s="168">
        <f>населення!AS39+льготи!AR39+субсидии!AR39+'держ.бюджет'!AR39+'місц.-район.бюджет'!AR39+обласной!AR39+'госпрозрахунк.'!AR39</f>
        <v>39108.200000000004</v>
      </c>
      <c r="AS39" s="168">
        <f>населення!AT39+льготи!AS39+субсидии!AS39+'держ.бюджет'!AS39+'місц.-район.бюджет'!AS39+обласной!AS39+'госпрозрахунк.'!AS39</f>
        <v>204189.99999999997</v>
      </c>
      <c r="AT39" s="168">
        <f>населення!AU39+льготи!AT39+субсидии!AT39+'держ.бюджет'!AT39+'місц.-район.бюджет'!AT39+обласной!AT39+'госпрозрахунк.'!AT39</f>
        <v>198137.00000000003</v>
      </c>
      <c r="AU39" s="175">
        <f t="shared" si="17"/>
        <v>97.03560409422599</v>
      </c>
      <c r="AV39" s="168">
        <f>населення!AW39+льготи!AV39+субсидии!AV39+'держ.бюджет'!AV39+'місц.-район.бюджет'!AV39+обласной!AV39+'госпрозрахунк.'!AV39</f>
        <v>6052.999999999992</v>
      </c>
      <c r="AW39" s="168">
        <f>населення!AX39+льготи!AW39+субсидии!AW39+'держ.бюджет'!AW39+'місц.-район.бюджет'!AW39+обласной!AW39+'госпрозрахунк.'!AW39</f>
        <v>94355</v>
      </c>
      <c r="AX39" s="169">
        <f t="shared" si="9"/>
        <v>204190</v>
      </c>
      <c r="AY39" s="169">
        <f t="shared" si="10"/>
        <v>198137</v>
      </c>
      <c r="AZ39" s="169">
        <f t="shared" si="8"/>
        <v>6053</v>
      </c>
      <c r="BA39" s="169">
        <f t="shared" si="1"/>
        <v>94355</v>
      </c>
    </row>
    <row r="40" spans="1:53" ht="24.75" customHeight="1">
      <c r="A40" s="180">
        <v>31</v>
      </c>
      <c r="B40" s="177" t="s">
        <v>73</v>
      </c>
      <c r="C40" s="168">
        <f>населення!C40+льготи!C40+субсидии!C40+'держ.бюджет'!C40+'місц.-район.бюджет'!C40+обласной!C40+'госпрозрахунк.'!C40</f>
        <v>251.69999999999996</v>
      </c>
      <c r="D40" s="172">
        <f>населення!D40+льготи!D40+субсидии!D40+'держ.бюджет'!D40+'місц.-район.бюджет'!D40+обласной!D40+'госпрозрахунк.'!D40</f>
        <v>508.8</v>
      </c>
      <c r="E40" s="172">
        <f>населення!E40+льготи!E40+субсидии!E40+'держ.бюджет'!E40+'місц.-район.бюджет'!E40+обласной!E40+'госпрозрахунк.'!E40</f>
        <v>89.5</v>
      </c>
      <c r="F40" s="173">
        <f t="shared" si="18"/>
        <v>17.590408805031448</v>
      </c>
      <c r="G40" s="172">
        <f>населення!G40+льготи!G40+субсидии!G40+'держ.бюджет'!G40+'місц.-район.бюджет'!G40+обласной!G40+'госпрозрахунк.'!G40</f>
        <v>388.4</v>
      </c>
      <c r="H40" s="172">
        <f>населення!H40+льготи!H40+субсидии!H40+'держ.бюджет'!H40+'місц.-район.бюджет'!H40+обласной!H40+'госпрозрахунк.'!H40</f>
        <v>142</v>
      </c>
      <c r="I40" s="173">
        <f t="shared" si="13"/>
        <v>36.560247167868184</v>
      </c>
      <c r="J40" s="172">
        <f>населення!J40+льготи!J40+субсидии!J40+'держ.бюджет'!J40+'місц.-район.бюджет'!J40+обласной!J40+'госпрозрахунк.'!J40</f>
        <v>213.10000000000002</v>
      </c>
      <c r="K40" s="172">
        <f>населення!K40+льготи!K40+субсидии!K40+'держ.бюджет'!K40+'місц.-район.бюджет'!K40+обласной!K40+'госпрозрахунк.'!K40</f>
        <v>629.6</v>
      </c>
      <c r="L40" s="173">
        <f t="shared" si="14"/>
        <v>295.4481464101361</v>
      </c>
      <c r="M40" s="168">
        <f>населення!M40+льготи!M40+субсидии!M40+'держ.бюджет'!M40+'місц.-район.бюджет'!M40+обласной!M40+'госпрозрахунк.'!M40</f>
        <v>1110.3</v>
      </c>
      <c r="N40" s="168">
        <f>населення!N40+льготи!N40+субсидии!N40+'держ.бюджет'!N40+'місц.-район.бюджет'!N40+обласной!N40+'госпрозрахунк.'!N40</f>
        <v>861.1</v>
      </c>
      <c r="O40" s="168">
        <f t="shared" si="4"/>
        <v>77.55561559938756</v>
      </c>
      <c r="P40" s="168">
        <f>населення!P40+льготи!P40+субсидии!P40+'держ.бюджет'!P40+'місц.-район.бюджет'!P40+обласной!P40+'госпрозрахунк.'!P40</f>
        <v>26</v>
      </c>
      <c r="Q40" s="168">
        <f>населення!Q40+льготи!Q40+субсидии!Q40+'держ.бюджет'!Q40+'місц.-район.бюджет'!Q40+обласной!Q40+'госпрозрахунк.'!Q40</f>
        <v>159.8</v>
      </c>
      <c r="R40" s="168">
        <f t="shared" si="5"/>
        <v>614.6153846153846</v>
      </c>
      <c r="S40" s="168">
        <f>населення!S40+льготи!S40+субсидии!S40+'держ.бюджет'!S40+'місц.-район.бюджет'!S40+обласной!S40+'госпрозрахунк.'!S40</f>
        <v>0</v>
      </c>
      <c r="T40" s="168">
        <f>населення!T40+льготи!T40+субсидии!T40+'держ.бюджет'!T40+'місц.-район.бюджет'!T40+обласной!T40+'госпрозрахунк.'!T40</f>
        <v>27.7</v>
      </c>
      <c r="U40" s="168"/>
      <c r="V40" s="168">
        <f>населення!V40+льготи!V40+субсидии!V40+'держ.бюджет'!V40+'місц.-район.бюджет'!V40+обласной!V40+'госпрозрахунк.'!V40</f>
        <v>0</v>
      </c>
      <c r="W40" s="168">
        <f>населення!W40+льготи!W40+субсидии!W40+'держ.бюджет'!W40+'місц.-район.бюджет'!W40+обласной!W40+'госпрозрахунк.'!W40</f>
        <v>11.9</v>
      </c>
      <c r="X40" s="168"/>
      <c r="Y40" s="168">
        <f>населення!Y40+льготи!Y40+субсидии!Y40+'держ.бюджет'!Y40+'місц.-район.бюджет'!Y40+обласной!Y40+'госпрозрахунк.'!Y40</f>
        <v>26</v>
      </c>
      <c r="Z40" s="168">
        <f>населення!Z40+льготи!Z40+субсидии!Z40+'держ.бюджет'!Z40+'місц.-район.бюджет'!Z40+обласной!Z40+'госпрозрахунк.'!Z40</f>
        <v>199.4</v>
      </c>
      <c r="AA40" s="168">
        <f t="shared" si="15"/>
        <v>766.9230769230769</v>
      </c>
      <c r="AB40" s="168">
        <f>населення!AB40+льготи!AB40+субсидии!AB40+'держ.бюджет'!AB40+'місц.-район.бюджет'!AB40+обласной!AB40+'госпрозрахунк.'!AB40</f>
        <v>0</v>
      </c>
      <c r="AC40" s="168">
        <f>населення!AC40+льготи!AC40+субсидии!AC40+'держ.бюджет'!AC40+'місц.-район.бюджет'!AC40+обласной!AC40+'госпрозрахунк.'!AC40</f>
        <v>4.4</v>
      </c>
      <c r="AD40" s="174" t="e">
        <f t="shared" si="6"/>
        <v>#DIV/0!</v>
      </c>
      <c r="AE40" s="168">
        <f>населення!AE40+льготи!AE40+субсидии!AE40+'держ.бюджет'!AE40+'місц.-район.бюджет'!AE40+обласной!AE40+'госпрозрахунк.'!AE40</f>
        <v>0</v>
      </c>
      <c r="AF40" s="168">
        <f>населення!AF40+льготи!AF40+субсидии!AF40+'держ.бюджет'!AF40+'місц.-район.бюджет'!AF40+обласной!AF40+'госпрозрахунк.'!AF40</f>
        <v>1.5</v>
      </c>
      <c r="AG40" s="174" t="e">
        <f t="shared" si="16"/>
        <v>#DIV/0!</v>
      </c>
      <c r="AH40" s="168">
        <f>населення!AH40+льготи!AH40+субсидии!AH40+'держ.бюджет'!AH40+'місц.-район.бюджет'!AH40+обласной!AH40+'госпрозрахунк.'!AH40</f>
        <v>0</v>
      </c>
      <c r="AI40" s="168">
        <f>населення!AI40+льготи!AI40+субсидии!AI40+'держ.бюджет'!AI40+'місц.-район.бюджет'!AI40+обласной!AI40+'госпрозрахунк.'!AI40</f>
        <v>1.3</v>
      </c>
      <c r="AJ40" s="168">
        <f>населення!AJ40+льготи!AJ40+субсидии!AJ40+'держ.бюджет'!AJ40+'місц.-район.бюджет'!AJ40+обласной!AJ40+'госпрозрахунк.'!AJ40</f>
        <v>0</v>
      </c>
      <c r="AK40" s="168">
        <f>населення!AK40+льготи!AK40+субсидии!AK40+'держ.бюджет'!AK40+'місц.-район.бюджет'!AK40+обласной!AK40+'госпрозрахунк.'!AK40</f>
        <v>7.2</v>
      </c>
      <c r="AL40" s="174" t="e">
        <f t="shared" si="7"/>
        <v>#DIV/0!</v>
      </c>
      <c r="AM40" s="168">
        <f>населення!AM40+льготи!AM40+субсидии!AM40+'держ.бюджет'!AM40+'місц.-район.бюджет'!AM40+обласной!AM40+'госпрозрахунк.'!AM40</f>
        <v>0</v>
      </c>
      <c r="AN40" s="168">
        <f>населення!AN40+льготи!AN40+субсидии!AN40+'держ.бюджет'!AN40+'місц.-район.бюджет'!AN40+обласной!AN40+'госпрозрахунк.'!AN40</f>
        <v>-0.3999999999999999</v>
      </c>
      <c r="AO40" s="168">
        <f>населення!AO40+льготи!AO40+субсидии!AO40+'держ.бюджет'!AO40+'місц.-район.бюджет'!AO40+обласной!AO40+'госпрозрахунк.'!AO40</f>
        <v>0</v>
      </c>
      <c r="AP40" s="168">
        <f>населення!AP40+льготи!AP40+субсидии!AP40+'держ.бюджет'!AP40+'місц.-район.бюджет'!AP40+обласной!AP40+'госпрозрахунк.'!AP40</f>
        <v>10</v>
      </c>
      <c r="AQ40" s="168">
        <f>населення!AR40+льготи!AQ40+субсидии!AQ40+'держ.бюджет'!AQ40+'місц.-район.бюджет'!AQ40+обласной!AQ40+'госпрозрахунк.'!AQ40</f>
        <v>0</v>
      </c>
      <c r="AR40" s="168">
        <f>населення!AS40+льготи!AR40+субсидии!AR40+'держ.бюджет'!AR40+'місц.-район.бюджет'!AR40+обласной!AR40+'госпрозрахунк.'!AR40</f>
        <v>0.5</v>
      </c>
      <c r="AS40" s="168">
        <f>населення!AT40+льготи!AS40+субсидии!AS40+'держ.бюджет'!AS40+'місц.-район.бюджет'!AS40+обласной!AS40+'госпрозрахунк.'!AS40</f>
        <v>1136.3</v>
      </c>
      <c r="AT40" s="168">
        <f>населення!AU40+льготи!AT40+субсидии!AT40+'держ.бюджет'!AT40+'місц.-район.бюджет'!AT40+обласной!AT40+'госпрозрахунк.'!AT40</f>
        <v>1077.8000000000002</v>
      </c>
      <c r="AU40" s="175">
        <f t="shared" si="17"/>
        <v>94.85171169585499</v>
      </c>
      <c r="AV40" s="168">
        <f>населення!AW40+льготи!AV40+субсидии!AV40+'держ.бюджет'!AV40+'місц.-район.бюджет'!AV40+обласной!AV40+'госпрозрахунк.'!AV40</f>
        <v>58.49999999999995</v>
      </c>
      <c r="AW40" s="168">
        <f>населення!AX40+льготи!AW40+субсидии!AW40+'держ.бюджет'!AW40+'місц.-район.бюджет'!AW40+обласной!AW40+'госпрозрахунк.'!AW40</f>
        <v>310.19999999999993</v>
      </c>
      <c r="AX40" s="169">
        <f t="shared" si="9"/>
        <v>1136.3</v>
      </c>
      <c r="AY40" s="169">
        <f t="shared" si="10"/>
        <v>1077.8</v>
      </c>
      <c r="AZ40" s="169">
        <f t="shared" si="8"/>
        <v>58.5</v>
      </c>
      <c r="BA40" s="169">
        <f t="shared" si="1"/>
        <v>310.20000000000005</v>
      </c>
    </row>
    <row r="41" spans="1:53" ht="27.75" customHeight="1">
      <c r="A41" s="180">
        <v>32</v>
      </c>
      <c r="B41" s="171" t="s">
        <v>74</v>
      </c>
      <c r="C41" s="168">
        <f>населення!C41+льготи!C41+субсидии!C41+'держ.бюджет'!C41+'місц.-район.бюджет'!C41+обласной!C41+'госпрозрахунк.'!C41</f>
        <v>40174.3</v>
      </c>
      <c r="D41" s="172">
        <f>населення!D41+льготи!D41+субсидии!D41+'держ.бюджет'!D41+'місц.-район.бюджет'!D41+обласной!D41+'госпрозрахунк.'!D41</f>
        <v>18154.2</v>
      </c>
      <c r="E41" s="172">
        <f>населення!E41+льготи!E41+субсидии!E41+'держ.бюджет'!E41+'місц.-район.бюджет'!E41+обласной!E41+'госпрозрахунк.'!E41</f>
        <v>20159.9</v>
      </c>
      <c r="F41" s="173">
        <f t="shared" si="18"/>
        <v>111.04813211267917</v>
      </c>
      <c r="G41" s="172">
        <f>населення!G41+льготи!G41+субсидии!G41+'держ.бюджет'!G41+'місц.-район.бюджет'!G41+обласной!G41+'госпрозрахунк.'!G41</f>
        <v>17092.100000000002</v>
      </c>
      <c r="H41" s="172">
        <f>населення!H41+льготи!H41+субсидии!H41+'держ.бюджет'!H41+'місц.-район.бюджет'!H41+обласной!H41+'госпрозрахунк.'!H41</f>
        <v>18221.199999999997</v>
      </c>
      <c r="I41" s="173">
        <f t="shared" si="13"/>
        <v>106.60597586019269</v>
      </c>
      <c r="J41" s="172">
        <f>населення!J41+льготи!J41+субсидии!J41+'держ.бюджет'!J41+'місц.-район.бюджет'!J41+обласной!J41+'госпрозрахунк.'!J41</f>
        <v>10052.4</v>
      </c>
      <c r="K41" s="172">
        <f>населення!K41+льготи!K41+субсидии!K41+'держ.бюджет'!K41+'місц.-район.бюджет'!K41+обласной!K41+'госпрозрахунк.'!K41</f>
        <v>6793.900000000001</v>
      </c>
      <c r="L41" s="173">
        <f t="shared" si="14"/>
        <v>67.58485535792448</v>
      </c>
      <c r="M41" s="168">
        <f>населення!M41+льготи!M41+субсидии!M41+'держ.бюджет'!M41+'місц.-район.бюджет'!M41+обласной!M41+'госпрозрахунк.'!M41</f>
        <v>45298.700000000004</v>
      </c>
      <c r="N41" s="168">
        <f>населення!N41+льготи!N41+субсидии!N41+'держ.бюджет'!N41+'місц.-район.бюджет'!N41+обласной!N41+'госпрозрахунк.'!N41</f>
        <v>45175</v>
      </c>
      <c r="O41" s="168">
        <f t="shared" si="4"/>
        <v>99.72692373070308</v>
      </c>
      <c r="P41" s="168">
        <f>населення!P41+льготи!P41+субсидии!P41+'держ.бюджет'!P41+'місц.-район.бюджет'!P41+обласной!P41+'госпрозрахунк.'!P41</f>
        <v>70.3</v>
      </c>
      <c r="Q41" s="168">
        <f>населення!Q41+льготи!Q41+субсидии!Q41+'держ.бюджет'!Q41+'місц.-район.бюджет'!Q41+обласной!Q41+'госпрозрахунк.'!Q41</f>
        <v>4183.2</v>
      </c>
      <c r="R41" s="168">
        <f t="shared" si="5"/>
        <v>5950.49786628734</v>
      </c>
      <c r="S41" s="168">
        <f>населення!S41+льготи!S41+субсидии!S41+'держ.бюджет'!S41+'місц.-район.бюджет'!S41+обласной!S41+'госпрозрахунк.'!S41</f>
        <v>-2385</v>
      </c>
      <c r="T41" s="168">
        <f>населення!T41+льготи!T41+субсидии!T41+'держ.бюджет'!T41+'місц.-район.бюджет'!T41+обласной!T41+'госпрозрахунк.'!T41</f>
        <v>1449.2000000000003</v>
      </c>
      <c r="U41" s="168">
        <f>T41/S41*100</f>
        <v>-60.76310272536689</v>
      </c>
      <c r="V41" s="168">
        <f>населення!V41+льготи!V41+субсидии!V41+'держ.бюджет'!V41+'місц.-район.бюджет'!V41+обласной!V41+'госпрозрахунк.'!V41</f>
        <v>125.7</v>
      </c>
      <c r="W41" s="168">
        <f>населення!W41+льготи!W41+субсидии!W41+'держ.бюджет'!W41+'місц.-район.бюджет'!W41+обласной!W41+'госпрозрахунк.'!W41</f>
        <v>1521.4</v>
      </c>
      <c r="X41" s="168">
        <f>W41/V41*100</f>
        <v>1210.3420843277645</v>
      </c>
      <c r="Y41" s="168">
        <f>населення!Y41+льготи!Y41+субсидии!Y41+'держ.бюджет'!Y41+'місц.-район.бюджет'!Y41+обласной!Y41+'госпрозрахунк.'!Y41</f>
        <v>-2189</v>
      </c>
      <c r="Z41" s="168">
        <f>населення!Z41+льготи!Z41+субсидии!Z41+'держ.бюджет'!Z41+'місц.-район.бюджет'!Z41+обласной!Z41+'госпрозрахунк.'!Z41</f>
        <v>7153.799999999999</v>
      </c>
      <c r="AA41" s="168">
        <f t="shared" si="15"/>
        <v>-326.80676107811786</v>
      </c>
      <c r="AB41" s="168">
        <f>населення!AB41+льготи!AB41+субсидии!AB41+'держ.бюджет'!AB41+'місц.-район.бюджет'!AB41+обласной!AB41+'госпрозрахунк.'!AB41</f>
        <v>152</v>
      </c>
      <c r="AC41" s="168">
        <f>населення!AC41+льготи!AC41+субсидии!AC41+'держ.бюджет'!AC41+'місц.-район.бюджет'!AC41+обласной!AC41+'госпрозрахунк.'!AC41</f>
        <v>1350.9</v>
      </c>
      <c r="AD41" s="168">
        <f t="shared" si="6"/>
        <v>888.7500000000001</v>
      </c>
      <c r="AE41" s="168">
        <f>населення!AE41+льготи!AE41+субсидии!AE41+'держ.бюджет'!AE41+'місц.-район.бюджет'!AE41+обласной!AE41+'госпрозрахунк.'!AE41</f>
        <v>0.7</v>
      </c>
      <c r="AF41" s="168">
        <f>населення!AF41+льготи!AF41+субсидии!AF41+'держ.бюджет'!AF41+'місц.-район.бюджет'!AF41+обласной!AF41+'госпрозрахунк.'!AF41</f>
        <v>6045.099999999999</v>
      </c>
      <c r="AG41" s="168">
        <f t="shared" si="16"/>
        <v>863585.7142857143</v>
      </c>
      <c r="AH41" s="168">
        <f>населення!AH41+льготи!AH41+субсидии!AH41+'держ.бюджет'!AH41+'місц.-район.бюджет'!AH41+обласной!AH41+'госпрозрахунк.'!AH41</f>
        <v>1.6</v>
      </c>
      <c r="AI41" s="168">
        <f>населення!AI41+льготи!AI41+субсидии!AI41+'держ.бюджет'!AI41+'місц.-район.бюджет'!AI41+обласной!AI41+'госпрозрахунк.'!AI41</f>
        <v>5044.8</v>
      </c>
      <c r="AJ41" s="168">
        <f>населення!AJ41+льготи!AJ41+субсидии!AJ41+'держ.бюджет'!AJ41+'місц.-район.бюджет'!AJ41+обласной!AJ41+'госпрозрахунк.'!AJ41</f>
        <v>154.29999999999998</v>
      </c>
      <c r="AK41" s="168">
        <f>населення!AK41+льготи!AK41+субсидии!AK41+'держ.бюджет'!AK41+'місц.-район.бюджет'!AK41+обласной!AK41+'госпрозрахунк.'!AK41</f>
        <v>12440.800000000001</v>
      </c>
      <c r="AL41" s="174">
        <f t="shared" si="7"/>
        <v>8062.7349319507475</v>
      </c>
      <c r="AM41" s="168">
        <f>населення!AM41+льготи!AM41+субсидии!AM41+'держ.бюджет'!AM41+'місц.-район.бюджет'!AM41+обласной!AM41+'госпрозрахунк.'!AM41</f>
        <v>4671.4</v>
      </c>
      <c r="AN41" s="168">
        <f>населення!AN41+льготи!AN41+субсидии!AN41+'держ.бюджет'!AN41+'місц.-район.бюджет'!AN41+обласной!AN41+'госпрозрахунк.'!AN41</f>
        <v>1159.3</v>
      </c>
      <c r="AO41" s="168">
        <f>населення!AO41+льготи!AO41+субсидии!AO41+'держ.бюджет'!AO41+'місц.-район.бюджет'!AO41+обласной!AO41+'госпрозрахунк.'!AO41</f>
        <v>12929.199999999999</v>
      </c>
      <c r="AP41" s="168">
        <f>населення!AP41+льготи!AP41+субсидии!AP41+'держ.бюджет'!AP41+'місц.-район.бюджет'!AP41+обласной!AP41+'госпрозрахунк.'!AP41</f>
        <v>2517.0999999999995</v>
      </c>
      <c r="AQ41" s="168">
        <f>населення!AR41+льготи!AQ41+субсидии!AQ41+'держ.бюджет'!AQ41+'місц.-район.бюджет'!AQ41+обласной!AQ41+'госпрозрахунк.'!AQ41</f>
        <v>14217.7</v>
      </c>
      <c r="AR41" s="168">
        <f>населення!AS41+льготи!AR41+субсидии!AR41+'держ.бюджет'!AR41+'місц.-район.бюджет'!AR41+обласной!AR41+'госпрозрахунк.'!AR41</f>
        <v>15322.600000000002</v>
      </c>
      <c r="AS41" s="168">
        <f>населення!AT41+льготи!AS41+субсидии!AS41+'держ.бюджет'!AS41+'місц.-район.бюджет'!AS41+обласной!AS41+'госпрозрахунк.'!AS41</f>
        <v>75082.3</v>
      </c>
      <c r="AT41" s="168">
        <f>населення!AU41+льготи!AT41+субсидии!AT41+'держ.бюджет'!AT41+'місц.-район.бюджет'!AT41+обласной!AT41+'госпрозрахунк.'!AT41</f>
        <v>83768.59999999999</v>
      </c>
      <c r="AU41" s="175">
        <f t="shared" si="17"/>
        <v>111.56903824203572</v>
      </c>
      <c r="AV41" s="168">
        <f>населення!AW41+льготи!AV41+субсидии!AV41+'держ.бюджет'!AV41+'місц.-район.бюджет'!AV41+обласной!AV41+'госпрозрахунк.'!AV41</f>
        <v>-8686.299999999994</v>
      </c>
      <c r="AW41" s="168">
        <f>населення!AX41+льготи!AW41+субсидии!AW41+'держ.бюджет'!AW41+'місц.-район.бюджет'!AW41+обласной!AW41+'госпрозрахунк.'!AW41</f>
        <v>31488.00000000001</v>
      </c>
      <c r="AX41" s="169">
        <f t="shared" si="9"/>
        <v>75082.3</v>
      </c>
      <c r="AY41" s="169">
        <f t="shared" si="10"/>
        <v>83768.60000000002</v>
      </c>
      <c r="AZ41" s="169">
        <f t="shared" si="8"/>
        <v>-8686.300000000017</v>
      </c>
      <c r="BA41" s="169">
        <f t="shared" si="1"/>
        <v>31487.999999999985</v>
      </c>
    </row>
    <row r="42" spans="1:53" ht="24.75" customHeight="1">
      <c r="A42" s="180">
        <v>33</v>
      </c>
      <c r="B42" s="177" t="s">
        <v>75</v>
      </c>
      <c r="C42" s="168">
        <f>населення!C42+льготи!C42+субсидии!C42+'держ.бюджет'!C42+'місц.-район.бюджет'!C42+обласной!C42+'госпрозрахунк.'!C42</f>
        <v>23090.5</v>
      </c>
      <c r="D42" s="172">
        <f>населення!D42+льготи!D42+субсидии!D42+'держ.бюджет'!D42+'місц.-район.бюджет'!D42+обласной!D42+'госпрозрахунк.'!D42</f>
        <v>17300.1</v>
      </c>
      <c r="E42" s="172">
        <f>населення!E42+льготи!E42+субсидии!E42+'держ.бюджет'!E42+'місц.-район.бюджет'!E42+обласной!E42+'госпрозрахунк.'!E42</f>
        <v>18549.2</v>
      </c>
      <c r="F42" s="173">
        <f t="shared" si="18"/>
        <v>107.22018947867356</v>
      </c>
      <c r="G42" s="172">
        <f>населення!G42+льготи!G42+субсидии!G42+'держ.бюджет'!G42+'місц.-район.бюджет'!G42+обласной!G42+'госпрозрахунк.'!G42</f>
        <v>16075.300000000001</v>
      </c>
      <c r="H42" s="172">
        <f>населення!H42+льготи!H42+субсидии!H42+'держ.бюджет'!H42+'місц.-район.бюджет'!H42+обласной!H42+'госпрозрахунк.'!H42</f>
        <v>13326.3</v>
      </c>
      <c r="I42" s="173">
        <f t="shared" si="13"/>
        <v>82.89923049647595</v>
      </c>
      <c r="J42" s="172">
        <f>населення!J42+льготи!J42+субсидии!J42+'держ.бюджет'!J42+'місц.-район.бюджет'!J42+обласной!J42+'госпрозрахунк.'!J42</f>
        <v>9574.1</v>
      </c>
      <c r="K42" s="172">
        <f>населення!K42+льготи!K42+субсидии!K42+'держ.бюджет'!K42+'місц.-район.бюджет'!K42+обласной!K42+'госпрозрахунк.'!K42</f>
        <v>6494.099999999999</v>
      </c>
      <c r="L42" s="173">
        <f t="shared" si="14"/>
        <v>67.82987434850273</v>
      </c>
      <c r="M42" s="168">
        <f>населення!M42+льготи!M42+субсидии!M42+'держ.бюджет'!M42+'місц.-район.бюджет'!M42+обласной!M42+'госпрозрахунк.'!M42</f>
        <v>42949.49999999999</v>
      </c>
      <c r="N42" s="168">
        <f>населення!N42+льготи!N42+субсидии!N42+'держ.бюджет'!N42+'місц.-район.бюджет'!N42+обласной!N42+'госпрозрахунк.'!N42</f>
        <v>38369.6</v>
      </c>
      <c r="O42" s="168">
        <f t="shared" si="4"/>
        <v>89.33654640915495</v>
      </c>
      <c r="P42" s="168">
        <f>населення!P42+льготи!P42+субсидии!P42+'держ.бюджет'!P42+'місц.-район.бюджет'!P42+обласной!P42+'госпрозрахунк.'!P42</f>
        <v>498.9</v>
      </c>
      <c r="Q42" s="168">
        <f>населення!Q42+льготи!Q42+субсидии!Q42+'держ.бюджет'!Q42+'місц.-район.бюджет'!Q42+обласной!Q42+'госпрозрахунк.'!Q42</f>
        <v>5782.2</v>
      </c>
      <c r="R42" s="168">
        <f t="shared" si="5"/>
        <v>1158.9897775105233</v>
      </c>
      <c r="S42" s="168">
        <f>населення!S42+льготи!S42+субсидии!S42+'держ.бюджет'!S42+'місц.-район.бюджет'!S42+обласной!S42+'госпрозрахунк.'!S42</f>
        <v>0</v>
      </c>
      <c r="T42" s="168">
        <f>населення!T42+льготи!T42+субсидии!T42+'держ.бюджет'!T42+'місц.-район.бюджет'!T42+обласной!T42+'госпрозрахунк.'!T42</f>
        <v>4790.7</v>
      </c>
      <c r="U42" s="168"/>
      <c r="V42" s="168">
        <f>населення!V42+льготи!V42+субсидии!V42+'держ.бюджет'!V42+'місц.-район.бюджет'!V42+обласной!V42+'госпрозрахунк.'!V42</f>
        <v>0</v>
      </c>
      <c r="W42" s="168">
        <f>населення!W42+льготи!W42+субсидии!W42+'держ.бюджет'!W42+'місц.-район.бюджет'!W42+обласной!W42+'госпрозрахунк.'!W42</f>
        <v>977.1000000000001</v>
      </c>
      <c r="X42" s="168"/>
      <c r="Y42" s="168">
        <f>населення!Y42+льготи!Y42+субсидии!Y42+'держ.бюджет'!Y42+'місц.-район.бюджет'!Y42+обласной!Y42+'госпрозрахунк.'!Y42</f>
        <v>498.9</v>
      </c>
      <c r="Z42" s="168">
        <f>населення!Z42+льготи!Z42+субсидии!Z42+'держ.бюджет'!Z42+'місц.-район.бюджет'!Z42+обласной!Z42+'госпрозрахунк.'!Z42</f>
        <v>11550</v>
      </c>
      <c r="AA42" s="168">
        <f t="shared" si="15"/>
        <v>2315.093205051113</v>
      </c>
      <c r="AB42" s="168">
        <f>населення!AB42+льготи!AB42+субсидии!AB42+'держ.бюджет'!AB42+'місц.-район.бюджет'!AB42+обласной!AB42+'госпрозрахунк.'!AB42</f>
        <v>0</v>
      </c>
      <c r="AC42" s="168">
        <f>населення!AC42+льготи!AC42+субсидии!AC42+'держ.бюджет'!AC42+'місц.-район.бюджет'!AC42+обласной!AC42+'госпрозрахунк.'!AC42</f>
        <v>780.6</v>
      </c>
      <c r="AD42" s="174" t="e">
        <f t="shared" si="6"/>
        <v>#DIV/0!</v>
      </c>
      <c r="AE42" s="168">
        <f>населення!AE42+льготи!AE42+субсидии!AE42+'держ.бюджет'!AE42+'місц.-район.бюджет'!AE42+обласной!AE42+'госпрозрахунк.'!AE42</f>
        <v>0</v>
      </c>
      <c r="AF42" s="168">
        <f>населення!AF42+льготи!AF42+субсидии!AF42+'держ.бюджет'!AF42+'місц.-район.бюджет'!AF42+обласной!AF42+'госпрозрахунк.'!AF42</f>
        <v>9534.5</v>
      </c>
      <c r="AG42" s="174" t="e">
        <f t="shared" si="16"/>
        <v>#DIV/0!</v>
      </c>
      <c r="AH42" s="168">
        <f>населення!AH42+льготи!AH42+субсидии!AH42+'держ.бюджет'!AH42+'місц.-район.бюджет'!AH42+обласной!AH42+'госпрозрахунк.'!AH42</f>
        <v>0</v>
      </c>
      <c r="AI42" s="168">
        <f>населення!AI42+льготи!AI42+субсидии!AI42+'держ.бюджет'!AI42+'місц.-район.бюджет'!AI42+обласной!AI42+'госпрозрахунк.'!AI42</f>
        <v>1611.6000000000001</v>
      </c>
      <c r="AJ42" s="168">
        <f>населення!AJ42+льготи!AJ42+субсидии!AJ42+'держ.бюджет'!AJ42+'місц.-район.бюджет'!AJ42+обласной!AJ42+'госпрозрахунк.'!AJ42</f>
        <v>0</v>
      </c>
      <c r="AK42" s="168">
        <f>населення!AK42+льготи!AK42+субсидии!AK42+'держ.бюджет'!AK42+'місц.-район.бюджет'!AK42+обласной!AK42+'госпрозрахунк.'!AK42</f>
        <v>11926.7</v>
      </c>
      <c r="AL42" s="174" t="e">
        <f t="shared" si="7"/>
        <v>#DIV/0!</v>
      </c>
      <c r="AM42" s="168">
        <f>населення!AM42+льготи!AM42+субсидии!AM42+'держ.бюджет'!AM42+'місц.-район.бюджет'!AM42+обласной!AM42+'госпрозрахунк.'!AM42</f>
        <v>4635.9</v>
      </c>
      <c r="AN42" s="168">
        <f>населення!AN42+льготи!AN42+субсидии!AN42+'держ.бюджет'!AN42+'місц.-район.бюджет'!AN42+обласной!AN42+'госпрозрахунк.'!AN42</f>
        <v>1125.7</v>
      </c>
      <c r="AO42" s="168">
        <f>населення!AO42+льготи!AO42+субсидии!AO42+'держ.бюджет'!AO42+'місц.-район.бюджет'!AO42+обласной!AO42+'госпрозрахунк.'!AO42</f>
        <v>13109.2</v>
      </c>
      <c r="AP42" s="168">
        <f>населення!AP42+льготи!AP42+субсидии!AP42+'держ.бюджет'!AP42+'місц.-район.бюджет'!AP42+обласной!AP42+'госпрозрахунк.'!AP42</f>
        <v>3002.9</v>
      </c>
      <c r="AQ42" s="168">
        <f>населення!AR42+льготи!AQ42+субсидии!AQ42+'держ.бюджет'!AQ42+'місц.-район.бюджет'!AQ42+обласной!AQ42+'госпрозрахунк.'!AQ42</f>
        <v>14022.899999999998</v>
      </c>
      <c r="AR42" s="168">
        <f>населення!AS42+льготи!AR42+субсидии!AR42+'держ.бюджет'!AR42+'місц.-район.бюджет'!AR42+обласной!AR42+'госпрозрахунк.'!AR42</f>
        <v>17324.9</v>
      </c>
      <c r="AS42" s="168">
        <f>населення!AT42+льготи!AS42+субсидии!AS42+'держ.бюджет'!AS42+'місц.-район.бюджет'!AS42+обласной!AS42+'госпрозрахунк.'!AS42</f>
        <v>75216.4</v>
      </c>
      <c r="AT42" s="168">
        <f>населення!AU42+льготи!AT42+субсидии!AT42+'держ.бюджет'!AT42+'місц.-район.бюджет'!AT42+обласной!AT42+'госпрозрахунк.'!AT42</f>
        <v>83299.80000000002</v>
      </c>
      <c r="AU42" s="175">
        <f t="shared" si="17"/>
        <v>110.74685839790261</v>
      </c>
      <c r="AV42" s="168">
        <f>населення!AW42+льготи!AV42+субсидии!AV42+'держ.бюджет'!AV42+'місц.-район.бюджет'!AV42+обласной!AV42+'госпрозрахунк.'!AV42</f>
        <v>-8083.400000000006</v>
      </c>
      <c r="AW42" s="168">
        <f>населення!AX42+льготи!AW42+субсидии!AW42+'держ.бюджет'!AW42+'місц.-район.бюджет'!AW42+обласной!AW42+'госпрозрахунк.'!AW42</f>
        <v>15007.099999999999</v>
      </c>
      <c r="AX42" s="169">
        <f t="shared" si="9"/>
        <v>75216.4</v>
      </c>
      <c r="AY42" s="169">
        <f t="shared" si="10"/>
        <v>83299.79999999999</v>
      </c>
      <c r="AZ42" s="169">
        <f t="shared" si="8"/>
        <v>-8083.399999999994</v>
      </c>
      <c r="BA42" s="169">
        <f t="shared" si="1"/>
        <v>15007.100000000006</v>
      </c>
    </row>
    <row r="43" spans="1:53" s="148" customFormat="1" ht="24.75" customHeight="1">
      <c r="A43" s="191">
        <v>34</v>
      </c>
      <c r="B43" s="192" t="s">
        <v>76</v>
      </c>
      <c r="C43" s="168">
        <f>населення!C43+льготи!C43+субсидии!C43+'держ.бюджет'!C43+'місц.-район.бюджет'!C43+обласной!C43+'госпрозрахунк.'!C43</f>
        <v>2111565.0999999996</v>
      </c>
      <c r="D43" s="193">
        <f>SUM(D44:D45)</f>
        <v>1037914</v>
      </c>
      <c r="E43" s="193">
        <f>SUM(E44:E45)</f>
        <v>748631.8</v>
      </c>
      <c r="F43" s="173">
        <f t="shared" si="18"/>
        <v>72.12850004913702</v>
      </c>
      <c r="G43" s="193">
        <f>SUM(G44:G45)</f>
        <v>1012451.5</v>
      </c>
      <c r="H43" s="193">
        <f>SUM(H44:H45)</f>
        <v>583797.8</v>
      </c>
      <c r="I43" s="173">
        <f t="shared" si="13"/>
        <v>57.66180404690991</v>
      </c>
      <c r="J43" s="193">
        <f>SUM(J44:J45)</f>
        <v>685190.5</v>
      </c>
      <c r="K43" s="193">
        <f>SUM(K44:K45)</f>
        <v>908198.1</v>
      </c>
      <c r="L43" s="173">
        <f t="shared" si="14"/>
        <v>132.54680267750356</v>
      </c>
      <c r="M43" s="168">
        <f>населення!M43+льготи!M43+субсидии!M43+'держ.бюджет'!M43+'місц.-район.бюджет'!M43+обласной!M43+'госпрозрахунк.'!M43</f>
        <v>2735556</v>
      </c>
      <c r="N43" s="168">
        <f>населення!N43+льготи!N43+субсидии!N43+'держ.бюджет'!N43+'місц.-район.бюджет'!N43+обласной!N43+'госпрозрахунк.'!N43</f>
        <v>2240627.7</v>
      </c>
      <c r="O43" s="168">
        <f t="shared" si="4"/>
        <v>81.90757930014959</v>
      </c>
      <c r="P43" s="168">
        <f>населення!P43+льготи!P43+субсидии!P43+'держ.бюджет'!P43+'місц.-район.бюджет'!P43+обласной!P43+'госпрозрахунк.'!P43</f>
        <v>259848.19999999998</v>
      </c>
      <c r="Q43" s="168">
        <f>населення!Q43+льготи!Q43+субсидии!Q43+'держ.бюджет'!Q43+'місц.-район.бюджет'!Q43+обласной!Q43+'госпрозрахунк.'!Q43</f>
        <v>349149</v>
      </c>
      <c r="R43" s="168">
        <f t="shared" si="5"/>
        <v>134.36652630266443</v>
      </c>
      <c r="S43" s="168">
        <f>населення!S43+льготи!S43+субсидии!S43+'держ.бюджет'!S43+'місц.-район.бюджет'!S43+обласной!S43+'госпрозрахунк.'!S43</f>
        <v>115859.09999999999</v>
      </c>
      <c r="T43" s="168">
        <f>населення!T43+льготи!T43+субсидии!T43+'держ.бюджет'!T43+'місц.-район.бюджет'!T43+обласной!T43+'госпрозрахунк.'!T43</f>
        <v>279571.39999999997</v>
      </c>
      <c r="U43" s="168">
        <f>T43/S43*100</f>
        <v>241.30292743513456</v>
      </c>
      <c r="V43" s="168">
        <f>населення!V43+льготи!V43+субсидии!V43+'держ.бюджет'!V43+'місц.-район.бюджет'!V43+обласной!V43+'госпрозрахунк.'!V43</f>
        <v>98690</v>
      </c>
      <c r="W43" s="168">
        <f>населення!W43+льготи!W43+субсидии!W43+'держ.бюджет'!W43+'місц.-район.бюджет'!W43+обласной!W43+'госпрозрахунк.'!W43</f>
        <v>164131.1</v>
      </c>
      <c r="X43" s="168">
        <f>W43/V43*100</f>
        <v>166.30975782754078</v>
      </c>
      <c r="Y43" s="168">
        <f>населення!Y43+льготи!Y43+субсидии!Y43+'держ.бюджет'!Y43+'місц.-район.бюджет'!Y43+обласной!Y43+'госпрозрахунк.'!Y43</f>
        <v>474397.30000000005</v>
      </c>
      <c r="Z43" s="168">
        <f>населення!Z43+льготи!Z43+субсидии!Z43+'держ.бюджет'!Z43+'місц.-район.бюджет'!Z43+обласной!Z43+'госпрозрахунк.'!Z43</f>
        <v>792851.5</v>
      </c>
      <c r="AA43" s="168">
        <f t="shared" si="15"/>
        <v>167.12816451527019</v>
      </c>
      <c r="AB43" s="168">
        <f>населення!AB43+льготи!AB43+субсидии!AB43+'держ.бюджет'!AB43+'місц.-район.бюджет'!AB43+обласной!AB43+'госпрозрахунк.'!AB43</f>
        <v>70761.2</v>
      </c>
      <c r="AC43" s="168">
        <f>населення!AC43+льготи!AC43+субсидии!AC43+'держ.бюджет'!AC43+'місц.-район.бюджет'!AC43+обласной!AC43+'госпрозрахунк.'!AC43</f>
        <v>199324.8</v>
      </c>
      <c r="AD43" s="168">
        <f>AC43/AB43*100</f>
        <v>281.6865739981798</v>
      </c>
      <c r="AE43" s="168">
        <f>населення!AE43+льготи!AE43+субсидии!AE43+'держ.бюджет'!AE43+'місц.-район.бюджет'!AE43+обласной!AE43+'госпрозрахунк.'!AE43</f>
        <v>84690.8</v>
      </c>
      <c r="AF43" s="168">
        <f>населення!AF43+льготи!AF43+субсидии!AF43+'держ.бюджет'!AF43+'місц.-район.бюджет'!AF43+обласной!AF43+'госпрозрахунк.'!AF43</f>
        <v>463253.2</v>
      </c>
      <c r="AG43" s="168">
        <f t="shared" si="16"/>
        <v>546.993534126493</v>
      </c>
      <c r="AH43" s="168">
        <f>населення!AH43+льготи!AH43+субсидии!AH43+'держ.бюджет'!AH43+'місц.-район.бюджет'!AH43+обласной!AH43+'госпрозрахунк.'!AH43</f>
        <v>89481.20000000001</v>
      </c>
      <c r="AI43" s="168">
        <f>населення!AI43+льготи!AI43+субсидии!AI43+'держ.бюджет'!AI43+'місц.-район.бюджет'!AI43+обласной!AI43+'госпрозрахунк.'!AI43</f>
        <v>220143.30000000002</v>
      </c>
      <c r="AJ43" s="168">
        <f>населення!AJ43+льготи!AJ43+субсидии!AJ43+'держ.бюджет'!AJ43+'місц.-район.бюджет'!AJ43+обласной!AJ43+'госпрозрахунк.'!AJ43</f>
        <v>244933.2</v>
      </c>
      <c r="AK43" s="168">
        <f>населення!AK43+льготи!AK43+субсидии!AK43+'держ.бюджет'!AK43+'місц.-район.бюджет'!AK43+обласной!AK43+'госпрозрахунк.'!AK43</f>
        <v>882721.2999999999</v>
      </c>
      <c r="AL43" s="168">
        <f t="shared" si="7"/>
        <v>360.3926703280731</v>
      </c>
      <c r="AM43" s="168">
        <f>населення!AM43+льготи!AM43+субсидии!AM43+'держ.бюджет'!AM43+'місц.-район.бюджет'!AM43+обласной!AM43+'госпрозрахунк.'!AM43</f>
        <v>280852.80000000005</v>
      </c>
      <c r="AN43" s="168">
        <f>населення!AN43+льготи!AN43+субсидии!AN43+'держ.бюджет'!AN43+'місц.-район.бюджет'!AN43+обласной!AN43+'госпрозрахунк.'!AN43</f>
        <v>166679.8</v>
      </c>
      <c r="AO43" s="168">
        <f>населення!AO43+льготи!AO43+субсидии!AO43+'держ.бюджет'!AO43+'місц.-район.бюджет'!AO43+обласной!AO43+'госпрозрахунк.'!AO43</f>
        <v>796768.2999999999</v>
      </c>
      <c r="AP43" s="168">
        <f>населення!AP43+льготи!AP43+субсидии!AP43+'держ.бюджет'!AP43+'місц.-район.бюджет'!AP43+обласной!AP43+'госпрозрахунк.'!AP43</f>
        <v>283067.2</v>
      </c>
      <c r="AQ43" s="168">
        <f>населення!AR43+льготи!AQ43+субсидии!AQ43+'держ.бюджет'!AQ43+'місц.-район.бюджет'!AQ43+обласной!AQ43+'госпрозрахунк.'!AQ43</f>
        <v>868504</v>
      </c>
      <c r="AR43" s="168">
        <f>населення!AS43+льготи!AR43+субсидии!AR43+'держ.бюджет'!AR43+'місц.-район.бюджет'!AR43+обласной!AR43+'госпрозрахунк.'!AR43</f>
        <v>733436.8999999999</v>
      </c>
      <c r="AS43" s="168">
        <f>населення!AT43+льготи!AS43+субсидии!AS43+'держ.бюджет'!AS43+'місц.-район.бюджет'!AS43+обласной!AS43+'госпрозрахунк.'!AS43</f>
        <v>5401011.600000001</v>
      </c>
      <c r="AT43" s="168">
        <f>населення!AU43+льготи!AT43+субсидии!AT43+'держ.бюджет'!AT43+'місц.-район.бюджет'!AT43+обласной!AT43+'госпрозрахунк.'!AT43</f>
        <v>5099384.4</v>
      </c>
      <c r="AU43" s="175">
        <f t="shared" si="17"/>
        <v>94.41535730084341</v>
      </c>
      <c r="AV43" s="168">
        <f>населення!AW43+льготи!AV43+субсидии!AV43+'держ.бюджет'!AV43+'місц.-район.бюджет'!AV43+обласной!AV43+'госпрозрахунк.'!AV43</f>
        <v>301627.2</v>
      </c>
      <c r="AW43" s="168">
        <f>населення!AX43+льготи!AW43+субсидии!AW43+'держ.бюджет'!AW43+'місц.-район.бюджет'!AW43+обласной!AW43+'госпрозрахунк.'!AW43</f>
        <v>2413192.3000000003</v>
      </c>
      <c r="AX43" s="169">
        <f t="shared" si="9"/>
        <v>5401011.6</v>
      </c>
      <c r="AY43" s="169">
        <f t="shared" si="10"/>
        <v>5099384.4</v>
      </c>
      <c r="AZ43" s="169">
        <f t="shared" si="8"/>
        <v>301627.19999999925</v>
      </c>
      <c r="BA43" s="169">
        <f t="shared" si="1"/>
        <v>2413192.299999999</v>
      </c>
    </row>
    <row r="44" spans="1:53" s="148" customFormat="1" ht="25.5" customHeight="1">
      <c r="A44" s="191"/>
      <c r="B44" s="171" t="s">
        <v>77</v>
      </c>
      <c r="C44" s="168">
        <f>населення!C44+льготи!C44+субсидии!C44+'держ.бюджет'!C44+'місц.-район.бюджет'!C44+обласной!C44+'госпрозрахунк.'!C44</f>
        <v>2111623</v>
      </c>
      <c r="D44" s="172">
        <f>населення!D44+льготи!D44+субсидии!D44+'держ.бюджет'!D44+'місц.-район.бюджет'!D44+обласной!D44+'госпрозрахунк.'!D44</f>
        <v>1032139</v>
      </c>
      <c r="E44" s="172">
        <f>населення!E44+льготи!E44+субсидии!E44+'держ.бюджет'!E44+'місц.-район.бюджет'!E44+обласной!E44+'госпрозрахунк.'!E44</f>
        <v>747847</v>
      </c>
      <c r="F44" s="173">
        <f>E44/D44*100</f>
        <v>72.45603547584192</v>
      </c>
      <c r="G44" s="172">
        <f>населення!G44+льготи!G44+субсидии!G44+'держ.бюджет'!G44+'місц.-район.бюджет'!G44+обласной!G44+'госпрозрахунк.'!G44</f>
        <v>1005924</v>
      </c>
      <c r="H44" s="172">
        <f>населення!H44+льготи!H44+субсидии!H44+'держ.бюджет'!H44+'місц.-район.бюджет'!H44+обласной!H44+'госпрозрахунк.'!H44</f>
        <v>579661</v>
      </c>
      <c r="I44" s="173">
        <f t="shared" si="13"/>
        <v>57.62473109300503</v>
      </c>
      <c r="J44" s="172">
        <f>населення!J44+льготи!J44+субсидии!J44+'держ.бюджет'!J44+'місц.-район.бюджет'!J44+обласной!J44+'госпрозрахунк.'!J44</f>
        <v>680706</v>
      </c>
      <c r="K44" s="172">
        <f>населення!K44+льготи!K44+субсидии!K44+'держ.бюджет'!K44+'місц.-район.бюджет'!K44+обласной!K44+'госпрозрахунк.'!K44</f>
        <v>900781</v>
      </c>
      <c r="L44" s="173">
        <f t="shared" si="14"/>
        <v>132.33040402170687</v>
      </c>
      <c r="M44" s="168">
        <f>населення!M44+льготи!M44+субсидии!M44+'держ.бюджет'!M44+'місц.-район.бюджет'!M44+обласной!M44+'госпрозрахунк.'!M44</f>
        <v>2718769</v>
      </c>
      <c r="N44" s="168">
        <f>населення!N44+льготи!N44+субсидии!N44+'держ.бюджет'!N44+'місц.-район.бюджет'!N44+обласной!N44+'госпрозрахунк.'!N44</f>
        <v>2228289</v>
      </c>
      <c r="O44" s="168">
        <f t="shared" si="4"/>
        <v>81.95948239810002</v>
      </c>
      <c r="P44" s="168">
        <f>населення!P44+льготи!P44+субсидии!P44+'держ.бюджет'!P44+'місц.-район.бюджет'!P44+обласной!P44+'госпрозрахунк.'!P44</f>
        <v>258319</v>
      </c>
      <c r="Q44" s="168">
        <f>населення!Q44+льготи!Q44+субсидии!Q44+'держ.бюджет'!Q44+'місц.-район.бюджет'!Q44+обласной!Q44+'госпрозрахунк.'!Q44</f>
        <v>346526</v>
      </c>
      <c r="R44" s="168">
        <f t="shared" si="5"/>
        <v>134.14653974349545</v>
      </c>
      <c r="S44" s="168">
        <f>населення!S44+льготи!S44+субсидии!S44+'держ.бюджет'!S44+'місц.-район.бюджет'!S44+обласной!S44+'госпрозрахунк.'!S44</f>
        <v>115154</v>
      </c>
      <c r="T44" s="168">
        <f>населення!T44+льготи!T44+субсидии!T44+'держ.бюджет'!T44+'місц.-район.бюджет'!T44+обласной!T44+'госпрозрахунк.'!T44</f>
        <v>277358</v>
      </c>
      <c r="U44" s="168">
        <f>T44/S44*100</f>
        <v>240.85832884658805</v>
      </c>
      <c r="V44" s="168">
        <f>населення!V44+льготи!V44+субсидии!V44+'держ.бюджет'!V44+'місц.-район.бюджет'!V44+обласной!V44+'госпрозрахунк.'!V44</f>
        <v>98110</v>
      </c>
      <c r="W44" s="168">
        <f>населення!W44+льготи!W44+субсидии!W44+'держ.бюджет'!W44+'місц.-район.бюджет'!W44+обласной!W44+'госпрозрахунк.'!W44</f>
        <v>163269</v>
      </c>
      <c r="X44" s="168">
        <f>W44/V44*100</f>
        <v>166.4142289267149</v>
      </c>
      <c r="Y44" s="168">
        <f>населення!Y44+льготи!Y44+субсидии!Y44+'держ.бюджет'!Y44+'місц.-район.бюджет'!Y44+обласной!Y44+'госпрозрахунк.'!Y44</f>
        <v>471583</v>
      </c>
      <c r="Z44" s="168">
        <f>населення!Z44+льготи!Z44+субсидии!Z44+'держ.бюджет'!Z44+'місц.-район.бюджет'!Z44+обласной!Z44+'госпрозрахунк.'!Z44</f>
        <v>787153</v>
      </c>
      <c r="AA44" s="168">
        <f t="shared" si="15"/>
        <v>166.9171704662806</v>
      </c>
      <c r="AB44" s="168">
        <f>населення!AB44+льготи!AB44+субсидии!AB44+'держ.бюджет'!AB44+'місц.-район.бюджет'!AB44+обласной!AB44+'госпрозрахунк.'!AB44</f>
        <v>70158</v>
      </c>
      <c r="AC44" s="168">
        <f>населення!AC44+льготи!AC44+субсидии!AC44+'держ.бюджет'!AC44+'місц.-район.бюджет'!AC44+обласной!AC44+'госпрозрахунк.'!AC44</f>
        <v>198776</v>
      </c>
      <c r="AD44" s="168">
        <f>AC44/AB44*100</f>
        <v>283.3262065623307</v>
      </c>
      <c r="AE44" s="168">
        <f>населення!AE44+льготи!AE44+субсидии!AE44+'держ.бюджет'!AE44+'місц.-район.бюджет'!AE44+обласной!AE44+'госпрозрахунк.'!AE44</f>
        <v>84177</v>
      </c>
      <c r="AF44" s="168">
        <f>населення!AF44+льготи!AF44+субсидии!AF44+'держ.бюджет'!AF44+'місц.-район.бюджет'!AF44+обласной!AF44+'госпрозрахунк.'!AF44</f>
        <v>462280</v>
      </c>
      <c r="AG44" s="168">
        <f t="shared" si="16"/>
        <v>549.1761407510365</v>
      </c>
      <c r="AH44" s="168">
        <f>населення!AH44+льготи!AH44+субсидии!AH44+'держ.бюджет'!AH44+'місц.-район.бюджет'!AH44+обласной!AH44+'госпрозрахунк.'!AH44</f>
        <v>88848</v>
      </c>
      <c r="AI44" s="168">
        <f>населення!AI44+льготи!AI44+субсидии!AI44+'держ.бюджет'!AI44+'місц.-район.бюджет'!AI44+обласной!AI44+'госпрозрахунк.'!AI44</f>
        <v>219572</v>
      </c>
      <c r="AJ44" s="168">
        <f>населення!AJ44+льготи!AJ44+субсидии!AJ44+'держ.бюджет'!AJ44+'місц.-район.бюджет'!AJ44+обласной!AJ44+'госпрозрахунк.'!AJ44</f>
        <v>243183</v>
      </c>
      <c r="AK44" s="168">
        <f>населення!AK44+льготи!AK44+субсидии!AK44+'держ.бюджет'!AK44+'місц.-район.бюджет'!AK44+обласной!AK44+'госпрозрахунк.'!AK44</f>
        <v>880628</v>
      </c>
      <c r="AL44" s="168">
        <f t="shared" si="7"/>
        <v>362.12564200622575</v>
      </c>
      <c r="AM44" s="168">
        <f>населення!AM44+льготи!AM44+субсидии!AM44+'держ.бюджет'!AM44+'місц.-район.бюджет'!AM44+обласной!AM44+'госпрозрахунк.'!AM44</f>
        <v>278681</v>
      </c>
      <c r="AN44" s="168">
        <f>населення!AN44+льготи!AN44+субсидии!AN44+'держ.бюджет'!AN44+'місц.-район.бюджет'!AN44+обласной!AN44+'госпрозрахунк.'!AN44</f>
        <v>164611</v>
      </c>
      <c r="AO44" s="168">
        <f>населення!AO44+льготи!AO44+субсидии!AO44+'держ.бюджет'!AO44+'місц.-район.бюджет'!AO44+обласной!AO44+'госпрозрахунк.'!AO44</f>
        <v>791523</v>
      </c>
      <c r="AP44" s="168">
        <f>населення!AP44+льготи!AP44+субсидии!AP44+'держ.бюджет'!AP44+'місц.-район.бюджет'!AP44+обласной!AP44+'госпрозрахунк.'!AP44</f>
        <v>279212</v>
      </c>
      <c r="AQ44" s="168">
        <f>населення!AR44+льготи!AQ44+субсидии!AQ44+'держ.бюджет'!AQ44+'місц.-район.бюджет'!AQ44+обласной!AQ44+'госпрозрахунк.'!AQ44</f>
        <v>861708</v>
      </c>
      <c r="AR44" s="168">
        <f>населення!AS44+льготи!AR44+субсидии!AR44+'держ.бюджет'!AR44+'місц.-район.бюджет'!AR44+обласной!AR44+'госпрозрахунк.'!AR44</f>
        <v>724660</v>
      </c>
      <c r="AS44" s="168">
        <f>населення!AT44+льготи!AS44+субсидии!AS44+'держ.бюджет'!AS44+'місц.-район.бюджет'!AS44+обласной!AS44+'госпрозрахунк.'!AS44</f>
        <v>5365447</v>
      </c>
      <c r="AT44" s="168">
        <f>населення!AU44+льготи!AT44+субсидии!AT44+'держ.бюджет'!AT44+'місц.-район.бюджет'!AT44+обласной!AT44+'госпрозрахунк.'!AT44</f>
        <v>5064553</v>
      </c>
      <c r="AU44" s="175">
        <f t="shared" si="17"/>
        <v>94.39200499045094</v>
      </c>
      <c r="AV44" s="168">
        <f>населення!AW44+льготи!AV44+субсидии!AV44+'держ.бюджет'!AV44+'місц.-район.бюджет'!AV44+обласной!AV44+'госпрозрахунк.'!AV44</f>
        <v>300894</v>
      </c>
      <c r="AW44" s="168">
        <f>населення!AX44+льготи!AW44+субсидии!AW44+'держ.бюджет'!AW44+'місц.-район.бюджет'!AW44+обласной!AW44+'госпрозрахунк.'!AW44</f>
        <v>2412517</v>
      </c>
      <c r="AX44" s="169">
        <f t="shared" si="9"/>
        <v>5365447</v>
      </c>
      <c r="AY44" s="169">
        <f t="shared" si="10"/>
        <v>5064553</v>
      </c>
      <c r="AZ44" s="169">
        <f t="shared" si="8"/>
        <v>300894</v>
      </c>
      <c r="BA44" s="169">
        <f t="shared" si="1"/>
        <v>2412517</v>
      </c>
    </row>
    <row r="45" spans="1:53" s="148" customFormat="1" ht="24.75" customHeight="1">
      <c r="A45" s="194"/>
      <c r="B45" s="171" t="s">
        <v>69</v>
      </c>
      <c r="C45" s="168">
        <f>населення!C45+льготи!C45+субсидии!C45+'держ.бюджет'!C45+'місц.-район.бюджет'!C45+обласной!C45+'госпрозрахунк.'!C45</f>
        <v>-57.899999999999864</v>
      </c>
      <c r="D45" s="172">
        <f>населення!D45+льготи!D45+субсидии!D45+'держ.бюджет'!D45+'місц.-район.бюджет'!D45+обласной!D45+'госпрозрахунк.'!D45</f>
        <v>5775</v>
      </c>
      <c r="E45" s="172">
        <f>населення!E45+льготи!E45+субсидии!E45+'держ.бюджет'!E45+'місц.-район.бюджет'!E45+обласной!E45+'госпрозрахунк.'!E45</f>
        <v>784.8</v>
      </c>
      <c r="F45" s="173">
        <f>E45/D45*100</f>
        <v>13.589610389610387</v>
      </c>
      <c r="G45" s="172">
        <f>населення!G45+льготи!G45+субсидии!G45+'держ.бюджет'!G45+'місц.-район.бюджет'!G45+обласной!G45+'госпрозрахунк.'!G45</f>
        <v>6527.5</v>
      </c>
      <c r="H45" s="172">
        <f>населення!H45+льготи!H45+субсидии!H45+'держ.бюджет'!H45+'місц.-район.бюджет'!H45+обласной!H45+'госпрозрахунк.'!H45</f>
        <v>4136.8</v>
      </c>
      <c r="I45" s="173">
        <f t="shared" si="13"/>
        <v>63.37495212562237</v>
      </c>
      <c r="J45" s="172">
        <f>населення!J45+льготи!J45+субсидии!J45+'держ.бюджет'!J45+'місц.-район.бюджет'!J45+обласной!J45+'госпрозрахунк.'!J45</f>
        <v>4484.5</v>
      </c>
      <c r="K45" s="172">
        <f>населення!K45+льготи!K45+субсидии!K45+'держ.бюджет'!K45+'місц.-район.бюджет'!K45+обласной!K45+'госпрозрахунк.'!K45</f>
        <v>7417.1</v>
      </c>
      <c r="L45" s="173">
        <f t="shared" si="14"/>
        <v>165.39413535511207</v>
      </c>
      <c r="M45" s="168">
        <f>населення!M45+льготи!M45+субсидии!M45+'держ.бюджет'!M45+'місц.-район.бюджет'!M45+обласной!M45+'госпрозрахунк.'!M45</f>
        <v>16787.000000000004</v>
      </c>
      <c r="N45" s="168">
        <f>населення!N45+льготи!N45+субсидии!N45+'держ.бюджет'!N45+'місц.-район.бюджет'!N45+обласной!N45+'госпрозрахунк.'!N45</f>
        <v>12338.7</v>
      </c>
      <c r="O45" s="168">
        <f t="shared" si="4"/>
        <v>73.50151903258472</v>
      </c>
      <c r="P45" s="168">
        <f>населення!P45+льготи!P45+субсидии!P45+'держ.бюджет'!P45+'місц.-район.бюджет'!P45+обласной!P45+'госпрозрахунк.'!P45</f>
        <v>1529.2</v>
      </c>
      <c r="Q45" s="168">
        <f>населення!Q45+льготи!Q45+субсидии!Q45+'держ.бюджет'!Q45+'місц.-район.бюджет'!Q45+обласной!Q45+'госпрозрахунк.'!Q45</f>
        <v>2623</v>
      </c>
      <c r="R45" s="168">
        <f t="shared" si="5"/>
        <v>171.52759612869474</v>
      </c>
      <c r="S45" s="168">
        <f>населення!S45+льготи!S45+субсидии!S45+'держ.бюджет'!S45+'місц.-район.бюджет'!S45+обласной!S45+'госпрозрахунк.'!S45</f>
        <v>705.0999999999999</v>
      </c>
      <c r="T45" s="168">
        <f>населення!T45+льготи!T45+субсидии!T45+'держ.бюджет'!T45+'місц.-район.бюджет'!T45+обласной!T45+'госпрозрахунк.'!T45</f>
        <v>2213.3999999999996</v>
      </c>
      <c r="U45" s="168">
        <f>T45/S45*100</f>
        <v>313.91292015316975</v>
      </c>
      <c r="V45" s="168">
        <f>населення!V45+льготи!V45+субсидии!V45+'держ.бюджет'!V45+'місц.-район.бюджет'!V45+обласной!V45+'госпрозрахунк.'!V45</f>
        <v>580</v>
      </c>
      <c r="W45" s="168">
        <f>населення!W45+льготи!W45+субсидии!W45+'держ.бюджет'!W45+'місц.-район.бюджет'!W45+обласной!W45+'госпрозрахунк.'!W45</f>
        <v>862.1</v>
      </c>
      <c r="X45" s="168">
        <f>W45/V45*100</f>
        <v>148.63793103448276</v>
      </c>
      <c r="Y45" s="168">
        <f>населення!Y45+льготи!Y45+субсидии!Y45+'держ.бюджет'!Y45+'місц.-район.бюджет'!Y45+обласной!Y45+'госпрозрахунк.'!Y45</f>
        <v>2814.3</v>
      </c>
      <c r="Z45" s="168">
        <f>населення!Z45+льготи!Z45+субсидии!Z45+'держ.бюджет'!Z45+'місц.-район.бюджет'!Z45+обласной!Z45+'госпрозрахунк.'!Z45</f>
        <v>5698.5</v>
      </c>
      <c r="AA45" s="168">
        <f t="shared" si="15"/>
        <v>202.48374373734143</v>
      </c>
      <c r="AB45" s="168">
        <f>населення!AB45+льготи!AB45+субсидии!AB45+'держ.бюджет'!AB45+'місц.-район.бюджет'!AB45+обласной!AB45+'госпрозрахунк.'!AB45</f>
        <v>603.2</v>
      </c>
      <c r="AC45" s="168">
        <f>населення!AC45+льготи!AC45+субсидии!AC45+'держ.бюджет'!AC45+'місц.-район.бюджет'!AC45+обласной!AC45+'госпрозрахунк.'!AC45</f>
        <v>548.8000000000001</v>
      </c>
      <c r="AD45" s="168">
        <f>AC45/AB45*100</f>
        <v>90.98143236074272</v>
      </c>
      <c r="AE45" s="168">
        <f>населення!AE45+льготи!AE45+субсидии!AE45+'держ.бюджет'!AE45+'місц.-район.бюджет'!AE45+обласной!AE45+'госпрозрахунк.'!AE45</f>
        <v>513.8</v>
      </c>
      <c r="AF45" s="168">
        <f>населення!AF45+льготи!AF45+субсидии!AF45+'держ.бюджет'!AF45+'місц.-район.бюджет'!AF45+обласной!AF45+'госпрозрахунк.'!AF45</f>
        <v>973.2</v>
      </c>
      <c r="AG45" s="168">
        <f t="shared" si="16"/>
        <v>189.4122226547295</v>
      </c>
      <c r="AH45" s="168">
        <f>населення!AH45+льготи!AH45+субсидии!AH45+'держ.бюджет'!AH45+'місц.-район.бюджет'!AH45+обласной!AH45+'госпрозрахунк.'!AH45</f>
        <v>633.2</v>
      </c>
      <c r="AI45" s="168">
        <f>населення!AI45+льготи!AI45+субсидии!AI45+'держ.бюджет'!AI45+'місц.-район.бюджет'!AI45+обласной!AI45+'госпрозрахунк.'!AI45</f>
        <v>571.3</v>
      </c>
      <c r="AJ45" s="168">
        <f>населення!AJ45+льготи!AJ45+субсидии!AJ45+'держ.бюджет'!AJ45+'місц.-район.бюджет'!AJ45+обласной!AJ45+'госпрозрахунк.'!AJ45</f>
        <v>1750.2000000000003</v>
      </c>
      <c r="AK45" s="168">
        <f>населення!AK45+льготи!AK45+субсидии!AK45+'держ.бюджет'!AK45+'місц.-район.бюджет'!AK45+обласной!AK45+'госпрозрахунк.'!AK45</f>
        <v>2093.3</v>
      </c>
      <c r="AL45" s="168">
        <f t="shared" si="7"/>
        <v>119.60347388869843</v>
      </c>
      <c r="AM45" s="168">
        <f>населення!AM45+льготи!AM45+субсидии!AM45+'держ.бюджет'!AM45+'місц.-район.бюджет'!AM45+обласной!AM45+'госпрозрахунк.'!AM45</f>
        <v>2171.8</v>
      </c>
      <c r="AN45" s="168">
        <f>населення!AN45+льготи!AN45+субсидии!AN45+'держ.бюджет'!AN45+'місц.-район.бюджет'!AN45+обласной!AN45+'госпрозрахунк.'!AN45</f>
        <v>2068.8</v>
      </c>
      <c r="AO45" s="168">
        <f>населення!AO45+льготи!AO45+субсидии!AO45+'держ.бюджет'!AO45+'місц.-район.бюджет'!AO45+обласной!AO45+'госпрозрахунк.'!AO45</f>
        <v>5245.3</v>
      </c>
      <c r="AP45" s="168">
        <f>населення!AP45+льготи!AP45+субсидии!AP45+'держ.бюджет'!AP45+'місц.-район.бюджет'!AP45+обласной!AP45+'госпрозрахунк.'!AP45</f>
        <v>3855.2000000000003</v>
      </c>
      <c r="AQ45" s="168">
        <f>населення!AR45+льготи!AQ45+субсидии!AQ45+'держ.бюджет'!AQ45+'місц.-район.бюджет'!AQ45+обласной!AQ45+'госпрозрахунк.'!AQ45</f>
        <v>6796</v>
      </c>
      <c r="AR45" s="168">
        <f>населення!AS45+льготи!AR45+субсидии!AR45+'держ.бюджет'!AR45+'місц.-район.бюджет'!AR45+обласной!AR45+'госпрозрахунк.'!AR45</f>
        <v>8776.9</v>
      </c>
      <c r="AS45" s="168">
        <f>населення!AT45+льготи!AS45+субсидии!AS45+'держ.бюджет'!AS45+'місц.-район.бюджет'!AS45+обласной!AS45+'госпрозрахунк.'!AS45</f>
        <v>35564.6</v>
      </c>
      <c r="AT45" s="168">
        <f>населення!AU45+льготи!AT45+субсидии!AT45+'держ.бюджет'!AT45+'місц.-район.бюджет'!AT45+обласной!AT45+'госпрозрахунк.'!AT45</f>
        <v>34831.399999999994</v>
      </c>
      <c r="AU45" s="175">
        <f t="shared" si="17"/>
        <v>97.93839941964761</v>
      </c>
      <c r="AV45" s="168">
        <f>населення!AW45+льготи!AV45+субсидии!AV45+'держ.бюджет'!AV45+'місц.-район.бюджет'!AV45+обласной!AV45+'госпрозрахунк.'!AV45</f>
        <v>733.2000000000025</v>
      </c>
      <c r="AW45" s="168">
        <f>населення!AX45+льготи!AW45+субсидии!AW45+'держ.бюджет'!AW45+'місц.-район.бюджет'!AW45+обласной!AW45+'госпрозрахунк.'!AW45</f>
        <v>675.300000000002</v>
      </c>
      <c r="AX45" s="169">
        <f t="shared" si="9"/>
        <v>35564.600000000006</v>
      </c>
      <c r="AY45" s="169">
        <f t="shared" si="10"/>
        <v>34831.4</v>
      </c>
      <c r="AZ45" s="169">
        <f t="shared" si="8"/>
        <v>733.2000000000044</v>
      </c>
      <c r="BA45" s="169">
        <f t="shared" si="1"/>
        <v>675.3000000000029</v>
      </c>
    </row>
    <row r="46" spans="1:53" s="148" customFormat="1" ht="24.75" customHeight="1">
      <c r="A46" s="191"/>
      <c r="B46" s="192" t="s">
        <v>78</v>
      </c>
      <c r="C46" s="168">
        <f>населення!C46+льготи!C46+субсидии!C46+'держ.бюджет'!C46+'місц.-район.бюджет'!C46+обласной!C46+'госпрозрахунк.'!C46</f>
        <v>2436496.23</v>
      </c>
      <c r="D46" s="168">
        <f>населення!D46+льготи!D46+субсидии!D46+'держ.бюджет'!D46+'місц.-район.бюджет'!D46+обласной!D46+'госпрозрахунк.'!D46</f>
        <v>1248889.4000000001</v>
      </c>
      <c r="E46" s="168">
        <f>населення!E46+льготи!E46+субсидии!E46+'держ.бюджет'!E46+'місц.-район.бюджет'!E46+обласной!E46+'госпрозрахунк.'!E46</f>
        <v>913981.2999999999</v>
      </c>
      <c r="F46" s="168">
        <f>населення!F46+льготи!F46+субсидии!F46+'держ.бюджет'!F46+'місц.-район.бюджет'!F46+обласной!F46+'госпрозрахунк.'!F46</f>
        <v>608.3778959395796</v>
      </c>
      <c r="G46" s="168">
        <f>населення!G46+льготи!G46+субсидии!G46+'держ.бюджет'!G46+'місц.-район.бюджет'!G46+обласной!G46+'госпрозрахунк.'!G46</f>
        <v>1210785.9000000001</v>
      </c>
      <c r="H46" s="168">
        <f>населення!H46+льготи!H46+субсидии!H46+'держ.бюджет'!H46+'місц.-район.бюджет'!H46+обласной!H46+'госпрозрахунк.'!H46</f>
        <v>739119.1</v>
      </c>
      <c r="I46" s="168">
        <f>населення!I46+льготи!I46+субсидии!I46+'держ.бюджет'!I46+'місц.-район.бюджет'!I46+обласной!I46+'госпрозрахунк.'!I46</f>
        <v>399.6723872069697</v>
      </c>
      <c r="J46" s="168">
        <f>населення!J46+льготи!J46+субсидии!J46+'держ.бюджет'!J46+'місц.-район.бюджет'!J46+обласной!J46+'госпрозрахунк.'!J46</f>
        <v>799230.3999999999</v>
      </c>
      <c r="K46" s="168">
        <f>населення!K46+льготи!K46+субсидии!K46+'держ.бюджет'!K46+'місц.-район.бюджет'!K46+обласной!K46+'госпрозрахунк.'!K46</f>
        <v>1014111</v>
      </c>
      <c r="L46" s="168">
        <f>населення!L46+льготи!L46+субсидии!L46+'держ.бюджет'!L46+'місц.-район.бюджет'!L46+обласной!L46+'госпрозрахунк.'!L46</f>
        <v>968.3158095716213</v>
      </c>
      <c r="M46" s="168">
        <f>населення!M46+льготи!M46+субсидии!M46+'держ.бюджет'!M46+'місц.-район.бюджет'!M46+обласной!M46+'госпрозрахунк.'!M46</f>
        <v>3258905.7</v>
      </c>
      <c r="N46" s="168">
        <f>населення!N46+льготи!N46+субсидии!N46+'держ.бюджет'!N46+'місц.-район.бюджет'!N46+обласной!N46+'госпрозрахунк.'!N46</f>
        <v>2667211.4</v>
      </c>
      <c r="O46" s="168">
        <f t="shared" si="4"/>
        <v>81.84377350961704</v>
      </c>
      <c r="P46" s="168">
        <f>населення!P46+льготи!P46+субсидии!P46+'держ.бюджет'!P46+'місц.-район.бюджет'!P46+обласной!P46+'госпрозрахунк.'!P46</f>
        <v>269332.5</v>
      </c>
      <c r="Q46" s="168">
        <f>населення!Q46+льготи!Q46+субсидии!Q46+'держ.бюджет'!Q46+'місц.-район.бюджет'!Q46+обласной!Q46+'госпрозрахунк.'!Q46</f>
        <v>413673.69999999995</v>
      </c>
      <c r="R46" s="168">
        <f t="shared" si="5"/>
        <v>153.5921955204069</v>
      </c>
      <c r="S46" s="168">
        <f>населення!S46+льготи!S46+субсидии!S46+'держ.бюджет'!S46+'місц.-район.бюджет'!S46+обласной!S46+'госпрозрахунк.'!S46</f>
        <v>113496.69999999998</v>
      </c>
      <c r="T46" s="168">
        <f>населення!T46+льготи!T46+субсидии!T46+'держ.бюджет'!T46+'місц.-район.бюджет'!T46+обласной!T46+'госпрозрахунк.'!T46</f>
        <v>323975.8</v>
      </c>
      <c r="U46" s="168">
        <f>T46/S46*100</f>
        <v>285.44953289390793</v>
      </c>
      <c r="V46" s="168">
        <f>населення!V46+льготи!V46+субсидии!V46+'держ.бюджет'!V46+'місц.-район.бюджет'!V46+обласной!V46+'госпрозрахунк.'!V46</f>
        <v>98941.59999999999</v>
      </c>
      <c r="W46" s="168">
        <f>населення!W46+льготи!W46+субсидии!W46+'держ.бюджет'!W46+'місц.-район.бюджет'!W46+обласной!W46+'госпрозрахунк.'!W46</f>
        <v>191472.69999999998</v>
      </c>
      <c r="X46" s="168">
        <f>W46/V46*100</f>
        <v>193.52092547522983</v>
      </c>
      <c r="Y46" s="168">
        <f>населення!Y46+льготи!Y46+субсидии!Y46+'держ.бюджет'!Y46+'місц.-район.бюджет'!Y46+обласной!Y46+'госпрозрахунк.'!Y46</f>
        <v>481770.80000000005</v>
      </c>
      <c r="Z46" s="168">
        <f>населення!Z46+льготи!Z46+субсидии!Z46+'держ.бюджет'!Z46+'місц.-район.бюджет'!Z46+обласной!Z46+'госпрозрахунк.'!Z46</f>
        <v>929122.2</v>
      </c>
      <c r="AA46" s="168">
        <f t="shared" si="15"/>
        <v>192.85564837055293</v>
      </c>
      <c r="AB46" s="168">
        <f>населення!AB46+льготи!AB46+субсидии!AB46+'держ.бюджет'!AB46+'місц.-район.бюджет'!AB46+обласной!AB46+'госпрозрахунк.'!AB46</f>
        <v>71055.2</v>
      </c>
      <c r="AC46" s="168">
        <f>населення!AC46+льготи!AC46+субсидии!AC46+'держ.бюджет'!AC46+'місц.-район.бюджет'!AC46+обласной!AC46+'госпрозрахунк.'!AC46</f>
        <v>211290.79999999996</v>
      </c>
      <c r="AD46" s="168">
        <f>AC46/AB46*100</f>
        <v>297.3614879699163</v>
      </c>
      <c r="AE46" s="168">
        <f>населення!AE46+льготи!AE46+субсидии!AE46+'держ.бюджет'!AE46+'місц.-район.бюджет'!AE46+обласной!AE46+'госпрозрахунк.'!AE46</f>
        <v>84789.59999999999</v>
      </c>
      <c r="AF46" s="168">
        <f>населення!AF46+льготи!AF46+субсидии!AF46+'держ.бюджет'!AF46+'місц.-район.бюджет'!AF46+обласной!AF46+'госпрозрахунк.'!AF46</f>
        <v>539250.5</v>
      </c>
      <c r="AG46" s="168">
        <f t="shared" si="16"/>
        <v>635.9866068480097</v>
      </c>
      <c r="AH46" s="168">
        <f>населення!AH46+льготи!AH46+субсидии!AH46+'держ.бюджет'!AH46+'місц.-район.бюджет'!AH46+обласной!AH46+'госпрозрахунк.'!AH46</f>
        <v>89758.8</v>
      </c>
      <c r="AI46" s="168">
        <f>населення!AI46+льготи!AI46+субсидии!AI46+'держ.бюджет'!AI46+'місц.-район.бюджет'!AI46+обласной!AI46+'госпрозрахунк.'!AI46</f>
        <v>248814.09999999998</v>
      </c>
      <c r="AJ46" s="168">
        <f>населення!AJ46+льготи!AJ46+субсидии!AJ46+'держ.бюджет'!AJ46+'місц.-район.бюджет'!AJ46+обласной!AJ46+'госпрозрахунк.'!AJ46</f>
        <v>245603.6</v>
      </c>
      <c r="AK46" s="168">
        <f>населення!AK46+льготи!AK46+субсидии!AK46+'держ.бюджет'!AK46+'місц.-район.бюджет'!AK46+обласной!AK46+'госпрозрахунк.'!AK46</f>
        <v>999355.4000000001</v>
      </c>
      <c r="AL46" s="168">
        <f t="shared" si="7"/>
        <v>406.89770019657703</v>
      </c>
      <c r="AM46" s="168">
        <f>населення!AM46+льготи!AM46+субсидии!AM46+'держ.бюджет'!AM46+'місц.-район.бюджет'!AM46+обласной!AM46+'госпрозрахунк.'!AM46</f>
        <v>329010.7</v>
      </c>
      <c r="AN46" s="168">
        <f>населення!AN46+льготи!AN46+субсидии!AN46+'держ.бюджет'!AN46+'місц.-район.бюджет'!AN46+обласной!AN46+'госпрозрахунк.'!AN46</f>
        <v>191098.2</v>
      </c>
      <c r="AO46" s="168">
        <f>населення!AO46+льготи!AO46+субсидии!AO46+'держ.бюджет'!AO46+'місц.-район.бюджет'!AO46+обласной!AO46+'госпрозрахунк.'!AO46</f>
        <v>956520.29</v>
      </c>
      <c r="AP46" s="168">
        <f>населення!AP46+льготи!AP46+субсидии!AP46+'держ.бюджет'!AP46+'місц.-район.бюджет'!AP46+обласной!AP46+'госпрозрахунк.'!AP46</f>
        <v>339238.6</v>
      </c>
      <c r="AQ46" s="168">
        <f>населення!AR46+льготи!AQ46+субсидии!AQ46+'держ.бюджет'!AQ46+'місц.-район.бюджет'!AQ46+обласной!AQ46+'госпрозрахунк.'!AQ46</f>
        <v>1046414.2000000001</v>
      </c>
      <c r="AR46" s="168">
        <f>населення!AS46+льготи!AR46+субсидии!AR46+'держ.бюджет'!AR46+'місц.-район.бюджет'!AR46+обласной!AR46+'госпрозрахунк.'!AR46</f>
        <v>936176.2</v>
      </c>
      <c r="AS46" s="168">
        <f>населення!AT46+льготи!AS46+субсидии!AS46+'держ.бюджет'!AS46+'місц.-район.бюджет'!AS46+обласной!AS46+'госпрозрахунк.'!AS46</f>
        <v>6318225.289999999</v>
      </c>
      <c r="AT46" s="168">
        <f>населення!AU46+льготи!AT46+субсидии!AT46+'держ.бюджет'!AT46+'місц.-район.бюджет'!AT46+обласной!AT46+'госпрозрахунк.'!AT46</f>
        <v>6062201.999999999</v>
      </c>
      <c r="AU46" s="175">
        <f t="shared" si="17"/>
        <v>95.94786070061139</v>
      </c>
      <c r="AV46" s="168">
        <f>населення!AW46+льготи!AV46+субсидии!AV46+'держ.бюджет'!AV46+'місц.-район.бюджет'!AV46+обласной!AV46+'госпрозрахунк.'!AV46</f>
        <v>256023.28999999998</v>
      </c>
      <c r="AW46" s="168">
        <f>населення!AX46+льготи!AW46+субсидии!AW46+'держ.бюджет'!AW46+'місц.-район.бюджет'!AW46+обласной!AW46+'госпрозрахунк.'!AW46</f>
        <v>2692519.52</v>
      </c>
      <c r="AX46" s="169">
        <f t="shared" si="9"/>
        <v>6318225.29</v>
      </c>
      <c r="AY46" s="169">
        <f t="shared" si="10"/>
        <v>6062202</v>
      </c>
      <c r="AZ46" s="169">
        <f>AX46-AY46</f>
        <v>256023.29000000004</v>
      </c>
      <c r="BA46" s="169">
        <f t="shared" si="1"/>
        <v>2692519.5199999996</v>
      </c>
    </row>
    <row r="47" spans="2:53" ht="18.75">
      <c r="B47" s="195"/>
      <c r="C47" s="196"/>
      <c r="D47" s="197"/>
      <c r="E47" s="197"/>
      <c r="F47" s="198"/>
      <c r="G47" s="199"/>
      <c r="H47" s="199"/>
      <c r="I47" s="198"/>
      <c r="J47" s="199"/>
      <c r="K47" s="199"/>
      <c r="L47" s="198"/>
      <c r="M47" s="198"/>
      <c r="N47" s="198"/>
      <c r="O47" s="198"/>
      <c r="P47" s="199"/>
      <c r="Q47" s="199"/>
      <c r="R47" s="198"/>
      <c r="S47" s="199"/>
      <c r="T47" s="199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200"/>
      <c r="AW47" s="201"/>
      <c r="AX47" s="160">
        <f>AX43+AX7</f>
        <v>5355407.6899999995</v>
      </c>
      <c r="AY47" s="160">
        <f>AY43+AY7</f>
        <v>5378711.62</v>
      </c>
      <c r="AZ47" s="160">
        <f>AZ43+AZ7</f>
        <v>-23303.93000000069</v>
      </c>
      <c r="BA47" s="160">
        <f>BA43+BA7</f>
        <v>2413192.299999999</v>
      </c>
    </row>
    <row r="48" spans="48:52" ht="18.75">
      <c r="AV48" s="200"/>
      <c r="AZ48" s="160">
        <f>AZ47-AV46</f>
        <v>-279327.22000000067</v>
      </c>
    </row>
    <row r="49" spans="48:49" ht="18.75">
      <c r="AV49" s="200"/>
      <c r="AW49" s="160"/>
    </row>
    <row r="50" spans="48:49" ht="18.75">
      <c r="AV50" s="200"/>
      <c r="AW50" s="160"/>
    </row>
    <row r="51" ht="18.75">
      <c r="AV51" s="200"/>
    </row>
    <row r="52" ht="18.75">
      <c r="AV52" s="200"/>
    </row>
    <row r="53" ht="18.75">
      <c r="AV53" s="200"/>
    </row>
    <row r="54" ht="18.75">
      <c r="AV54" s="200"/>
    </row>
    <row r="55" ht="18.75">
      <c r="AV55" s="200"/>
    </row>
    <row r="56" ht="18.75">
      <c r="AV56" s="200"/>
    </row>
    <row r="57" ht="18.75">
      <c r="AV57" s="200"/>
    </row>
    <row r="58" ht="18.75">
      <c r="AV58" s="200"/>
    </row>
    <row r="59" ht="18.75">
      <c r="AV59" s="200"/>
    </row>
    <row r="60" ht="18.75">
      <c r="AV60" s="200"/>
    </row>
    <row r="61" ht="18.75">
      <c r="AV61" s="200"/>
    </row>
    <row r="62" ht="18.75">
      <c r="AV62" s="200"/>
    </row>
    <row r="63" ht="18.75">
      <c r="AV63" s="200"/>
    </row>
    <row r="64" ht="18.75">
      <c r="AV64" s="200"/>
    </row>
    <row r="65" ht="18.75">
      <c r="AV65" s="200"/>
    </row>
    <row r="66" ht="18.75">
      <c r="AV66" s="200"/>
    </row>
    <row r="67" ht="18.75">
      <c r="AV67" s="200"/>
    </row>
    <row r="68" ht="18.75">
      <c r="AV68" s="200"/>
    </row>
    <row r="69" ht="18.75">
      <c r="AV69" s="200"/>
    </row>
    <row r="70" ht="18.75">
      <c r="AV70" s="200"/>
    </row>
    <row r="71" ht="18.75">
      <c r="AV71" s="200"/>
    </row>
    <row r="72" ht="18.75">
      <c r="AV72" s="200"/>
    </row>
    <row r="73" ht="18.75">
      <c r="AV73" s="200"/>
    </row>
    <row r="74" ht="18.75">
      <c r="AV74" s="200"/>
    </row>
    <row r="75" ht="18.75">
      <c r="AV75" s="200"/>
    </row>
    <row r="76" ht="18.75">
      <c r="AV76" s="200"/>
    </row>
    <row r="77" ht="18.75">
      <c r="AV77" s="200"/>
    </row>
    <row r="78" ht="18.75">
      <c r="AV78" s="200"/>
    </row>
    <row r="79" ht="18.75">
      <c r="AV79" s="200"/>
    </row>
    <row r="80" ht="18.75">
      <c r="AV80" s="200"/>
    </row>
    <row r="81" ht="18.75">
      <c r="AV81" s="200"/>
    </row>
    <row r="82" ht="18.75">
      <c r="AV82" s="200"/>
    </row>
    <row r="83" ht="18.75">
      <c r="AV83" s="200"/>
    </row>
    <row r="84" ht="18.75">
      <c r="AV84" s="200"/>
    </row>
    <row r="85" ht="18.75">
      <c r="AV85" s="200"/>
    </row>
    <row r="86" ht="18.75">
      <c r="AV86" s="200"/>
    </row>
    <row r="87" ht="18.75">
      <c r="AV87" s="200"/>
    </row>
    <row r="88" ht="18.75">
      <c r="AV88" s="200"/>
    </row>
    <row r="89" ht="18.75">
      <c r="AV89" s="200"/>
    </row>
    <row r="90" ht="18.75">
      <c r="AV90" s="200"/>
    </row>
    <row r="91" ht="18.75">
      <c r="AV91" s="200"/>
    </row>
    <row r="92" ht="18.75">
      <c r="AV92" s="200"/>
    </row>
    <row r="93" ht="18.75">
      <c r="AV93" s="200"/>
    </row>
  </sheetData>
  <sheetProtection/>
  <autoFilter ref="F1:F93"/>
  <mergeCells count="21">
    <mergeCell ref="AM5:AN5"/>
    <mergeCell ref="AB5:AD5"/>
    <mergeCell ref="AQ5:AR5"/>
    <mergeCell ref="Y5:AA5"/>
    <mergeCell ref="S5:U5"/>
    <mergeCell ref="AW5:AW6"/>
    <mergeCell ref="AV5:AV6"/>
    <mergeCell ref="V5:X5"/>
    <mergeCell ref="AE5:AG5"/>
    <mergeCell ref="AH5:AI5"/>
    <mergeCell ref="AJ5:AL5"/>
    <mergeCell ref="M5:O5"/>
    <mergeCell ref="AO5:AP5"/>
    <mergeCell ref="B2:AW2"/>
    <mergeCell ref="B3:AW3"/>
    <mergeCell ref="B4:C4"/>
    <mergeCell ref="D5:F5"/>
    <mergeCell ref="G5:I5"/>
    <mergeCell ref="AS5:AU5"/>
    <mergeCell ref="J5:L5"/>
    <mergeCell ref="P5:R5"/>
  </mergeCells>
  <printOptions horizontalCentered="1"/>
  <pageMargins left="0" right="0" top="0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2"/>
  <sheetViews>
    <sheetView view="pageBreakPreview" zoomScale="70" zoomScaleNormal="75" zoomScaleSheetLayoutView="70" zoomScalePageLayoutView="0" workbookViewId="0" topLeftCell="A2">
      <pane xSplit="3" ySplit="6" topLeftCell="AM1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T24" sqref="AT24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41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customWidth="1"/>
    <col min="26" max="26" width="15.125" style="8" customWidth="1"/>
    <col min="27" max="27" width="11.87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customWidth="1"/>
    <col min="37" max="37" width="15.125" style="8" customWidth="1"/>
    <col min="38" max="38" width="11.875" style="8" hidden="1" customWidth="1"/>
    <col min="39" max="39" width="14.875" style="8" customWidth="1"/>
    <col min="40" max="40" width="13.75390625" style="8" customWidth="1"/>
    <col min="41" max="41" width="14.875" style="8" customWidth="1"/>
    <col min="42" max="42" width="13.75390625" style="8" customWidth="1"/>
    <col min="43" max="43" width="13.75390625" style="8" hidden="1" customWidth="1"/>
    <col min="44" max="44" width="14.875" style="8" customWidth="1"/>
    <col min="45" max="45" width="13.75390625" style="8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</row>
    <row r="2" spans="1:50" s="32" customFormat="1" ht="42" customHeight="1">
      <c r="A2" s="31"/>
      <c r="B2" s="122" t="s">
        <v>90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</row>
    <row r="3" spans="1:50" s="32" customFormat="1" ht="42" customHeight="1">
      <c r="A3" s="31"/>
      <c r="B3" s="122" t="s">
        <v>130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</row>
    <row r="4" spans="2:50" ht="18.75">
      <c r="B4" s="123"/>
      <c r="C4" s="123"/>
      <c r="AX4" s="11" t="s">
        <v>48</v>
      </c>
    </row>
    <row r="5" spans="1:50" s="9" customFormat="1" ht="36.75" customHeight="1">
      <c r="A5" s="89" t="s">
        <v>36</v>
      </c>
      <c r="B5" s="89"/>
      <c r="C5" s="26" t="s">
        <v>1</v>
      </c>
      <c r="D5" s="124" t="s">
        <v>111</v>
      </c>
      <c r="E5" s="125"/>
      <c r="F5" s="126"/>
      <c r="G5" s="119" t="s">
        <v>113</v>
      </c>
      <c r="H5" s="120"/>
      <c r="I5" s="121"/>
      <c r="J5" s="119" t="s">
        <v>116</v>
      </c>
      <c r="K5" s="120"/>
      <c r="L5" s="121"/>
      <c r="M5" s="119" t="s">
        <v>118</v>
      </c>
      <c r="N5" s="120"/>
      <c r="O5" s="121"/>
      <c r="P5" s="119" t="s">
        <v>117</v>
      </c>
      <c r="Q5" s="120"/>
      <c r="R5" s="121"/>
      <c r="S5" s="119" t="s">
        <v>119</v>
      </c>
      <c r="T5" s="120"/>
      <c r="U5" s="121"/>
      <c r="V5" s="119" t="s">
        <v>120</v>
      </c>
      <c r="W5" s="120"/>
      <c r="X5" s="121"/>
      <c r="Y5" s="119" t="s">
        <v>121</v>
      </c>
      <c r="Z5" s="120"/>
      <c r="AA5" s="121"/>
      <c r="AB5" s="119" t="s">
        <v>122</v>
      </c>
      <c r="AC5" s="120"/>
      <c r="AD5" s="121"/>
      <c r="AE5" s="119" t="s">
        <v>123</v>
      </c>
      <c r="AF5" s="120"/>
      <c r="AG5" s="121"/>
      <c r="AH5" s="119" t="s">
        <v>124</v>
      </c>
      <c r="AI5" s="121"/>
      <c r="AJ5" s="119" t="s">
        <v>126</v>
      </c>
      <c r="AK5" s="120"/>
      <c r="AL5" s="121"/>
      <c r="AM5" s="119" t="s">
        <v>125</v>
      </c>
      <c r="AN5" s="121"/>
      <c r="AO5" s="119" t="s">
        <v>127</v>
      </c>
      <c r="AP5" s="121"/>
      <c r="AQ5" s="118"/>
      <c r="AR5" s="119" t="s">
        <v>128</v>
      </c>
      <c r="AS5" s="121"/>
      <c r="AT5" s="124" t="s">
        <v>114</v>
      </c>
      <c r="AU5" s="125"/>
      <c r="AV5" s="126"/>
      <c r="AW5" s="127" t="s">
        <v>131</v>
      </c>
      <c r="AX5" s="127" t="s">
        <v>132</v>
      </c>
    </row>
    <row r="6" spans="1:50" s="9" customFormat="1" ht="60" customHeight="1">
      <c r="A6" s="90" t="s">
        <v>9</v>
      </c>
      <c r="B6" s="42" t="s">
        <v>46</v>
      </c>
      <c r="C6" s="12" t="s">
        <v>106</v>
      </c>
      <c r="D6" s="28" t="s">
        <v>112</v>
      </c>
      <c r="E6" s="28" t="s">
        <v>47</v>
      </c>
      <c r="F6" s="13" t="s">
        <v>0</v>
      </c>
      <c r="G6" s="28" t="s">
        <v>112</v>
      </c>
      <c r="H6" s="28" t="s">
        <v>47</v>
      </c>
      <c r="I6" s="13" t="s">
        <v>0</v>
      </c>
      <c r="J6" s="28" t="s">
        <v>112</v>
      </c>
      <c r="K6" s="28" t="s">
        <v>47</v>
      </c>
      <c r="L6" s="13" t="s">
        <v>0</v>
      </c>
      <c r="M6" s="28" t="s">
        <v>112</v>
      </c>
      <c r="N6" s="28" t="s">
        <v>47</v>
      </c>
      <c r="O6" s="13" t="s">
        <v>0</v>
      </c>
      <c r="P6" s="28" t="s">
        <v>112</v>
      </c>
      <c r="Q6" s="28" t="s">
        <v>47</v>
      </c>
      <c r="R6" s="13" t="s">
        <v>0</v>
      </c>
      <c r="S6" s="28" t="s">
        <v>112</v>
      </c>
      <c r="T6" s="28" t="s">
        <v>47</v>
      </c>
      <c r="U6" s="13" t="s">
        <v>0</v>
      </c>
      <c r="V6" s="28" t="s">
        <v>112</v>
      </c>
      <c r="W6" s="28" t="s">
        <v>47</v>
      </c>
      <c r="X6" s="13" t="s">
        <v>0</v>
      </c>
      <c r="Y6" s="28" t="s">
        <v>112</v>
      </c>
      <c r="Z6" s="28" t="s">
        <v>47</v>
      </c>
      <c r="AA6" s="13" t="s">
        <v>0</v>
      </c>
      <c r="AB6" s="28" t="s">
        <v>112</v>
      </c>
      <c r="AC6" s="28" t="s">
        <v>47</v>
      </c>
      <c r="AD6" s="13" t="s">
        <v>0</v>
      </c>
      <c r="AE6" s="28" t="s">
        <v>112</v>
      </c>
      <c r="AF6" s="28" t="s">
        <v>47</v>
      </c>
      <c r="AG6" s="13" t="s">
        <v>0</v>
      </c>
      <c r="AH6" s="28" t="s">
        <v>112</v>
      </c>
      <c r="AI6" s="28" t="s">
        <v>47</v>
      </c>
      <c r="AJ6" s="28" t="s">
        <v>112</v>
      </c>
      <c r="AK6" s="28" t="s">
        <v>47</v>
      </c>
      <c r="AL6" s="13" t="s">
        <v>0</v>
      </c>
      <c r="AM6" s="28" t="s">
        <v>112</v>
      </c>
      <c r="AN6" s="28" t="s">
        <v>47</v>
      </c>
      <c r="AO6" s="28" t="s">
        <v>112</v>
      </c>
      <c r="AP6" s="28" t="s">
        <v>47</v>
      </c>
      <c r="AQ6" s="28" t="s">
        <v>0</v>
      </c>
      <c r="AR6" s="28" t="s">
        <v>112</v>
      </c>
      <c r="AS6" s="28" t="s">
        <v>47</v>
      </c>
      <c r="AT6" s="28" t="s">
        <v>112</v>
      </c>
      <c r="AU6" s="28" t="s">
        <v>47</v>
      </c>
      <c r="AV6" s="13" t="s">
        <v>0</v>
      </c>
      <c r="AW6" s="128"/>
      <c r="AX6" s="128"/>
    </row>
    <row r="7" spans="1:52" s="8" customFormat="1" ht="36" customHeight="1">
      <c r="A7" s="13"/>
      <c r="B7" s="14" t="s">
        <v>49</v>
      </c>
      <c r="C7" s="91">
        <f>SUM(C8:C42)</f>
        <v>184538.02999999997</v>
      </c>
      <c r="D7" s="15">
        <f>SUM(D8:D42)</f>
        <v>50559.9</v>
      </c>
      <c r="E7" s="15">
        <f>SUM(E8:E42)</f>
        <v>30917.899999999998</v>
      </c>
      <c r="F7" s="15">
        <f>E7/D7*100</f>
        <v>61.15103075757665</v>
      </c>
      <c r="G7" s="15">
        <f>SUM(G8:G42)</f>
        <v>46962.1</v>
      </c>
      <c r="H7" s="15">
        <f>SUM(H8:H42)</f>
        <v>31927.100000000002</v>
      </c>
      <c r="I7" s="15">
        <f>H7/G7*100</f>
        <v>67.98482180311358</v>
      </c>
      <c r="J7" s="15">
        <f>SUM(J8:J42)</f>
        <v>-4763.2</v>
      </c>
      <c r="K7" s="15">
        <f>SUM(K8:K42)</f>
        <v>32487.399999999994</v>
      </c>
      <c r="L7" s="15">
        <f>K7/J7*100</f>
        <v>-682.0498824319784</v>
      </c>
      <c r="M7" s="15">
        <f>SUM(M8:M42)</f>
        <v>92758.80000000002</v>
      </c>
      <c r="N7" s="15">
        <f>SUM(N8:N42)</f>
        <v>95332.40000000002</v>
      </c>
      <c r="O7" s="15">
        <f>N7/M7*100</f>
        <v>102.77450764779192</v>
      </c>
      <c r="P7" s="15">
        <f>SUM(P8:P42)</f>
        <v>6015.4</v>
      </c>
      <c r="Q7" s="15">
        <f>SUM(Q8:Q42)</f>
        <v>18054</v>
      </c>
      <c r="R7" s="15">
        <f>Q7/P7*100</f>
        <v>300.12966718755195</v>
      </c>
      <c r="S7" s="15">
        <f>SUM(S8:S42)</f>
        <v>25115.8</v>
      </c>
      <c r="T7" s="15">
        <f>SUM(T8:T42)</f>
        <v>11844.899999999998</v>
      </c>
      <c r="U7" s="15">
        <f>T7/S7*100</f>
        <v>47.16114955526003</v>
      </c>
      <c r="V7" s="15">
        <f>SUM(V8:V42)</f>
        <v>-165.79999999999995</v>
      </c>
      <c r="W7" s="15">
        <f>SUM(W8:W42)</f>
        <v>8398.7</v>
      </c>
      <c r="X7" s="15">
        <f>W7/V7*100</f>
        <v>-5065.560916767191</v>
      </c>
      <c r="Y7" s="15">
        <f>SUM(Y8:Y42)</f>
        <v>30965.399999999998</v>
      </c>
      <c r="Z7" s="15">
        <f>SUM(Z8:Z42)</f>
        <v>38297.600000000006</v>
      </c>
      <c r="AA7" s="15">
        <f>Z7/Y7*100</f>
        <v>123.6786865340025</v>
      </c>
      <c r="AB7" s="15">
        <f>SUM(AB8:AB42)</f>
        <v>-241.90000000000003</v>
      </c>
      <c r="AC7" s="15">
        <f>SUM(AC8:AC42)</f>
        <v>8661.8</v>
      </c>
      <c r="AD7" s="30">
        <f>AC7/AB7*100</f>
        <v>-3580.735841256717</v>
      </c>
      <c r="AE7" s="15">
        <f>SUM(AE8:AE42)</f>
        <v>16.599999999999998</v>
      </c>
      <c r="AF7" s="15">
        <f>SUM(AF8:AF42)</f>
        <v>8782.499999999998</v>
      </c>
      <c r="AG7" s="30">
        <f>AF7/AE7*100</f>
        <v>52906.62650602409</v>
      </c>
      <c r="AH7" s="15">
        <f>SUM(AH8:AH42)</f>
        <v>1.1102230246251565E-15</v>
      </c>
      <c r="AI7" s="15">
        <f>SUM(AI8:AI42)</f>
        <v>7430.6</v>
      </c>
      <c r="AJ7" s="15">
        <f>SUM(AJ8:AJ42)</f>
        <v>-225.3</v>
      </c>
      <c r="AK7" s="15">
        <f>SUM(AK8:AK42)</f>
        <v>24874.900000000005</v>
      </c>
      <c r="AL7" s="15">
        <f>AK7/AJ7*100</f>
        <v>-11040.790057700844</v>
      </c>
      <c r="AM7" s="15">
        <f aca="true" t="shared" si="0" ref="AM7:AU7">SUM(AM8:AM42)</f>
        <v>8800.199999999999</v>
      </c>
      <c r="AN7" s="15">
        <f t="shared" si="0"/>
        <v>4943</v>
      </c>
      <c r="AO7" s="15">
        <f t="shared" si="0"/>
        <v>32239.700000000004</v>
      </c>
      <c r="AP7" s="15">
        <f t="shared" si="0"/>
        <v>12100.6</v>
      </c>
      <c r="AQ7" s="15">
        <f>AP7/AO7*100</f>
        <v>37.53322766651054</v>
      </c>
      <c r="AR7" s="15">
        <f>SUM(AR8:AR42)</f>
        <v>30782.600000000002</v>
      </c>
      <c r="AS7" s="15">
        <f>SUM(AS8:AS42)</f>
        <v>24038.1</v>
      </c>
      <c r="AT7" s="15">
        <f t="shared" si="0"/>
        <v>195321.40000000002</v>
      </c>
      <c r="AU7" s="15">
        <f t="shared" si="0"/>
        <v>199586.59999999998</v>
      </c>
      <c r="AV7" s="15">
        <f>AU7/AT7*100</f>
        <v>102.18368289393787</v>
      </c>
      <c r="AW7" s="44">
        <f>SUM(AW8:AW42)</f>
        <v>-4265.199999999995</v>
      </c>
      <c r="AX7" s="44">
        <f>SUM(AX8:AX42)</f>
        <v>180272.82999999996</v>
      </c>
      <c r="AY7" s="22">
        <f>AT7-AU7</f>
        <v>-4265.199999999953</v>
      </c>
      <c r="AZ7" s="22">
        <f aca="true" t="shared" si="1" ref="AZ7:AZ42">C7+AT7-AU7</f>
        <v>180272.83000000002</v>
      </c>
    </row>
    <row r="8" spans="1:52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5">
        <f aca="true" t="shared" si="2" ref="F8:F27">E8/D8*100</f>
        <v>76.23165557693645</v>
      </c>
      <c r="G8" s="3">
        <v>3885.2</v>
      </c>
      <c r="H8" s="3">
        <v>3101</v>
      </c>
      <c r="I8" s="15">
        <f>H8/G8*100</f>
        <v>79.81571090291362</v>
      </c>
      <c r="J8" s="3">
        <v>-196</v>
      </c>
      <c r="K8" s="3">
        <v>2937.1</v>
      </c>
      <c r="L8" s="15">
        <f>K8/J8*100</f>
        <v>-1498.5204081632653</v>
      </c>
      <c r="M8" s="3">
        <f>D8+G8+J8</f>
        <v>8002.5</v>
      </c>
      <c r="N8" s="3">
        <f>E8+H8+K8</f>
        <v>9326.2</v>
      </c>
      <c r="O8" s="15">
        <f aca="true" t="shared" si="3" ref="O8:O46">N8/M8*100</f>
        <v>116.54108091221494</v>
      </c>
      <c r="P8" s="3">
        <v>-266.9</v>
      </c>
      <c r="Q8" s="3">
        <v>2061.9</v>
      </c>
      <c r="R8" s="15">
        <f>Q8/P8*100</f>
        <v>-772.5365305357813</v>
      </c>
      <c r="S8" s="3">
        <v>902.8</v>
      </c>
      <c r="T8" s="3">
        <v>1107.8</v>
      </c>
      <c r="U8" s="15">
        <f>T8/S8*100</f>
        <v>122.70713336287106</v>
      </c>
      <c r="V8" s="3">
        <v>-1.8</v>
      </c>
      <c r="W8" s="3">
        <v>840.7</v>
      </c>
      <c r="X8" s="15">
        <f>W8/V8*100</f>
        <v>-46705.555555555555</v>
      </c>
      <c r="Y8" s="3">
        <f>P8+S8+V8</f>
        <v>634.1</v>
      </c>
      <c r="Z8" s="3">
        <f>Q8+T8+W8</f>
        <v>4010.3999999999996</v>
      </c>
      <c r="AA8" s="15">
        <f>Z8/Y8*100</f>
        <v>632.4554486674026</v>
      </c>
      <c r="AB8" s="3">
        <v>-7.5</v>
      </c>
      <c r="AC8" s="3">
        <v>1004.7</v>
      </c>
      <c r="AD8" s="30">
        <f>AC8/AB8*100</f>
        <v>-13396</v>
      </c>
      <c r="AE8" s="3">
        <v>-1.1</v>
      </c>
      <c r="AF8" s="3">
        <v>848.3</v>
      </c>
      <c r="AG8" s="30">
        <f>AF8/AE8*100</f>
        <v>-77118.18181818181</v>
      </c>
      <c r="AH8" s="3">
        <v>-1.9</v>
      </c>
      <c r="AI8" s="3">
        <v>724.6</v>
      </c>
      <c r="AJ8" s="3">
        <f>AB8+AE8+AH8</f>
        <v>-10.5</v>
      </c>
      <c r="AK8" s="3">
        <f>AC8+AF8+AI8</f>
        <v>2577.6</v>
      </c>
      <c r="AL8" s="15">
        <f>AK8/AJ8*100</f>
        <v>-24548.571428571428</v>
      </c>
      <c r="AM8" s="3">
        <v>763.7</v>
      </c>
      <c r="AN8" s="3">
        <v>576.6</v>
      </c>
      <c r="AO8" s="3">
        <v>3235.3</v>
      </c>
      <c r="AP8" s="3">
        <v>1289.6</v>
      </c>
      <c r="AQ8" s="15">
        <f aca="true" t="shared" si="4" ref="AQ8:AQ46">AP8/AO8*100</f>
        <v>39.86029116310697</v>
      </c>
      <c r="AR8" s="3">
        <v>3130.3</v>
      </c>
      <c r="AS8" s="3">
        <v>2740.6</v>
      </c>
      <c r="AT8" s="3">
        <f>M8+Y8+AJ8+AM8+AO8+AR8</f>
        <v>15755.400000000001</v>
      </c>
      <c r="AU8" s="3">
        <f>N8+Z8+AK8+AN8+AP8+AS8</f>
        <v>20520.999999999996</v>
      </c>
      <c r="AV8" s="15">
        <f>AU8/AT8*100</f>
        <v>130.24740723815322</v>
      </c>
      <c r="AW8" s="15">
        <f>AT8-AU8</f>
        <v>-4765.599999999995</v>
      </c>
      <c r="AX8" s="4">
        <f>C8+AT8-AU8</f>
        <v>15909.930000000004</v>
      </c>
      <c r="AY8" s="22">
        <f aca="true" t="shared" si="5" ref="AY8:AY42">AT8-AU8</f>
        <v>-4765.599999999995</v>
      </c>
      <c r="AZ8" s="22">
        <f t="shared" si="1"/>
        <v>15909.930000000004</v>
      </c>
    </row>
    <row r="9" spans="1:52" ht="41.25" customHeight="1">
      <c r="A9" s="6">
        <v>2</v>
      </c>
      <c r="B9" s="34" t="s">
        <v>81</v>
      </c>
      <c r="C9" s="2">
        <v>117.2</v>
      </c>
      <c r="D9" s="3">
        <v>40.1</v>
      </c>
      <c r="E9" s="3">
        <v>25.1</v>
      </c>
      <c r="F9" s="15">
        <f t="shared" si="2"/>
        <v>62.593516209476306</v>
      </c>
      <c r="G9" s="3">
        <v>25.6</v>
      </c>
      <c r="H9" s="3">
        <v>42</v>
      </c>
      <c r="I9" s="15">
        <f aca="true" t="shared" si="6" ref="I9:I21">H9/G9*100</f>
        <v>164.0625</v>
      </c>
      <c r="J9" s="3">
        <v>-34.5</v>
      </c>
      <c r="K9" s="3">
        <v>21.1</v>
      </c>
      <c r="L9" s="15">
        <f aca="true" t="shared" si="7" ref="L9:L21">K9/J9*100</f>
        <v>-61.159420289855085</v>
      </c>
      <c r="M9" s="3">
        <f aca="true" t="shared" si="8" ref="M9:M42">D9+G9+J9</f>
        <v>31.200000000000003</v>
      </c>
      <c r="N9" s="3">
        <f aca="true" t="shared" si="9" ref="N9:N42">E9+H9+K9</f>
        <v>88.19999999999999</v>
      </c>
      <c r="O9" s="15">
        <f t="shared" si="3"/>
        <v>282.6923076923076</v>
      </c>
      <c r="P9" s="3">
        <v>4</v>
      </c>
      <c r="Q9" s="3">
        <v>9.4</v>
      </c>
      <c r="R9" s="15">
        <f aca="true" t="shared" si="10" ref="R9:R19">Q9/P9*100</f>
        <v>235</v>
      </c>
      <c r="S9" s="3">
        <v>52</v>
      </c>
      <c r="T9" s="3">
        <v>16</v>
      </c>
      <c r="U9" s="15">
        <f aca="true" t="shared" si="11" ref="U9:U15">T9/S9*100</f>
        <v>30.76923076923077</v>
      </c>
      <c r="V9" s="3">
        <v>-46.2</v>
      </c>
      <c r="W9" s="3">
        <v>8.3</v>
      </c>
      <c r="X9" s="15">
        <f aca="true" t="shared" si="12" ref="X9:X15">W9/V9*100</f>
        <v>-17.965367965367964</v>
      </c>
      <c r="Y9" s="3">
        <f>P9+S9+V9</f>
        <v>9.799999999999997</v>
      </c>
      <c r="Z9" s="3">
        <f>Q9+T9+W9</f>
        <v>33.7</v>
      </c>
      <c r="AA9" s="15">
        <f>Z9/Y9*100</f>
        <v>343.8775510204083</v>
      </c>
      <c r="AB9" s="3">
        <v>0</v>
      </c>
      <c r="AC9" s="3">
        <v>11.1</v>
      </c>
      <c r="AD9" s="30" t="e">
        <f aca="true" t="shared" si="13" ref="AD9:AD15">AC9/AB9*100</f>
        <v>#DIV/0!</v>
      </c>
      <c r="AE9" s="3">
        <v>0</v>
      </c>
      <c r="AF9" s="3">
        <v>2.5</v>
      </c>
      <c r="AG9" s="30" t="e">
        <f aca="true" t="shared" si="14" ref="AG9:AG15">AF9/AE9*100</f>
        <v>#DIV/0!</v>
      </c>
      <c r="AH9" s="3">
        <v>0</v>
      </c>
      <c r="AI9" s="3">
        <v>2.2</v>
      </c>
      <c r="AJ9" s="3">
        <f aca="true" t="shared" si="15" ref="AJ9:AJ42">AB9+AE9+AH9</f>
        <v>0</v>
      </c>
      <c r="AK9" s="3">
        <f aca="true" t="shared" si="16" ref="AK9:AK42">AC9+AF9+AI9</f>
        <v>15.8</v>
      </c>
      <c r="AL9" s="15" t="e">
        <f>AK9/AJ9*100</f>
        <v>#DIV/0!</v>
      </c>
      <c r="AM9" s="3">
        <v>-24.6</v>
      </c>
      <c r="AN9" s="3">
        <v>3.9</v>
      </c>
      <c r="AO9" s="3">
        <v>2</v>
      </c>
      <c r="AP9" s="3">
        <f>3.1+3.7</f>
        <v>6.800000000000001</v>
      </c>
      <c r="AQ9" s="15">
        <f t="shared" si="4"/>
        <v>340.00000000000006</v>
      </c>
      <c r="AR9" s="3">
        <v>-4.4</v>
      </c>
      <c r="AS9" s="3">
        <f>1.2+16.1</f>
        <v>17.3</v>
      </c>
      <c r="AT9" s="3">
        <f aca="true" t="shared" si="17" ref="AT9:AT42">M9+Y9+AJ9+AM9+AO9+AR9</f>
        <v>13.999999999999998</v>
      </c>
      <c r="AU9" s="3">
        <f aca="true" t="shared" si="18" ref="AU9:AU42">N9+Z9+AK9+AN9+AP9+AS9</f>
        <v>165.70000000000002</v>
      </c>
      <c r="AV9" s="15">
        <f>AU9/AT9*100</f>
        <v>1183.571428571429</v>
      </c>
      <c r="AW9" s="15">
        <f>AT9-AU9</f>
        <v>-151.70000000000002</v>
      </c>
      <c r="AX9" s="4">
        <f>C9+AT9-AU9</f>
        <v>-34.50000000000003</v>
      </c>
      <c r="AY9" s="22">
        <f t="shared" si="5"/>
        <v>-151.70000000000002</v>
      </c>
      <c r="AZ9" s="22">
        <f t="shared" si="1"/>
        <v>-34.50000000000003</v>
      </c>
    </row>
    <row r="10" spans="1:52" ht="35.25" customHeight="1">
      <c r="A10" s="6">
        <v>3</v>
      </c>
      <c r="B10" s="16" t="s">
        <v>96</v>
      </c>
      <c r="C10" s="2"/>
      <c r="D10" s="23"/>
      <c r="E10" s="23"/>
      <c r="F10" s="38" t="e">
        <f t="shared" si="2"/>
        <v>#DIV/0!</v>
      </c>
      <c r="G10" s="23"/>
      <c r="H10" s="23"/>
      <c r="I10" s="38" t="e">
        <f t="shared" si="6"/>
        <v>#DIV/0!</v>
      </c>
      <c r="J10" s="23"/>
      <c r="K10" s="23"/>
      <c r="L10" s="38" t="e">
        <f t="shared" si="7"/>
        <v>#DIV/0!</v>
      </c>
      <c r="M10" s="3"/>
      <c r="N10" s="3"/>
      <c r="O10" s="15"/>
      <c r="P10" s="23"/>
      <c r="Q10" s="23"/>
      <c r="R10" s="38" t="e">
        <f t="shared" si="10"/>
        <v>#DIV/0!</v>
      </c>
      <c r="S10" s="23"/>
      <c r="T10" s="23"/>
      <c r="U10" s="38" t="e">
        <f t="shared" si="11"/>
        <v>#DIV/0!</v>
      </c>
      <c r="V10" s="23"/>
      <c r="W10" s="23"/>
      <c r="X10" s="38" t="e">
        <f t="shared" si="12"/>
        <v>#DIV/0!</v>
      </c>
      <c r="Y10" s="3"/>
      <c r="Z10" s="3"/>
      <c r="AA10" s="15"/>
      <c r="AB10" s="23"/>
      <c r="AC10" s="23"/>
      <c r="AD10" s="30" t="e">
        <f t="shared" si="13"/>
        <v>#DIV/0!</v>
      </c>
      <c r="AE10" s="23"/>
      <c r="AF10" s="23"/>
      <c r="AG10" s="30" t="e">
        <f t="shared" si="14"/>
        <v>#DIV/0!</v>
      </c>
      <c r="AH10" s="23"/>
      <c r="AI10" s="23"/>
      <c r="AJ10" s="3"/>
      <c r="AK10" s="3"/>
      <c r="AL10" s="15"/>
      <c r="AM10" s="23"/>
      <c r="AN10" s="23"/>
      <c r="AO10" s="23"/>
      <c r="AP10" s="23"/>
      <c r="AQ10" s="15"/>
      <c r="AR10" s="23"/>
      <c r="AS10" s="23"/>
      <c r="AT10" s="3"/>
      <c r="AU10" s="3"/>
      <c r="AV10" s="38" t="e">
        <f>AU10/AT10*100</f>
        <v>#DIV/0!</v>
      </c>
      <c r="AW10" s="15"/>
      <c r="AX10" s="4"/>
      <c r="AY10" s="22">
        <f t="shared" si="5"/>
        <v>0</v>
      </c>
      <c r="AZ10" s="22">
        <f t="shared" si="1"/>
        <v>0</v>
      </c>
    </row>
    <row r="11" spans="1:52" ht="24" customHeight="1">
      <c r="A11" s="6">
        <v>4</v>
      </c>
      <c r="B11" s="1" t="s">
        <v>107</v>
      </c>
      <c r="C11" s="2"/>
      <c r="D11" s="3"/>
      <c r="E11" s="3"/>
      <c r="F11" s="38"/>
      <c r="G11" s="3"/>
      <c r="H11" s="3"/>
      <c r="I11" s="38" t="e">
        <f t="shared" si="6"/>
        <v>#DIV/0!</v>
      </c>
      <c r="J11" s="3"/>
      <c r="K11" s="3"/>
      <c r="L11" s="38" t="e">
        <f t="shared" si="7"/>
        <v>#DIV/0!</v>
      </c>
      <c r="M11" s="3"/>
      <c r="N11" s="3"/>
      <c r="O11" s="15"/>
      <c r="P11" s="3"/>
      <c r="Q11" s="3"/>
      <c r="R11" s="38" t="e">
        <f t="shared" si="10"/>
        <v>#DIV/0!</v>
      </c>
      <c r="S11" s="3"/>
      <c r="T11" s="3"/>
      <c r="U11" s="38" t="e">
        <f t="shared" si="11"/>
        <v>#DIV/0!</v>
      </c>
      <c r="V11" s="3"/>
      <c r="W11" s="3"/>
      <c r="X11" s="38" t="e">
        <f t="shared" si="12"/>
        <v>#DIV/0!</v>
      </c>
      <c r="Y11" s="3"/>
      <c r="Z11" s="3"/>
      <c r="AA11" s="15"/>
      <c r="AB11" s="3"/>
      <c r="AC11" s="3"/>
      <c r="AD11" s="30" t="e">
        <f t="shared" si="13"/>
        <v>#DIV/0!</v>
      </c>
      <c r="AE11" s="3"/>
      <c r="AF11" s="3"/>
      <c r="AG11" s="30" t="e">
        <f t="shared" si="14"/>
        <v>#DIV/0!</v>
      </c>
      <c r="AH11" s="3"/>
      <c r="AI11" s="3"/>
      <c r="AJ11" s="3"/>
      <c r="AK11" s="3"/>
      <c r="AL11" s="15"/>
      <c r="AM11" s="3"/>
      <c r="AN11" s="3"/>
      <c r="AO11" s="3"/>
      <c r="AP11" s="3"/>
      <c r="AQ11" s="15"/>
      <c r="AR11" s="3"/>
      <c r="AS11" s="3"/>
      <c r="AT11" s="3"/>
      <c r="AU11" s="3"/>
      <c r="AV11" s="38"/>
      <c r="AW11" s="15"/>
      <c r="AX11" s="4"/>
      <c r="AY11" s="22">
        <f t="shared" si="5"/>
        <v>0</v>
      </c>
      <c r="AZ11" s="22">
        <f t="shared" si="1"/>
        <v>0</v>
      </c>
    </row>
    <row r="12" spans="1:52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5">
        <f t="shared" si="2"/>
        <v>101.79896559478301</v>
      </c>
      <c r="G12" s="3">
        <v>318.5</v>
      </c>
      <c r="H12" s="3">
        <v>466.4</v>
      </c>
      <c r="I12" s="15">
        <f t="shared" si="6"/>
        <v>146.436420722135</v>
      </c>
      <c r="J12" s="3">
        <v>-99.5</v>
      </c>
      <c r="K12" s="3">
        <v>402.8</v>
      </c>
      <c r="L12" s="15">
        <f t="shared" si="7"/>
        <v>-404.8241206030151</v>
      </c>
      <c r="M12" s="3">
        <f t="shared" si="8"/>
        <v>663.7</v>
      </c>
      <c r="N12" s="3">
        <f t="shared" si="9"/>
        <v>1321.8999999999999</v>
      </c>
      <c r="O12" s="15">
        <f t="shared" si="3"/>
        <v>199.1713123399126</v>
      </c>
      <c r="P12" s="3">
        <v>-13.1</v>
      </c>
      <c r="Q12" s="3">
        <v>254.2</v>
      </c>
      <c r="R12" s="15">
        <f t="shared" si="10"/>
        <v>-1940.4580152671756</v>
      </c>
      <c r="S12" s="3">
        <v>1429.1</v>
      </c>
      <c r="T12" s="3">
        <v>87.6</v>
      </c>
      <c r="U12" s="15">
        <f t="shared" si="11"/>
        <v>6.1297319991603105</v>
      </c>
      <c r="V12" s="3">
        <v>15.8</v>
      </c>
      <c r="W12" s="3">
        <v>36.7</v>
      </c>
      <c r="X12" s="15">
        <f t="shared" si="12"/>
        <v>232.27848101265823</v>
      </c>
      <c r="Y12" s="3">
        <f>P12+S12+V12</f>
        <v>1431.8</v>
      </c>
      <c r="Z12" s="3">
        <f>Q12+T12+W12</f>
        <v>378.49999999999994</v>
      </c>
      <c r="AA12" s="15">
        <f>Z12/Y12*100</f>
        <v>26.43525632071518</v>
      </c>
      <c r="AB12" s="3">
        <v>0</v>
      </c>
      <c r="AC12" s="3">
        <v>90.4</v>
      </c>
      <c r="AD12" s="30" t="e">
        <f t="shared" si="13"/>
        <v>#DIV/0!</v>
      </c>
      <c r="AE12" s="3">
        <v>0</v>
      </c>
      <c r="AF12" s="3">
        <v>35.2</v>
      </c>
      <c r="AG12" s="30" t="e">
        <f t="shared" si="14"/>
        <v>#DIV/0!</v>
      </c>
      <c r="AH12" s="3">
        <v>0</v>
      </c>
      <c r="AI12" s="3">
        <v>24.1</v>
      </c>
      <c r="AJ12" s="3">
        <f t="shared" si="15"/>
        <v>0</v>
      </c>
      <c r="AK12" s="3">
        <f t="shared" si="16"/>
        <v>149.70000000000002</v>
      </c>
      <c r="AL12" s="15" t="e">
        <f>AK12/AJ12*100</f>
        <v>#DIV/0!</v>
      </c>
      <c r="AM12" s="3">
        <v>47.3</v>
      </c>
      <c r="AN12" s="3">
        <v>18.7</v>
      </c>
      <c r="AO12" s="3">
        <v>350.8</v>
      </c>
      <c r="AP12" s="3">
        <v>176.7</v>
      </c>
      <c r="AQ12" s="15">
        <f t="shared" si="4"/>
        <v>50.37058152793614</v>
      </c>
      <c r="AR12" s="3">
        <v>291.4</v>
      </c>
      <c r="AS12" s="3">
        <v>405.6</v>
      </c>
      <c r="AT12" s="3">
        <f t="shared" si="17"/>
        <v>2785.0000000000005</v>
      </c>
      <c r="AU12" s="3">
        <f t="shared" si="18"/>
        <v>2451.1</v>
      </c>
      <c r="AV12" s="15">
        <f aca="true" t="shared" si="19" ref="AV12:AV22">AU12/AT12*100</f>
        <v>88.01077199281865</v>
      </c>
      <c r="AW12" s="15">
        <f aca="true" t="shared" si="20" ref="AW12:AW42">AT12-AU12</f>
        <v>333.90000000000055</v>
      </c>
      <c r="AX12" s="4">
        <f>C12+AT12-AU12</f>
        <v>538.5000000000005</v>
      </c>
      <c r="AY12" s="22">
        <f t="shared" si="5"/>
        <v>333.90000000000055</v>
      </c>
      <c r="AZ12" s="22">
        <f t="shared" si="1"/>
        <v>538.5000000000005</v>
      </c>
    </row>
    <row r="13" spans="1:52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5">
        <f t="shared" si="2"/>
        <v>39.3939393939394</v>
      </c>
      <c r="G13" s="3">
        <v>1.8</v>
      </c>
      <c r="H13" s="3">
        <v>3.4</v>
      </c>
      <c r="I13" s="15">
        <f t="shared" si="6"/>
        <v>188.88888888888889</v>
      </c>
      <c r="J13" s="3">
        <v>-3.7</v>
      </c>
      <c r="K13" s="3">
        <v>4</v>
      </c>
      <c r="L13" s="15">
        <f t="shared" si="7"/>
        <v>-108.1081081081081</v>
      </c>
      <c r="M13" s="3">
        <f t="shared" si="8"/>
        <v>1.3999999999999995</v>
      </c>
      <c r="N13" s="3">
        <f t="shared" si="9"/>
        <v>8.7</v>
      </c>
      <c r="O13" s="15">
        <f t="shared" si="3"/>
        <v>621.4285714285717</v>
      </c>
      <c r="P13" s="3">
        <v>-0.8</v>
      </c>
      <c r="Q13" s="3">
        <v>0.7</v>
      </c>
      <c r="R13" s="15">
        <f t="shared" si="10"/>
        <v>-87.49999999999999</v>
      </c>
      <c r="S13" s="3">
        <v>11.4</v>
      </c>
      <c r="T13" s="3">
        <v>0.9</v>
      </c>
      <c r="U13" s="15">
        <f t="shared" si="11"/>
        <v>7.894736842105263</v>
      </c>
      <c r="V13" s="3">
        <v>0</v>
      </c>
      <c r="W13" s="3">
        <v>11.2</v>
      </c>
      <c r="X13" s="30" t="e">
        <f t="shared" si="12"/>
        <v>#DIV/0!</v>
      </c>
      <c r="Y13" s="3">
        <f>P13+S13+V13</f>
        <v>10.6</v>
      </c>
      <c r="Z13" s="3">
        <f>Q13+T13+W13</f>
        <v>12.799999999999999</v>
      </c>
      <c r="AA13" s="15">
        <f>Z13/Y13*100</f>
        <v>120.75471698113208</v>
      </c>
      <c r="AB13" s="3">
        <v>0</v>
      </c>
      <c r="AC13" s="3">
        <v>17.8</v>
      </c>
      <c r="AD13" s="30" t="e">
        <f t="shared" si="13"/>
        <v>#DIV/0!</v>
      </c>
      <c r="AE13" s="3">
        <v>0</v>
      </c>
      <c r="AF13" s="3">
        <v>1.5</v>
      </c>
      <c r="AG13" s="30" t="e">
        <f t="shared" si="14"/>
        <v>#DIV/0!</v>
      </c>
      <c r="AH13" s="3">
        <v>0</v>
      </c>
      <c r="AI13" s="3">
        <v>7</v>
      </c>
      <c r="AJ13" s="3">
        <f t="shared" si="15"/>
        <v>0</v>
      </c>
      <c r="AK13" s="3">
        <f t="shared" si="16"/>
        <v>26.3</v>
      </c>
      <c r="AL13" s="15" t="e">
        <f>AK13/AJ13*100</f>
        <v>#DIV/0!</v>
      </c>
      <c r="AM13" s="3">
        <v>-16</v>
      </c>
      <c r="AN13" s="3">
        <v>1.1</v>
      </c>
      <c r="AO13" s="3">
        <v>-8.8</v>
      </c>
      <c r="AP13" s="3">
        <v>19.7</v>
      </c>
      <c r="AQ13" s="15">
        <f t="shared" si="4"/>
        <v>-223.86363636363632</v>
      </c>
      <c r="AR13" s="3">
        <v>20.7</v>
      </c>
      <c r="AS13" s="3">
        <v>0.7</v>
      </c>
      <c r="AT13" s="3">
        <f>M13+Y13+AJ13+AM13+AO13+AR13</f>
        <v>7.899999999999999</v>
      </c>
      <c r="AU13" s="3">
        <f t="shared" si="18"/>
        <v>69.3</v>
      </c>
      <c r="AV13" s="15">
        <f>AU13/AT13*100</f>
        <v>877.2151898734178</v>
      </c>
      <c r="AW13" s="15">
        <f>AT13-AU13</f>
        <v>-61.4</v>
      </c>
      <c r="AX13" s="4">
        <f>C13+AT13-AU13</f>
        <v>23.39999999999999</v>
      </c>
      <c r="AY13" s="22">
        <f>AT13-AU13</f>
        <v>-61.4</v>
      </c>
      <c r="AZ13" s="22">
        <f>C13+AT13-AU13</f>
        <v>23.39999999999999</v>
      </c>
    </row>
    <row r="14" spans="1:52" ht="24" customHeight="1">
      <c r="A14" s="6">
        <v>7</v>
      </c>
      <c r="B14" s="1" t="s">
        <v>52</v>
      </c>
      <c r="C14" s="2">
        <v>1.2</v>
      </c>
      <c r="D14" s="23"/>
      <c r="E14" s="3">
        <v>0</v>
      </c>
      <c r="F14" s="38" t="e">
        <f t="shared" si="2"/>
        <v>#DIV/0!</v>
      </c>
      <c r="G14" s="23"/>
      <c r="H14" s="23"/>
      <c r="I14" s="38" t="e">
        <f t="shared" si="6"/>
        <v>#DIV/0!</v>
      </c>
      <c r="J14" s="23"/>
      <c r="K14" s="23"/>
      <c r="L14" s="38" t="e">
        <f t="shared" si="7"/>
        <v>#DIV/0!</v>
      </c>
      <c r="M14" s="3"/>
      <c r="N14" s="3"/>
      <c r="O14" s="15"/>
      <c r="P14" s="23"/>
      <c r="Q14" s="23"/>
      <c r="R14" s="38" t="e">
        <f t="shared" si="10"/>
        <v>#DIV/0!</v>
      </c>
      <c r="S14" s="23"/>
      <c r="T14" s="23"/>
      <c r="U14" s="38" t="e">
        <f t="shared" si="11"/>
        <v>#DIV/0!</v>
      </c>
      <c r="V14" s="23"/>
      <c r="W14" s="23"/>
      <c r="X14" s="38" t="e">
        <f t="shared" si="12"/>
        <v>#DIV/0!</v>
      </c>
      <c r="Y14" s="3"/>
      <c r="Z14" s="3"/>
      <c r="AA14" s="15"/>
      <c r="AB14" s="23"/>
      <c r="AC14" s="23"/>
      <c r="AD14" s="30" t="e">
        <f t="shared" si="13"/>
        <v>#DIV/0!</v>
      </c>
      <c r="AE14" s="23"/>
      <c r="AF14" s="23"/>
      <c r="AG14" s="30" t="e">
        <f t="shared" si="14"/>
        <v>#DIV/0!</v>
      </c>
      <c r="AH14" s="23"/>
      <c r="AI14" s="23"/>
      <c r="AJ14" s="3"/>
      <c r="AK14" s="3"/>
      <c r="AL14" s="15"/>
      <c r="AM14" s="23"/>
      <c r="AN14" s="23"/>
      <c r="AO14" s="23"/>
      <c r="AP14" s="23"/>
      <c r="AQ14" s="15"/>
      <c r="AR14" s="46">
        <v>-1.2</v>
      </c>
      <c r="AS14" s="46"/>
      <c r="AT14" s="3">
        <f>M14+Y14+AJ14+AM14+AO14+AR14</f>
        <v>-1.2</v>
      </c>
      <c r="AU14" s="3">
        <f t="shared" si="18"/>
        <v>0</v>
      </c>
      <c r="AV14" s="15">
        <f>AU14/AT14*100</f>
        <v>0</v>
      </c>
      <c r="AW14" s="15">
        <f>AT14-AU14</f>
        <v>-1.2</v>
      </c>
      <c r="AX14" s="4">
        <f>C14+AT14-AU14</f>
        <v>0</v>
      </c>
      <c r="AY14" s="22">
        <f>AT14-AU14</f>
        <v>-1.2</v>
      </c>
      <c r="AZ14" s="22">
        <f>C14+AT14-AU14</f>
        <v>0</v>
      </c>
    </row>
    <row r="15" spans="1:52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5">
        <f t="shared" si="2"/>
        <v>83.38983050847459</v>
      </c>
      <c r="G15" s="3">
        <v>698.6</v>
      </c>
      <c r="H15" s="3">
        <v>980.5</v>
      </c>
      <c r="I15" s="15">
        <f t="shared" si="6"/>
        <v>140.35213283710277</v>
      </c>
      <c r="J15" s="3">
        <v>216.5</v>
      </c>
      <c r="K15" s="3">
        <v>883.2</v>
      </c>
      <c r="L15" s="15">
        <f t="shared" si="7"/>
        <v>407.94457274826794</v>
      </c>
      <c r="M15" s="3">
        <f t="shared" si="8"/>
        <v>2006.6</v>
      </c>
      <c r="N15" s="3">
        <f t="shared" si="9"/>
        <v>2773.9</v>
      </c>
      <c r="O15" s="15">
        <f t="shared" si="3"/>
        <v>138.23881192066182</v>
      </c>
      <c r="P15" s="3">
        <v>-31.9</v>
      </c>
      <c r="Q15" s="3">
        <v>595.2</v>
      </c>
      <c r="R15" s="15">
        <f t="shared" si="10"/>
        <v>-1865.8307210031348</v>
      </c>
      <c r="S15" s="3">
        <v>417.4</v>
      </c>
      <c r="T15" s="3">
        <v>294.9</v>
      </c>
      <c r="U15" s="15">
        <f t="shared" si="11"/>
        <v>70.6516530905606</v>
      </c>
      <c r="V15" s="3">
        <v>5.2</v>
      </c>
      <c r="W15" s="3">
        <v>164.2</v>
      </c>
      <c r="X15" s="15">
        <f t="shared" si="12"/>
        <v>3157.692307692307</v>
      </c>
      <c r="Y15" s="3">
        <f>P15+S15+V15</f>
        <v>390.7</v>
      </c>
      <c r="Z15" s="3">
        <f>Q15+T15+W15</f>
        <v>1054.3</v>
      </c>
      <c r="AA15" s="15">
        <f>Z15/Y15*100</f>
        <v>269.84898899411314</v>
      </c>
      <c r="AB15" s="3">
        <v>-13.1</v>
      </c>
      <c r="AC15" s="3">
        <v>166.8</v>
      </c>
      <c r="AD15" s="30">
        <f t="shared" si="13"/>
        <v>-1273.2824427480916</v>
      </c>
      <c r="AE15" s="3">
        <v>-0.9</v>
      </c>
      <c r="AF15" s="3">
        <v>125.4</v>
      </c>
      <c r="AG15" s="30">
        <f t="shared" si="14"/>
        <v>-13933.333333333334</v>
      </c>
      <c r="AH15" s="3">
        <v>1.1</v>
      </c>
      <c r="AI15" s="3">
        <v>174.2</v>
      </c>
      <c r="AJ15" s="3">
        <f t="shared" si="15"/>
        <v>-12.9</v>
      </c>
      <c r="AK15" s="3">
        <f t="shared" si="16"/>
        <v>466.40000000000003</v>
      </c>
      <c r="AL15" s="15">
        <f>AK15/AJ15*100</f>
        <v>-3615.5038759689924</v>
      </c>
      <c r="AM15" s="3">
        <v>369.1</v>
      </c>
      <c r="AN15" s="3">
        <v>96.7</v>
      </c>
      <c r="AO15" s="3">
        <v>1015.6</v>
      </c>
      <c r="AP15" s="3">
        <v>321</v>
      </c>
      <c r="AQ15" s="15">
        <f t="shared" si="4"/>
        <v>31.606931862938165</v>
      </c>
      <c r="AR15" s="3">
        <v>751.4</v>
      </c>
      <c r="AS15" s="3">
        <v>767.5</v>
      </c>
      <c r="AT15" s="3">
        <f t="shared" si="17"/>
        <v>4520.499999999999</v>
      </c>
      <c r="AU15" s="3">
        <f t="shared" si="18"/>
        <v>5479.799999999999</v>
      </c>
      <c r="AV15" s="15">
        <f t="shared" si="19"/>
        <v>121.22110386019247</v>
      </c>
      <c r="AW15" s="15">
        <f t="shared" si="20"/>
        <v>-959.3000000000002</v>
      </c>
      <c r="AX15" s="4">
        <f>C15+AT15-AU15</f>
        <v>1077.1000000000004</v>
      </c>
      <c r="AY15" s="22">
        <f t="shared" si="5"/>
        <v>-959.3000000000002</v>
      </c>
      <c r="AZ15" s="22">
        <f t="shared" si="1"/>
        <v>1077.1000000000004</v>
      </c>
    </row>
    <row r="16" spans="1:52" ht="24" customHeight="1">
      <c r="A16" s="6">
        <v>9</v>
      </c>
      <c r="B16" s="1" t="s">
        <v>54</v>
      </c>
      <c r="C16" s="2"/>
      <c r="D16" s="23"/>
      <c r="E16" s="23"/>
      <c r="F16" s="38" t="e">
        <f t="shared" si="2"/>
        <v>#DIV/0!</v>
      </c>
      <c r="G16" s="23"/>
      <c r="H16" s="23"/>
      <c r="I16" s="38" t="e">
        <f t="shared" si="6"/>
        <v>#DIV/0!</v>
      </c>
      <c r="J16" s="23"/>
      <c r="K16" s="23"/>
      <c r="L16" s="38" t="e">
        <f t="shared" si="7"/>
        <v>#DIV/0!</v>
      </c>
      <c r="M16" s="3"/>
      <c r="N16" s="3"/>
      <c r="O16" s="15"/>
      <c r="P16" s="23"/>
      <c r="Q16" s="23"/>
      <c r="R16" s="38"/>
      <c r="S16" s="23"/>
      <c r="T16" s="23"/>
      <c r="U16" s="38"/>
      <c r="V16" s="23"/>
      <c r="W16" s="23"/>
      <c r="X16" s="38"/>
      <c r="Y16" s="3"/>
      <c r="Z16" s="3"/>
      <c r="AA16" s="15"/>
      <c r="AB16" s="23"/>
      <c r="AC16" s="23"/>
      <c r="AD16" s="30"/>
      <c r="AE16" s="23"/>
      <c r="AF16" s="23"/>
      <c r="AG16" s="30"/>
      <c r="AH16" s="23"/>
      <c r="AI16" s="23"/>
      <c r="AJ16" s="3"/>
      <c r="AK16" s="3"/>
      <c r="AL16" s="15"/>
      <c r="AM16" s="23"/>
      <c r="AN16" s="23"/>
      <c r="AO16" s="23"/>
      <c r="AP16" s="23"/>
      <c r="AQ16" s="15"/>
      <c r="AR16" s="23"/>
      <c r="AS16" s="23"/>
      <c r="AT16" s="3"/>
      <c r="AU16" s="3"/>
      <c r="AV16" s="38" t="e">
        <f t="shared" si="19"/>
        <v>#DIV/0!</v>
      </c>
      <c r="AW16" s="15"/>
      <c r="AX16" s="4"/>
      <c r="AY16" s="22">
        <f t="shared" si="5"/>
        <v>0</v>
      </c>
      <c r="AZ16" s="22">
        <f t="shared" si="1"/>
        <v>0</v>
      </c>
    </row>
    <row r="17" spans="1:52" ht="24" customHeight="1">
      <c r="A17" s="6">
        <v>10</v>
      </c>
      <c r="B17" s="16" t="s">
        <v>55</v>
      </c>
      <c r="C17" s="2">
        <v>5702.5</v>
      </c>
      <c r="D17" s="3">
        <v>850.5</v>
      </c>
      <c r="E17" s="3">
        <v>463.7</v>
      </c>
      <c r="F17" s="15">
        <f t="shared" si="2"/>
        <v>54.52087007642563</v>
      </c>
      <c r="G17" s="3">
        <v>718.2</v>
      </c>
      <c r="H17" s="3">
        <v>514.7</v>
      </c>
      <c r="I17" s="15">
        <f t="shared" si="6"/>
        <v>71.66527429685324</v>
      </c>
      <c r="J17" s="3">
        <v>171.8</v>
      </c>
      <c r="K17" s="3">
        <v>456.3</v>
      </c>
      <c r="L17" s="15">
        <f t="shared" si="7"/>
        <v>265.59953434225844</v>
      </c>
      <c r="M17" s="3">
        <f t="shared" si="8"/>
        <v>1740.5</v>
      </c>
      <c r="N17" s="3">
        <f t="shared" si="9"/>
        <v>1434.7</v>
      </c>
      <c r="O17" s="15">
        <f t="shared" si="3"/>
        <v>82.43033611031314</v>
      </c>
      <c r="P17" s="3">
        <v>623.8</v>
      </c>
      <c r="Q17" s="3">
        <v>310.9</v>
      </c>
      <c r="R17" s="15">
        <f t="shared" si="10"/>
        <v>49.83969220904136</v>
      </c>
      <c r="S17" s="3">
        <v>46.8</v>
      </c>
      <c r="T17" s="3">
        <v>265.8</v>
      </c>
      <c r="U17" s="15">
        <f>T17/S17*100</f>
        <v>567.948717948718</v>
      </c>
      <c r="V17" s="3">
        <v>0.7</v>
      </c>
      <c r="W17" s="3">
        <v>223.4</v>
      </c>
      <c r="X17" s="15">
        <f>W17/V17*100</f>
        <v>31914.285714285717</v>
      </c>
      <c r="Y17" s="3">
        <f aca="true" t="shared" si="21" ref="Y17:Z19">P17+S17+V17</f>
        <v>671.3</v>
      </c>
      <c r="Z17" s="3">
        <f t="shared" si="21"/>
        <v>800.1</v>
      </c>
      <c r="AA17" s="15">
        <f>Z17/Y17*100</f>
        <v>119.18665276329511</v>
      </c>
      <c r="AB17" s="3">
        <v>1.5</v>
      </c>
      <c r="AC17" s="3">
        <v>211.3</v>
      </c>
      <c r="AD17" s="30">
        <f>AC17/AB17*100</f>
        <v>14086.666666666668</v>
      </c>
      <c r="AE17" s="3">
        <v>1.5</v>
      </c>
      <c r="AF17" s="3">
        <v>117.9</v>
      </c>
      <c r="AG17" s="30">
        <f>AF17/AE17*100</f>
        <v>7860.000000000001</v>
      </c>
      <c r="AH17" s="3">
        <v>1.5</v>
      </c>
      <c r="AI17" s="3">
        <v>173.1</v>
      </c>
      <c r="AJ17" s="3">
        <f t="shared" si="15"/>
        <v>4.5</v>
      </c>
      <c r="AK17" s="3">
        <f t="shared" si="16"/>
        <v>502.30000000000007</v>
      </c>
      <c r="AL17" s="15">
        <f>AK17/AJ17*100</f>
        <v>11162.222222222223</v>
      </c>
      <c r="AM17" s="3">
        <v>-75.1</v>
      </c>
      <c r="AN17" s="3">
        <v>152.8</v>
      </c>
      <c r="AO17" s="3">
        <v>588.6</v>
      </c>
      <c r="AP17" s="3">
        <f>99.2+42</f>
        <v>141.2</v>
      </c>
      <c r="AQ17" s="15">
        <f t="shared" si="4"/>
        <v>23.989126741420318</v>
      </c>
      <c r="AR17" s="3">
        <v>557.2</v>
      </c>
      <c r="AS17" s="3">
        <f>293.7+35.3</f>
        <v>329</v>
      </c>
      <c r="AT17" s="3">
        <f t="shared" si="17"/>
        <v>3487</v>
      </c>
      <c r="AU17" s="3">
        <f t="shared" si="18"/>
        <v>3360.1000000000004</v>
      </c>
      <c r="AV17" s="15">
        <f t="shared" si="19"/>
        <v>96.36076856897047</v>
      </c>
      <c r="AW17" s="15">
        <f t="shared" si="20"/>
        <v>126.89999999999964</v>
      </c>
      <c r="AX17" s="4">
        <f>C17+AT17-AU17</f>
        <v>5829.4</v>
      </c>
      <c r="AY17" s="22">
        <f t="shared" si="5"/>
        <v>126.89999999999964</v>
      </c>
      <c r="AZ17" s="22">
        <f t="shared" si="1"/>
        <v>5829.4</v>
      </c>
    </row>
    <row r="18" spans="1:52" ht="24" customHeight="1">
      <c r="A18" s="6">
        <v>11</v>
      </c>
      <c r="B18" s="16" t="s">
        <v>56</v>
      </c>
      <c r="C18" s="2">
        <v>14.4</v>
      </c>
      <c r="D18" s="3">
        <v>5.4</v>
      </c>
      <c r="E18" s="3">
        <v>0.2</v>
      </c>
      <c r="F18" s="15">
        <f t="shared" si="2"/>
        <v>3.7037037037037033</v>
      </c>
      <c r="G18" s="3">
        <v>4.2</v>
      </c>
      <c r="H18" s="3">
        <v>5.6</v>
      </c>
      <c r="I18" s="15">
        <f t="shared" si="6"/>
        <v>133.33333333333331</v>
      </c>
      <c r="J18" s="3">
        <v>-2.6</v>
      </c>
      <c r="K18" s="3">
        <v>1.4</v>
      </c>
      <c r="L18" s="15">
        <f t="shared" si="7"/>
        <v>-53.84615384615385</v>
      </c>
      <c r="M18" s="3">
        <f t="shared" si="8"/>
        <v>7.000000000000002</v>
      </c>
      <c r="N18" s="3">
        <f t="shared" si="9"/>
        <v>7.199999999999999</v>
      </c>
      <c r="O18" s="15">
        <f t="shared" si="3"/>
        <v>102.85714285714282</v>
      </c>
      <c r="P18" s="3">
        <v>20.1</v>
      </c>
      <c r="Q18" s="3">
        <v>0.6</v>
      </c>
      <c r="R18" s="15">
        <f t="shared" si="10"/>
        <v>2.9850746268656714</v>
      </c>
      <c r="S18" s="3">
        <v>-12.1</v>
      </c>
      <c r="T18" s="3">
        <v>0.3</v>
      </c>
      <c r="U18" s="15">
        <f>T18/S18*100</f>
        <v>-2.479338842975207</v>
      </c>
      <c r="V18" s="3">
        <v>0</v>
      </c>
      <c r="W18" s="3">
        <v>0</v>
      </c>
      <c r="X18" s="30" t="e">
        <f>W18/V18*100</f>
        <v>#DIV/0!</v>
      </c>
      <c r="Y18" s="3">
        <f t="shared" si="21"/>
        <v>8.000000000000002</v>
      </c>
      <c r="Z18" s="3">
        <f t="shared" si="21"/>
        <v>0.8999999999999999</v>
      </c>
      <c r="AA18" s="15">
        <f>Z18/Y18*100</f>
        <v>11.249999999999996</v>
      </c>
      <c r="AB18" s="3">
        <v>0</v>
      </c>
      <c r="AC18" s="3">
        <v>10</v>
      </c>
      <c r="AD18" s="30" t="e">
        <f>AC18/AB18*100</f>
        <v>#DIV/0!</v>
      </c>
      <c r="AE18" s="3">
        <v>0</v>
      </c>
      <c r="AF18" s="3">
        <v>0.3</v>
      </c>
      <c r="AG18" s="30" t="e">
        <f>AF18/AE18*100</f>
        <v>#DIV/0!</v>
      </c>
      <c r="AH18" s="3">
        <v>0</v>
      </c>
      <c r="AI18" s="3">
        <v>0.2</v>
      </c>
      <c r="AJ18" s="3">
        <f t="shared" si="15"/>
        <v>0</v>
      </c>
      <c r="AK18" s="3">
        <f t="shared" si="16"/>
        <v>10.5</v>
      </c>
      <c r="AL18" s="15" t="e">
        <f>AK18/AJ18*100</f>
        <v>#DIV/0!</v>
      </c>
      <c r="AM18" s="3">
        <v>-4.2</v>
      </c>
      <c r="AN18" s="3">
        <v>9.5</v>
      </c>
      <c r="AO18" s="3">
        <v>-15.9</v>
      </c>
      <c r="AP18" s="3">
        <v>0.2</v>
      </c>
      <c r="AQ18" s="15">
        <f t="shared" si="4"/>
        <v>-1.257861635220126</v>
      </c>
      <c r="AR18" s="3">
        <v>-20.2</v>
      </c>
      <c r="AS18" s="3">
        <v>0.9</v>
      </c>
      <c r="AT18" s="3">
        <f t="shared" si="17"/>
        <v>-25.299999999999997</v>
      </c>
      <c r="AU18" s="3">
        <f t="shared" si="18"/>
        <v>29.2</v>
      </c>
      <c r="AV18" s="15">
        <f t="shared" si="19"/>
        <v>-115.41501976284584</v>
      </c>
      <c r="AW18" s="15">
        <f t="shared" si="20"/>
        <v>-54.5</v>
      </c>
      <c r="AX18" s="4">
        <f>C18+AT18-AU18</f>
        <v>-40.099999999999994</v>
      </c>
      <c r="AY18" s="22">
        <f t="shared" si="5"/>
        <v>-54.5</v>
      </c>
      <c r="AZ18" s="22">
        <f t="shared" si="1"/>
        <v>-40.099999999999994</v>
      </c>
    </row>
    <row r="19" spans="1:52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5">
        <f t="shared" si="2"/>
        <v>103.97640375792004</v>
      </c>
      <c r="G19" s="3">
        <v>409.1</v>
      </c>
      <c r="H19" s="3">
        <v>402.3</v>
      </c>
      <c r="I19" s="15">
        <f t="shared" si="6"/>
        <v>98.33781471522855</v>
      </c>
      <c r="J19" s="3">
        <v>6.9</v>
      </c>
      <c r="K19" s="3">
        <v>372.5</v>
      </c>
      <c r="L19" s="15">
        <f t="shared" si="7"/>
        <v>5398.55072463768</v>
      </c>
      <c r="M19" s="3">
        <f t="shared" si="8"/>
        <v>873.6999999999999</v>
      </c>
      <c r="N19" s="3">
        <f t="shared" si="9"/>
        <v>1250.7</v>
      </c>
      <c r="O19" s="15">
        <f t="shared" si="3"/>
        <v>143.14982259356762</v>
      </c>
      <c r="P19" s="3">
        <v>-105.6</v>
      </c>
      <c r="Q19" s="3">
        <v>247</v>
      </c>
      <c r="R19" s="15">
        <f t="shared" si="10"/>
        <v>-233.90151515151518</v>
      </c>
      <c r="S19" s="3">
        <v>94.4</v>
      </c>
      <c r="T19" s="3">
        <v>137</v>
      </c>
      <c r="U19" s="15">
        <f>T19/S19*100</f>
        <v>145.1271186440678</v>
      </c>
      <c r="V19" s="3">
        <v>513.7</v>
      </c>
      <c r="W19" s="3">
        <v>127.5</v>
      </c>
      <c r="X19" s="15">
        <f>W19/V19*100</f>
        <v>24.819933813509827</v>
      </c>
      <c r="Y19" s="3">
        <f t="shared" si="21"/>
        <v>502.50000000000006</v>
      </c>
      <c r="Z19" s="3">
        <f t="shared" si="21"/>
        <v>511.5</v>
      </c>
      <c r="AA19" s="15">
        <f>Z19/Y19*100</f>
        <v>101.7910447761194</v>
      </c>
      <c r="AB19" s="3">
        <v>0</v>
      </c>
      <c r="AC19" s="3">
        <v>152</v>
      </c>
      <c r="AD19" s="30" t="e">
        <f>AC19/AB19*100</f>
        <v>#DIV/0!</v>
      </c>
      <c r="AE19" s="3">
        <v>-4.9</v>
      </c>
      <c r="AF19" s="3">
        <v>142.1</v>
      </c>
      <c r="AG19" s="30">
        <f>AF19/AE19*100</f>
        <v>-2899.9999999999995</v>
      </c>
      <c r="AH19" s="3">
        <v>-0.2</v>
      </c>
      <c r="AI19" s="3">
        <v>144</v>
      </c>
      <c r="AJ19" s="3">
        <f t="shared" si="15"/>
        <v>-5.1000000000000005</v>
      </c>
      <c r="AK19" s="3">
        <f t="shared" si="16"/>
        <v>438.1</v>
      </c>
      <c r="AL19" s="15">
        <f>AK19/AJ19*100</f>
        <v>-8590.196078431372</v>
      </c>
      <c r="AM19" s="3">
        <v>15.8</v>
      </c>
      <c r="AN19" s="3">
        <v>57.7</v>
      </c>
      <c r="AO19" s="3">
        <v>520.6</v>
      </c>
      <c r="AP19" s="3">
        <v>165</v>
      </c>
      <c r="AQ19" s="15">
        <f t="shared" si="4"/>
        <v>31.69419900115252</v>
      </c>
      <c r="AR19" s="3">
        <v>170.3</v>
      </c>
      <c r="AS19" s="3">
        <v>325.6</v>
      </c>
      <c r="AT19" s="3">
        <f t="shared" si="17"/>
        <v>2077.8</v>
      </c>
      <c r="AU19" s="3">
        <f t="shared" si="18"/>
        <v>2748.6</v>
      </c>
      <c r="AV19" s="15">
        <f t="shared" si="19"/>
        <v>132.28414669361823</v>
      </c>
      <c r="AW19" s="15">
        <f t="shared" si="20"/>
        <v>-670.7999999999997</v>
      </c>
      <c r="AX19" s="4">
        <f>C19+AT19-AU19</f>
        <v>2270.2000000000003</v>
      </c>
      <c r="AY19" s="22">
        <f t="shared" si="5"/>
        <v>-670.7999999999997</v>
      </c>
      <c r="AZ19" s="22">
        <f t="shared" si="1"/>
        <v>2270.2000000000003</v>
      </c>
    </row>
    <row r="20" spans="1:52" ht="24" customHeight="1">
      <c r="A20" s="6">
        <v>13</v>
      </c>
      <c r="B20" s="16" t="s">
        <v>57</v>
      </c>
      <c r="C20" s="2">
        <v>0.1</v>
      </c>
      <c r="D20" s="23"/>
      <c r="E20" s="23"/>
      <c r="F20" s="38" t="e">
        <f t="shared" si="2"/>
        <v>#DIV/0!</v>
      </c>
      <c r="G20" s="23"/>
      <c r="H20" s="23"/>
      <c r="I20" s="38" t="e">
        <f t="shared" si="6"/>
        <v>#DIV/0!</v>
      </c>
      <c r="J20" s="23"/>
      <c r="K20" s="23"/>
      <c r="L20" s="38" t="e">
        <f t="shared" si="7"/>
        <v>#DIV/0!</v>
      </c>
      <c r="M20" s="3"/>
      <c r="N20" s="3"/>
      <c r="O20" s="15"/>
      <c r="P20" s="23"/>
      <c r="Q20" s="23"/>
      <c r="R20" s="38"/>
      <c r="S20" s="23"/>
      <c r="T20" s="23"/>
      <c r="U20" s="38"/>
      <c r="V20" s="23"/>
      <c r="W20" s="23"/>
      <c r="X20" s="38"/>
      <c r="Y20" s="3"/>
      <c r="Z20" s="3"/>
      <c r="AA20" s="15"/>
      <c r="AB20" s="23"/>
      <c r="AC20" s="23"/>
      <c r="AD20" s="30"/>
      <c r="AE20" s="23"/>
      <c r="AF20" s="23"/>
      <c r="AG20" s="30"/>
      <c r="AH20" s="23"/>
      <c r="AI20" s="23"/>
      <c r="AJ20" s="3"/>
      <c r="AK20" s="3"/>
      <c r="AL20" s="15"/>
      <c r="AM20" s="23"/>
      <c r="AN20" s="23"/>
      <c r="AO20" s="23"/>
      <c r="AP20" s="23"/>
      <c r="AQ20" s="15"/>
      <c r="AR20" s="23"/>
      <c r="AS20" s="23"/>
      <c r="AT20" s="3"/>
      <c r="AU20" s="3"/>
      <c r="AV20" s="38" t="e">
        <f t="shared" si="19"/>
        <v>#DIV/0!</v>
      </c>
      <c r="AW20" s="15">
        <f t="shared" si="20"/>
        <v>0</v>
      </c>
      <c r="AX20" s="4">
        <f>C20+AT20-AU20</f>
        <v>0.1</v>
      </c>
      <c r="AY20" s="22">
        <f t="shared" si="5"/>
        <v>0</v>
      </c>
      <c r="AZ20" s="22">
        <f t="shared" si="1"/>
        <v>0.1</v>
      </c>
    </row>
    <row r="21" spans="1:52" ht="24" customHeight="1">
      <c r="A21" s="6" t="s">
        <v>110</v>
      </c>
      <c r="B21" s="16" t="s">
        <v>58</v>
      </c>
      <c r="C21" s="2">
        <v>3.1</v>
      </c>
      <c r="D21" s="23"/>
      <c r="E21" s="23"/>
      <c r="F21" s="38" t="e">
        <f t="shared" si="2"/>
        <v>#DIV/0!</v>
      </c>
      <c r="G21" s="23"/>
      <c r="H21" s="23"/>
      <c r="I21" s="38" t="e">
        <f t="shared" si="6"/>
        <v>#DIV/0!</v>
      </c>
      <c r="J21" s="23"/>
      <c r="K21" s="23"/>
      <c r="L21" s="38" t="e">
        <f t="shared" si="7"/>
        <v>#DIV/0!</v>
      </c>
      <c r="M21" s="3"/>
      <c r="N21" s="3"/>
      <c r="O21" s="15"/>
      <c r="P21" s="23"/>
      <c r="Q21" s="23"/>
      <c r="R21" s="38"/>
      <c r="S21" s="23"/>
      <c r="T21" s="23"/>
      <c r="U21" s="38"/>
      <c r="V21" s="23"/>
      <c r="W21" s="23"/>
      <c r="X21" s="38"/>
      <c r="Y21" s="3"/>
      <c r="Z21" s="3"/>
      <c r="AA21" s="15"/>
      <c r="AB21" s="23"/>
      <c r="AC21" s="23"/>
      <c r="AD21" s="30"/>
      <c r="AE21" s="23"/>
      <c r="AF21" s="23"/>
      <c r="AG21" s="30"/>
      <c r="AH21" s="23"/>
      <c r="AI21" s="23"/>
      <c r="AJ21" s="3"/>
      <c r="AK21" s="3"/>
      <c r="AL21" s="15"/>
      <c r="AM21" s="23"/>
      <c r="AN21" s="23"/>
      <c r="AO21" s="23"/>
      <c r="AP21" s="23"/>
      <c r="AQ21" s="15"/>
      <c r="AR21" s="23"/>
      <c r="AS21" s="23"/>
      <c r="AT21" s="3"/>
      <c r="AU21" s="3"/>
      <c r="AV21" s="38" t="e">
        <f t="shared" si="19"/>
        <v>#DIV/0!</v>
      </c>
      <c r="AW21" s="15">
        <f t="shared" si="20"/>
        <v>0</v>
      </c>
      <c r="AX21" s="4">
        <f>C21+AT21-AU21</f>
        <v>3.1</v>
      </c>
      <c r="AY21" s="22">
        <f t="shared" si="5"/>
        <v>0</v>
      </c>
      <c r="AZ21" s="22">
        <f t="shared" si="1"/>
        <v>3.1</v>
      </c>
    </row>
    <row r="22" spans="1:52" ht="36.75" customHeight="1">
      <c r="A22" s="6">
        <v>15</v>
      </c>
      <c r="B22" s="16" t="s">
        <v>59</v>
      </c>
      <c r="C22" s="2"/>
      <c r="D22" s="23"/>
      <c r="E22" s="23"/>
      <c r="F22" s="38" t="e">
        <f t="shared" si="2"/>
        <v>#DIV/0!</v>
      </c>
      <c r="G22" s="23"/>
      <c r="H22" s="23"/>
      <c r="I22" s="38" t="e">
        <f>H22/G22*100</f>
        <v>#DIV/0!</v>
      </c>
      <c r="J22" s="23"/>
      <c r="K22" s="23"/>
      <c r="L22" s="38" t="e">
        <f>K22/J22*100</f>
        <v>#DIV/0!</v>
      </c>
      <c r="M22" s="3"/>
      <c r="N22" s="3"/>
      <c r="O22" s="15"/>
      <c r="P22" s="23"/>
      <c r="Q22" s="23"/>
      <c r="R22" s="38"/>
      <c r="S22" s="23"/>
      <c r="T22" s="23"/>
      <c r="U22" s="38"/>
      <c r="V22" s="23"/>
      <c r="W22" s="23"/>
      <c r="X22" s="38"/>
      <c r="Y22" s="3"/>
      <c r="Z22" s="3"/>
      <c r="AA22" s="15"/>
      <c r="AB22" s="23"/>
      <c r="AC22" s="23"/>
      <c r="AD22" s="30"/>
      <c r="AE22" s="23"/>
      <c r="AF22" s="23"/>
      <c r="AG22" s="30"/>
      <c r="AH22" s="23"/>
      <c r="AI22" s="23"/>
      <c r="AJ22" s="3"/>
      <c r="AK22" s="3"/>
      <c r="AL22" s="15"/>
      <c r="AM22" s="23"/>
      <c r="AN22" s="23"/>
      <c r="AO22" s="23"/>
      <c r="AP22" s="23"/>
      <c r="AQ22" s="15"/>
      <c r="AR22" s="23"/>
      <c r="AS22" s="23"/>
      <c r="AT22" s="3"/>
      <c r="AU22" s="3"/>
      <c r="AV22" s="38" t="e">
        <f t="shared" si="19"/>
        <v>#DIV/0!</v>
      </c>
      <c r="AW22" s="15"/>
      <c r="AX22" s="4"/>
      <c r="AY22" s="22">
        <f t="shared" si="5"/>
        <v>0</v>
      </c>
      <c r="AZ22" s="22">
        <f t="shared" si="1"/>
        <v>0</v>
      </c>
    </row>
    <row r="23" spans="1:52" ht="24" customHeight="1">
      <c r="A23" s="6">
        <v>16</v>
      </c>
      <c r="B23" s="16" t="s">
        <v>60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3"/>
      <c r="N23" s="3"/>
      <c r="O23" s="15"/>
      <c r="P23" s="92"/>
      <c r="Q23" s="92"/>
      <c r="R23" s="92"/>
      <c r="S23" s="92"/>
      <c r="T23" s="92"/>
      <c r="U23" s="92"/>
      <c r="V23" s="92"/>
      <c r="W23" s="92"/>
      <c r="X23" s="92"/>
      <c r="Y23" s="3"/>
      <c r="Z23" s="3"/>
      <c r="AA23" s="15"/>
      <c r="AB23" s="92"/>
      <c r="AC23" s="92"/>
      <c r="AD23" s="112"/>
      <c r="AE23" s="92"/>
      <c r="AF23" s="92"/>
      <c r="AG23" s="112"/>
      <c r="AH23" s="92"/>
      <c r="AI23" s="92"/>
      <c r="AJ23" s="3"/>
      <c r="AK23" s="3"/>
      <c r="AL23" s="15"/>
      <c r="AM23" s="92"/>
      <c r="AN23" s="92"/>
      <c r="AO23" s="92"/>
      <c r="AP23" s="92"/>
      <c r="AQ23" s="15"/>
      <c r="AR23" s="92"/>
      <c r="AS23" s="92"/>
      <c r="AT23" s="3"/>
      <c r="AU23" s="3"/>
      <c r="AV23" s="92"/>
      <c r="AW23" s="15"/>
      <c r="AX23" s="4"/>
      <c r="AY23" s="22">
        <f t="shared" si="5"/>
        <v>0</v>
      </c>
      <c r="AZ23" s="22">
        <f t="shared" si="1"/>
        <v>0</v>
      </c>
    </row>
    <row r="24" spans="1:52" ht="36.75" customHeight="1">
      <c r="A24" s="6">
        <v>17</v>
      </c>
      <c r="B24" s="16" t="s">
        <v>61</v>
      </c>
      <c r="C24" s="2">
        <v>7612.2</v>
      </c>
      <c r="D24" s="3">
        <v>3610</v>
      </c>
      <c r="E24" s="3">
        <v>2361.1</v>
      </c>
      <c r="F24" s="15">
        <f t="shared" si="2"/>
        <v>65.40443213296399</v>
      </c>
      <c r="G24" s="3">
        <v>2558.8</v>
      </c>
      <c r="H24" s="3">
        <v>2403.7</v>
      </c>
      <c r="I24" s="15">
        <f>H24/G24*100</f>
        <v>93.93856495232139</v>
      </c>
      <c r="J24" s="3">
        <v>86.5</v>
      </c>
      <c r="K24" s="3">
        <v>2353.6</v>
      </c>
      <c r="L24" s="15">
        <f>K24/J24*100</f>
        <v>2720.9248554913293</v>
      </c>
      <c r="M24" s="3">
        <f t="shared" si="8"/>
        <v>6255.3</v>
      </c>
      <c r="N24" s="3">
        <f t="shared" si="9"/>
        <v>7118.4</v>
      </c>
      <c r="O24" s="15">
        <f t="shared" si="3"/>
        <v>113.79789938132463</v>
      </c>
      <c r="P24" s="3">
        <v>-66.1</v>
      </c>
      <c r="Q24" s="3">
        <v>1352</v>
      </c>
      <c r="R24" s="15">
        <f>Q24/P24*100</f>
        <v>-2045.3857791225416</v>
      </c>
      <c r="S24" s="3">
        <v>-160</v>
      </c>
      <c r="T24" s="3">
        <v>829.1</v>
      </c>
      <c r="U24" s="15">
        <f>T24/S24*100</f>
        <v>-518.1875</v>
      </c>
      <c r="V24" s="3">
        <v>-127.6</v>
      </c>
      <c r="W24" s="3">
        <v>537.7</v>
      </c>
      <c r="X24" s="15">
        <f>W24/V24*100</f>
        <v>-421.39498432601886</v>
      </c>
      <c r="Y24" s="3">
        <f>P24+S24+V24</f>
        <v>-353.7</v>
      </c>
      <c r="Z24" s="3">
        <f>Q24+T24+W24</f>
        <v>2718.8</v>
      </c>
      <c r="AA24" s="15">
        <f>Z24/Y24*100</f>
        <v>-768.6740175289794</v>
      </c>
      <c r="AB24" s="3">
        <v>-17.3</v>
      </c>
      <c r="AC24" s="3">
        <v>542.1</v>
      </c>
      <c r="AD24" s="30">
        <f>AC24/AB24*100</f>
        <v>-3133.5260115606934</v>
      </c>
      <c r="AE24" s="3">
        <v>-0.6</v>
      </c>
      <c r="AF24" s="3">
        <v>465.3</v>
      </c>
      <c r="AG24" s="30">
        <f>AF24/AE24*100</f>
        <v>-77550</v>
      </c>
      <c r="AH24" s="3">
        <v>0</v>
      </c>
      <c r="AI24" s="3">
        <v>431.1</v>
      </c>
      <c r="AJ24" s="3">
        <f t="shared" si="15"/>
        <v>-17.900000000000002</v>
      </c>
      <c r="AK24" s="3">
        <f t="shared" si="16"/>
        <v>1438.5</v>
      </c>
      <c r="AL24" s="15">
        <f>AK24/AJ24*100</f>
        <v>-8036.31284916201</v>
      </c>
      <c r="AM24" s="3">
        <v>511.5</v>
      </c>
      <c r="AN24" s="3">
        <v>341.9</v>
      </c>
      <c r="AO24" s="3">
        <v>2453.9</v>
      </c>
      <c r="AP24" s="3">
        <v>725.9</v>
      </c>
      <c r="AQ24" s="15">
        <f t="shared" si="4"/>
        <v>29.58148253800073</v>
      </c>
      <c r="AR24" s="3">
        <v>2672</v>
      </c>
      <c r="AS24" s="3">
        <v>1624.2</v>
      </c>
      <c r="AT24" s="3">
        <f t="shared" si="17"/>
        <v>11521.1</v>
      </c>
      <c r="AU24" s="3">
        <f t="shared" si="18"/>
        <v>13967.7</v>
      </c>
      <c r="AV24" s="15">
        <f>AU24/AT24*100</f>
        <v>121.23581949640226</v>
      </c>
      <c r="AW24" s="15">
        <f t="shared" si="20"/>
        <v>-2446.6000000000004</v>
      </c>
      <c r="AX24" s="4">
        <f>C24+AT24-AU24</f>
        <v>5165.5999999999985</v>
      </c>
      <c r="AY24" s="22">
        <f t="shared" si="5"/>
        <v>-2446.6000000000004</v>
      </c>
      <c r="AZ24" s="22">
        <f t="shared" si="1"/>
        <v>5165.5999999999985</v>
      </c>
    </row>
    <row r="25" spans="1:52" ht="24" customHeight="1">
      <c r="A25" s="6">
        <v>18</v>
      </c>
      <c r="B25" s="1" t="s">
        <v>62</v>
      </c>
      <c r="C25" s="2"/>
      <c r="D25" s="23"/>
      <c r="E25" s="23"/>
      <c r="F25" s="38" t="e">
        <f t="shared" si="2"/>
        <v>#DIV/0!</v>
      </c>
      <c r="G25" s="23"/>
      <c r="H25" s="23"/>
      <c r="I25" s="38" t="e">
        <f>H25/G25*100</f>
        <v>#DIV/0!</v>
      </c>
      <c r="J25" s="23"/>
      <c r="K25" s="23"/>
      <c r="L25" s="38" t="e">
        <f>K25/J25*100</f>
        <v>#DIV/0!</v>
      </c>
      <c r="M25" s="3"/>
      <c r="N25" s="3"/>
      <c r="O25" s="15"/>
      <c r="P25" s="23"/>
      <c r="Q25" s="23"/>
      <c r="R25" s="38"/>
      <c r="S25" s="23"/>
      <c r="T25" s="23"/>
      <c r="U25" s="38"/>
      <c r="V25" s="23"/>
      <c r="W25" s="23"/>
      <c r="X25" s="38"/>
      <c r="Y25" s="3"/>
      <c r="Z25" s="3"/>
      <c r="AA25" s="15"/>
      <c r="AB25" s="23"/>
      <c r="AC25" s="23"/>
      <c r="AD25" s="30"/>
      <c r="AE25" s="23"/>
      <c r="AF25" s="23"/>
      <c r="AG25" s="30"/>
      <c r="AH25" s="23"/>
      <c r="AI25" s="23"/>
      <c r="AJ25" s="3"/>
      <c r="AK25" s="3"/>
      <c r="AL25" s="15"/>
      <c r="AM25" s="23"/>
      <c r="AN25" s="23"/>
      <c r="AO25" s="23"/>
      <c r="AP25" s="23"/>
      <c r="AQ25" s="15"/>
      <c r="AR25" s="23"/>
      <c r="AS25" s="23"/>
      <c r="AT25" s="3"/>
      <c r="AU25" s="3"/>
      <c r="AV25" s="38"/>
      <c r="AW25" s="15"/>
      <c r="AX25" s="4"/>
      <c r="AY25" s="22">
        <f t="shared" si="5"/>
        <v>0</v>
      </c>
      <c r="AZ25" s="22">
        <f t="shared" si="1"/>
        <v>0</v>
      </c>
    </row>
    <row r="26" spans="1:52" ht="24" customHeight="1">
      <c r="A26" s="6">
        <v>19</v>
      </c>
      <c r="B26" s="16" t="s">
        <v>63</v>
      </c>
      <c r="C26" s="2">
        <v>1803.2</v>
      </c>
      <c r="D26" s="3">
        <v>224.4</v>
      </c>
      <c r="E26" s="3">
        <v>136.5</v>
      </c>
      <c r="F26" s="15">
        <f t="shared" si="2"/>
        <v>60.82887700534759</v>
      </c>
      <c r="G26" s="3">
        <v>174.3</v>
      </c>
      <c r="H26" s="3">
        <v>133.5</v>
      </c>
      <c r="I26" s="15">
        <f>H26/G26*100</f>
        <v>76.59208261617898</v>
      </c>
      <c r="J26" s="3">
        <v>104.6</v>
      </c>
      <c r="K26" s="3">
        <v>115.9</v>
      </c>
      <c r="L26" s="15">
        <f>K26/J26*100</f>
        <v>110.80305927342258</v>
      </c>
      <c r="M26" s="3">
        <f t="shared" si="8"/>
        <v>503.30000000000007</v>
      </c>
      <c r="N26" s="3">
        <f t="shared" si="9"/>
        <v>385.9</v>
      </c>
      <c r="O26" s="15">
        <f t="shared" si="3"/>
        <v>76.6739519173455</v>
      </c>
      <c r="P26" s="3">
        <v>-12.8</v>
      </c>
      <c r="Q26" s="3">
        <v>81.8</v>
      </c>
      <c r="R26" s="15">
        <f>Q26/P26*100</f>
        <v>-639.0624999999999</v>
      </c>
      <c r="S26" s="3">
        <v>45.8</v>
      </c>
      <c r="T26" s="3">
        <v>42.7</v>
      </c>
      <c r="U26" s="15">
        <f>T26/S26*100</f>
        <v>93.23144104803495</v>
      </c>
      <c r="V26" s="3">
        <v>0</v>
      </c>
      <c r="W26" s="3">
        <v>38.7</v>
      </c>
      <c r="X26" s="30" t="e">
        <f>W26/V26*100</f>
        <v>#DIV/0!</v>
      </c>
      <c r="Y26" s="3">
        <f>P26+S26+V26</f>
        <v>33</v>
      </c>
      <c r="Z26" s="3">
        <f>Q26+T26+W26</f>
        <v>163.2</v>
      </c>
      <c r="AA26" s="15">
        <f>Z26/Y26*100</f>
        <v>494.5454545454545</v>
      </c>
      <c r="AB26" s="3">
        <v>0</v>
      </c>
      <c r="AC26" s="3">
        <v>22.3</v>
      </c>
      <c r="AD26" s="30" t="e">
        <f>AC26/AB26*100</f>
        <v>#DIV/0!</v>
      </c>
      <c r="AE26" s="3">
        <v>0</v>
      </c>
      <c r="AF26" s="3">
        <v>31.5</v>
      </c>
      <c r="AG26" s="30" t="e">
        <f>AF26/AE26*100</f>
        <v>#DIV/0!</v>
      </c>
      <c r="AH26" s="3">
        <v>0</v>
      </c>
      <c r="AI26" s="3">
        <v>39.2</v>
      </c>
      <c r="AJ26" s="3">
        <f t="shared" si="15"/>
        <v>0</v>
      </c>
      <c r="AK26" s="3">
        <f t="shared" si="16"/>
        <v>93</v>
      </c>
      <c r="AL26" s="15" t="e">
        <f>AK26/AJ26*100</f>
        <v>#DIV/0!</v>
      </c>
      <c r="AM26" s="3">
        <v>88.8</v>
      </c>
      <c r="AN26" s="3">
        <v>44</v>
      </c>
      <c r="AO26" s="3">
        <v>36.6</v>
      </c>
      <c r="AP26" s="3">
        <f>26.7+14</f>
        <v>40.7</v>
      </c>
      <c r="AQ26" s="15">
        <f t="shared" si="4"/>
        <v>111.20218579234972</v>
      </c>
      <c r="AR26" s="3">
        <v>123.7</v>
      </c>
      <c r="AS26" s="3">
        <f>48.2+10.8</f>
        <v>59</v>
      </c>
      <c r="AT26" s="3">
        <f t="shared" si="17"/>
        <v>785.4000000000001</v>
      </c>
      <c r="AU26" s="3">
        <f t="shared" si="18"/>
        <v>785.8</v>
      </c>
      <c r="AV26" s="15">
        <f>AU26/AT26*100</f>
        <v>100.05092946269416</v>
      </c>
      <c r="AW26" s="15">
        <f t="shared" si="20"/>
        <v>-0.3999999999998636</v>
      </c>
      <c r="AX26" s="4">
        <f>C26+AT26-AU26</f>
        <v>1802.8000000000004</v>
      </c>
      <c r="AY26" s="22">
        <f t="shared" si="5"/>
        <v>-0.3999999999998636</v>
      </c>
      <c r="AZ26" s="22">
        <f t="shared" si="1"/>
        <v>1802.8000000000004</v>
      </c>
    </row>
    <row r="27" spans="1:52" ht="36.75" customHeight="1">
      <c r="A27" s="6">
        <v>20</v>
      </c>
      <c r="B27" s="16" t="s">
        <v>93</v>
      </c>
      <c r="C27" s="2">
        <v>1025.5</v>
      </c>
      <c r="D27" s="3">
        <v>-5.6</v>
      </c>
      <c r="E27" s="3">
        <v>334.1</v>
      </c>
      <c r="F27" s="15">
        <f t="shared" si="2"/>
        <v>-5966.071428571429</v>
      </c>
      <c r="G27" s="3">
        <v>760.2</v>
      </c>
      <c r="H27" s="3">
        <v>289.3</v>
      </c>
      <c r="I27" s="15">
        <f>H27/G27*100</f>
        <v>38.05577479610629</v>
      </c>
      <c r="J27" s="3">
        <v>-1337</v>
      </c>
      <c r="K27" s="3">
        <v>251.6</v>
      </c>
      <c r="L27" s="15">
        <f>K27/J27*100</f>
        <v>-18.81824981301421</v>
      </c>
      <c r="M27" s="3">
        <f t="shared" si="8"/>
        <v>-582.4</v>
      </c>
      <c r="N27" s="3">
        <f t="shared" si="9"/>
        <v>875.0000000000001</v>
      </c>
      <c r="O27" s="15">
        <f t="shared" si="3"/>
        <v>-150.24038461538464</v>
      </c>
      <c r="P27" s="3">
        <v>-163.1</v>
      </c>
      <c r="Q27" s="3">
        <v>327.9</v>
      </c>
      <c r="R27" s="15">
        <f>Q27/P27*100</f>
        <v>-201.04230533415085</v>
      </c>
      <c r="S27" s="3">
        <v>3522</v>
      </c>
      <c r="T27" s="3">
        <v>99.2</v>
      </c>
      <c r="U27" s="15">
        <f>T27/S27*100</f>
        <v>2.816581487791028</v>
      </c>
      <c r="V27" s="3">
        <v>0</v>
      </c>
      <c r="W27" s="3">
        <v>55</v>
      </c>
      <c r="X27" s="30" t="e">
        <f>W27/V27*100</f>
        <v>#DIV/0!</v>
      </c>
      <c r="Y27" s="3">
        <f>P27+S27+V27</f>
        <v>3358.9</v>
      </c>
      <c r="Z27" s="3">
        <f>Q27+T27+W27</f>
        <v>482.09999999999997</v>
      </c>
      <c r="AA27" s="15">
        <f>Z27/Y27*100</f>
        <v>14.352913156092766</v>
      </c>
      <c r="AB27" s="3">
        <v>0</v>
      </c>
      <c r="AC27" s="3">
        <v>94.1</v>
      </c>
      <c r="AD27" s="30" t="e">
        <f>AC27/AB27*100</f>
        <v>#DIV/0!</v>
      </c>
      <c r="AE27" s="3">
        <v>0</v>
      </c>
      <c r="AF27" s="3">
        <v>81.1</v>
      </c>
      <c r="AG27" s="30" t="e">
        <f>AF27/AE27*100</f>
        <v>#DIV/0!</v>
      </c>
      <c r="AH27" s="3">
        <v>0</v>
      </c>
      <c r="AI27" s="3">
        <v>79.9</v>
      </c>
      <c r="AJ27" s="3">
        <f t="shared" si="15"/>
        <v>0</v>
      </c>
      <c r="AK27" s="3">
        <f t="shared" si="16"/>
        <v>255.1</v>
      </c>
      <c r="AL27" s="15" t="e">
        <f>AK27/AJ27*100</f>
        <v>#DIV/0!</v>
      </c>
      <c r="AM27" s="3">
        <v>165.6</v>
      </c>
      <c r="AN27" s="3">
        <v>72.6</v>
      </c>
      <c r="AO27" s="3">
        <v>90.5</v>
      </c>
      <c r="AP27" s="3">
        <v>144.8</v>
      </c>
      <c r="AQ27" s="15">
        <f t="shared" si="4"/>
        <v>160</v>
      </c>
      <c r="AR27" s="3">
        <v>252.3</v>
      </c>
      <c r="AS27" s="3">
        <v>198.9</v>
      </c>
      <c r="AT27" s="3">
        <f t="shared" si="17"/>
        <v>3284.9</v>
      </c>
      <c r="AU27" s="3">
        <f t="shared" si="18"/>
        <v>2028.5</v>
      </c>
      <c r="AV27" s="15">
        <f>AU27/AT27*100</f>
        <v>61.752260342780595</v>
      </c>
      <c r="AW27" s="15">
        <f t="shared" si="20"/>
        <v>1256.4</v>
      </c>
      <c r="AX27" s="4">
        <f>C27+AT27-AU27</f>
        <v>2281.8999999999996</v>
      </c>
      <c r="AY27" s="22">
        <f t="shared" si="5"/>
        <v>1256.4</v>
      </c>
      <c r="AZ27" s="22">
        <f t="shared" si="1"/>
        <v>2281.8999999999996</v>
      </c>
    </row>
    <row r="28" spans="1:52" ht="36.75" customHeight="1">
      <c r="A28" s="6">
        <v>21</v>
      </c>
      <c r="B28" s="1" t="s">
        <v>64</v>
      </c>
      <c r="C28" s="39"/>
      <c r="D28" s="46"/>
      <c r="E28" s="46"/>
      <c r="F28" s="15"/>
      <c r="G28" s="23"/>
      <c r="H28" s="23"/>
      <c r="I28" s="38" t="e">
        <f>H28/G28*100</f>
        <v>#DIV/0!</v>
      </c>
      <c r="J28" s="23"/>
      <c r="K28" s="23"/>
      <c r="L28" s="38" t="e">
        <f>K28/J28*100</f>
        <v>#DIV/0!</v>
      </c>
      <c r="M28" s="3"/>
      <c r="N28" s="3"/>
      <c r="O28" s="15"/>
      <c r="P28" s="23"/>
      <c r="Q28" s="23"/>
      <c r="R28" s="38"/>
      <c r="S28" s="23"/>
      <c r="T28" s="23"/>
      <c r="U28" s="38"/>
      <c r="V28" s="23"/>
      <c r="W28" s="23"/>
      <c r="X28" s="38"/>
      <c r="Y28" s="3"/>
      <c r="Z28" s="3"/>
      <c r="AA28" s="15"/>
      <c r="AB28" s="23"/>
      <c r="AC28" s="23"/>
      <c r="AD28" s="30"/>
      <c r="AE28" s="23"/>
      <c r="AF28" s="23"/>
      <c r="AG28" s="30"/>
      <c r="AH28" s="23"/>
      <c r="AI28" s="23"/>
      <c r="AJ28" s="3"/>
      <c r="AK28" s="3"/>
      <c r="AL28" s="15"/>
      <c r="AM28" s="23"/>
      <c r="AN28" s="23"/>
      <c r="AO28" s="23"/>
      <c r="AP28" s="23"/>
      <c r="AQ28" s="15"/>
      <c r="AR28" s="23"/>
      <c r="AS28" s="23"/>
      <c r="AT28" s="3"/>
      <c r="AU28" s="3"/>
      <c r="AV28" s="15"/>
      <c r="AW28" s="15"/>
      <c r="AX28" s="4"/>
      <c r="AY28" s="22">
        <f t="shared" si="5"/>
        <v>0</v>
      </c>
      <c r="AZ28" s="22">
        <f t="shared" si="1"/>
        <v>0</v>
      </c>
    </row>
    <row r="29" spans="1:52" ht="24" customHeight="1">
      <c r="A29" s="6">
        <v>22</v>
      </c>
      <c r="B29" s="1" t="s">
        <v>65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5"/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15"/>
      <c r="AB29" s="48"/>
      <c r="AC29" s="48"/>
      <c r="AD29" s="113"/>
      <c r="AE29" s="48"/>
      <c r="AF29" s="48"/>
      <c r="AG29" s="113"/>
      <c r="AH29" s="48"/>
      <c r="AI29" s="48"/>
      <c r="AJ29" s="3"/>
      <c r="AK29" s="3"/>
      <c r="AL29" s="15"/>
      <c r="AM29" s="48"/>
      <c r="AN29" s="48"/>
      <c r="AO29" s="48"/>
      <c r="AP29" s="48"/>
      <c r="AQ29" s="15"/>
      <c r="AR29" s="48"/>
      <c r="AS29" s="48"/>
      <c r="AT29" s="3"/>
      <c r="AU29" s="3"/>
      <c r="AV29" s="48"/>
      <c r="AW29" s="15"/>
      <c r="AX29" s="4"/>
      <c r="AY29" s="22">
        <f t="shared" si="5"/>
        <v>0</v>
      </c>
      <c r="AZ29" s="22">
        <f t="shared" si="1"/>
        <v>0</v>
      </c>
    </row>
    <row r="30" spans="1:52" ht="24" customHeight="1">
      <c r="A30" s="6">
        <v>23</v>
      </c>
      <c r="B30" s="16" t="s">
        <v>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3"/>
      <c r="N30" s="3"/>
      <c r="O30" s="15"/>
      <c r="P30" s="48"/>
      <c r="Q30" s="48"/>
      <c r="R30" s="48"/>
      <c r="S30" s="48"/>
      <c r="T30" s="48"/>
      <c r="U30" s="48"/>
      <c r="V30" s="48"/>
      <c r="W30" s="48"/>
      <c r="X30" s="48"/>
      <c r="Y30" s="3"/>
      <c r="Z30" s="3"/>
      <c r="AA30" s="15"/>
      <c r="AB30" s="48"/>
      <c r="AC30" s="48"/>
      <c r="AD30" s="113"/>
      <c r="AE30" s="48"/>
      <c r="AF30" s="48"/>
      <c r="AG30" s="113"/>
      <c r="AH30" s="48"/>
      <c r="AI30" s="48"/>
      <c r="AJ30" s="3"/>
      <c r="AK30" s="3"/>
      <c r="AL30" s="15"/>
      <c r="AM30" s="48"/>
      <c r="AN30" s="48"/>
      <c r="AO30" s="48"/>
      <c r="AP30" s="48"/>
      <c r="AQ30" s="15"/>
      <c r="AR30" s="48"/>
      <c r="AS30" s="48"/>
      <c r="AT30" s="3"/>
      <c r="AU30" s="3"/>
      <c r="AV30" s="48"/>
      <c r="AW30" s="15"/>
      <c r="AX30" s="4"/>
      <c r="AY30" s="22">
        <f t="shared" si="5"/>
        <v>0</v>
      </c>
      <c r="AZ30" s="22">
        <f t="shared" si="1"/>
        <v>0</v>
      </c>
    </row>
    <row r="31" spans="1:52" ht="24" customHeight="1">
      <c r="A31" s="6">
        <v>24</v>
      </c>
      <c r="B31" s="16" t="s">
        <v>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5"/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15"/>
      <c r="AB31" s="48"/>
      <c r="AC31" s="48"/>
      <c r="AD31" s="113"/>
      <c r="AE31" s="48"/>
      <c r="AF31" s="48"/>
      <c r="AG31" s="113"/>
      <c r="AH31" s="48"/>
      <c r="AI31" s="48"/>
      <c r="AJ31" s="3"/>
      <c r="AK31" s="3"/>
      <c r="AL31" s="15"/>
      <c r="AM31" s="48"/>
      <c r="AN31" s="48"/>
      <c r="AO31" s="48"/>
      <c r="AP31" s="48"/>
      <c r="AQ31" s="15"/>
      <c r="AR31" s="48"/>
      <c r="AS31" s="48"/>
      <c r="AT31" s="3"/>
      <c r="AU31" s="3"/>
      <c r="AV31" s="48"/>
      <c r="AW31" s="15"/>
      <c r="AX31" s="4"/>
      <c r="AY31" s="22">
        <f t="shared" si="5"/>
        <v>0</v>
      </c>
      <c r="AZ31" s="22">
        <f t="shared" si="1"/>
        <v>0</v>
      </c>
    </row>
    <row r="32" spans="1:52" ht="24" customHeight="1">
      <c r="A32" s="6">
        <v>25</v>
      </c>
      <c r="B32" s="16" t="s">
        <v>68</v>
      </c>
      <c r="C32" s="2"/>
      <c r="D32" s="23"/>
      <c r="E32" s="23"/>
      <c r="F32" s="38"/>
      <c r="G32" s="23"/>
      <c r="H32" s="23"/>
      <c r="I32" s="38"/>
      <c r="J32" s="23"/>
      <c r="K32" s="23"/>
      <c r="L32" s="38"/>
      <c r="M32" s="3"/>
      <c r="N32" s="3"/>
      <c r="O32" s="15"/>
      <c r="P32" s="23"/>
      <c r="Q32" s="23"/>
      <c r="R32" s="38"/>
      <c r="S32" s="23"/>
      <c r="T32" s="23"/>
      <c r="U32" s="38"/>
      <c r="V32" s="23"/>
      <c r="W32" s="23"/>
      <c r="X32" s="38"/>
      <c r="Y32" s="3"/>
      <c r="Z32" s="3"/>
      <c r="AA32" s="15"/>
      <c r="AB32" s="23"/>
      <c r="AC32" s="23"/>
      <c r="AD32" s="30"/>
      <c r="AE32" s="23"/>
      <c r="AF32" s="23"/>
      <c r="AG32" s="30"/>
      <c r="AH32" s="23"/>
      <c r="AI32" s="23"/>
      <c r="AJ32" s="3"/>
      <c r="AK32" s="3"/>
      <c r="AL32" s="15"/>
      <c r="AM32" s="23"/>
      <c r="AN32" s="23"/>
      <c r="AO32" s="23"/>
      <c r="AP32" s="23"/>
      <c r="AQ32" s="15"/>
      <c r="AR32" s="23"/>
      <c r="AS32" s="23"/>
      <c r="AT32" s="3"/>
      <c r="AU32" s="3"/>
      <c r="AV32" s="38"/>
      <c r="AW32" s="15"/>
      <c r="AX32" s="4"/>
      <c r="AY32" s="22">
        <f t="shared" si="5"/>
        <v>0</v>
      </c>
      <c r="AZ32" s="22">
        <f t="shared" si="1"/>
        <v>0</v>
      </c>
    </row>
    <row r="33" spans="1:52" ht="24" customHeight="1">
      <c r="A33" s="6"/>
      <c r="B33" s="16" t="s">
        <v>105</v>
      </c>
      <c r="C33" s="2">
        <v>23961.2</v>
      </c>
      <c r="D33" s="3">
        <v>5049.6</v>
      </c>
      <c r="E33" s="3">
        <v>2403.8</v>
      </c>
      <c r="F33" s="15">
        <f>E33/D33*100</f>
        <v>47.60377059569075</v>
      </c>
      <c r="G33" s="3">
        <v>2706.8</v>
      </c>
      <c r="H33" s="3">
        <v>2697.1</v>
      </c>
      <c r="I33" s="15">
        <f aca="true" t="shared" si="22" ref="I33:I45">H33/G33*100</f>
        <v>99.64164326880449</v>
      </c>
      <c r="J33" s="3">
        <v>-2056</v>
      </c>
      <c r="K33" s="3">
        <v>2227.4</v>
      </c>
      <c r="L33" s="15">
        <f aca="true" t="shared" si="23" ref="L33:L42">K33/J33*100</f>
        <v>-108.3365758754864</v>
      </c>
      <c r="M33" s="3">
        <f t="shared" si="8"/>
        <v>5700.400000000001</v>
      </c>
      <c r="N33" s="3">
        <f t="shared" si="9"/>
        <v>7328.299999999999</v>
      </c>
      <c r="O33" s="15">
        <f t="shared" si="3"/>
        <v>128.55764507753838</v>
      </c>
      <c r="P33" s="3">
        <v>-224.6</v>
      </c>
      <c r="Q33" s="3">
        <v>1056.7</v>
      </c>
      <c r="R33" s="15">
        <f aca="true" t="shared" si="24" ref="R33:R42">Q33/P33*100</f>
        <v>-470.4808548530721</v>
      </c>
      <c r="S33" s="3">
        <v>4177.3</v>
      </c>
      <c r="T33" s="3">
        <v>883.8</v>
      </c>
      <c r="U33" s="15">
        <f>T33/S33*100</f>
        <v>21.157206808225407</v>
      </c>
      <c r="V33" s="3">
        <v>-676.5</v>
      </c>
      <c r="W33" s="3">
        <v>290.8</v>
      </c>
      <c r="X33" s="15">
        <f>W33/V33*100</f>
        <v>-42.985957132298594</v>
      </c>
      <c r="Y33" s="3">
        <f>P33+S33+V33</f>
        <v>3276.2000000000003</v>
      </c>
      <c r="Z33" s="3">
        <f>Q33+T33+W33</f>
        <v>2231.3</v>
      </c>
      <c r="AA33" s="15">
        <f>Z33/Y33*100</f>
        <v>68.10634271412002</v>
      </c>
      <c r="AB33" s="3">
        <v>0.8</v>
      </c>
      <c r="AC33" s="3">
        <v>193.3</v>
      </c>
      <c r="AD33" s="30">
        <f>AC33/AB33*100</f>
        <v>24162.5</v>
      </c>
      <c r="AE33" s="3">
        <v>7.3</v>
      </c>
      <c r="AF33" s="3">
        <v>1614.4</v>
      </c>
      <c r="AG33" s="30">
        <f>AF33/AE33*100</f>
        <v>22115.068493150688</v>
      </c>
      <c r="AH33" s="3">
        <v>3.7</v>
      </c>
      <c r="AI33" s="3">
        <v>658.6</v>
      </c>
      <c r="AJ33" s="3">
        <f t="shared" si="15"/>
        <v>11.8</v>
      </c>
      <c r="AK33" s="3">
        <f t="shared" si="16"/>
        <v>2466.3</v>
      </c>
      <c r="AL33" s="15">
        <f>AK33/AJ33*100</f>
        <v>20900.84745762712</v>
      </c>
      <c r="AM33" s="3">
        <v>32.4</v>
      </c>
      <c r="AN33" s="3">
        <v>593.1</v>
      </c>
      <c r="AO33" s="3">
        <v>399.2</v>
      </c>
      <c r="AP33" s="3">
        <v>365.5</v>
      </c>
      <c r="AQ33" s="15">
        <f t="shared" si="4"/>
        <v>91.55811623246494</v>
      </c>
      <c r="AR33" s="3">
        <v>-307.6</v>
      </c>
      <c r="AS33" s="3">
        <v>1539.7</v>
      </c>
      <c r="AT33" s="3">
        <f t="shared" si="17"/>
        <v>9112.4</v>
      </c>
      <c r="AU33" s="3">
        <f t="shared" si="18"/>
        <v>14524.199999999999</v>
      </c>
      <c r="AV33" s="15">
        <f>AU33/AT33*100</f>
        <v>159.3894034502436</v>
      </c>
      <c r="AW33" s="15">
        <f t="shared" si="20"/>
        <v>-5411.799999999999</v>
      </c>
      <c r="AX33" s="4">
        <f aca="true" t="shared" si="25" ref="AX33:AX42">C33+AT33-AU33</f>
        <v>18549.4</v>
      </c>
      <c r="AY33" s="22">
        <f t="shared" si="5"/>
        <v>-5411.799999999999</v>
      </c>
      <c r="AZ33" s="22">
        <f t="shared" si="1"/>
        <v>18549.4</v>
      </c>
    </row>
    <row r="34" spans="1:52" ht="24.75" customHeight="1">
      <c r="A34" s="20"/>
      <c r="B34" s="16" t="s">
        <v>69</v>
      </c>
      <c r="C34" s="2">
        <v>84.4</v>
      </c>
      <c r="D34" s="3"/>
      <c r="E34" s="3"/>
      <c r="F34" s="15"/>
      <c r="G34" s="3"/>
      <c r="H34" s="3"/>
      <c r="I34" s="38" t="e">
        <f t="shared" si="22"/>
        <v>#DIV/0!</v>
      </c>
      <c r="J34" s="3"/>
      <c r="K34" s="3"/>
      <c r="L34" s="38" t="e">
        <f t="shared" si="23"/>
        <v>#DIV/0!</v>
      </c>
      <c r="M34" s="3"/>
      <c r="N34" s="3"/>
      <c r="O34" s="15"/>
      <c r="P34" s="3"/>
      <c r="Q34" s="3"/>
      <c r="R34" s="38"/>
      <c r="S34" s="3"/>
      <c r="T34" s="3"/>
      <c r="U34" s="38"/>
      <c r="V34" s="3"/>
      <c r="W34" s="3"/>
      <c r="X34" s="38"/>
      <c r="Y34" s="3"/>
      <c r="Z34" s="3"/>
      <c r="AA34" s="15"/>
      <c r="AB34" s="3"/>
      <c r="AC34" s="3"/>
      <c r="AD34" s="30"/>
      <c r="AE34" s="3"/>
      <c r="AF34" s="3"/>
      <c r="AG34" s="30"/>
      <c r="AH34" s="3"/>
      <c r="AI34" s="3"/>
      <c r="AJ34" s="3"/>
      <c r="AK34" s="3"/>
      <c r="AL34" s="15"/>
      <c r="AM34" s="3"/>
      <c r="AN34" s="3"/>
      <c r="AO34" s="3"/>
      <c r="AP34" s="3"/>
      <c r="AQ34" s="15"/>
      <c r="AR34" s="3">
        <v>-84.4</v>
      </c>
      <c r="AS34" s="3">
        <v>0</v>
      </c>
      <c r="AT34" s="3">
        <f t="shared" si="17"/>
        <v>-84.4</v>
      </c>
      <c r="AU34" s="3">
        <f t="shared" si="18"/>
        <v>0</v>
      </c>
      <c r="AV34" s="15">
        <f>AU34/AT34*100</f>
        <v>0</v>
      </c>
      <c r="AW34" s="15">
        <f t="shared" si="20"/>
        <v>-84.4</v>
      </c>
      <c r="AX34" s="4">
        <f t="shared" si="25"/>
        <v>0</v>
      </c>
      <c r="AY34" s="22">
        <f t="shared" si="5"/>
        <v>-84.4</v>
      </c>
      <c r="AZ34" s="22">
        <f t="shared" si="1"/>
        <v>0</v>
      </c>
    </row>
    <row r="35" spans="1:52" ht="35.25" customHeight="1">
      <c r="A35" s="6">
        <v>26</v>
      </c>
      <c r="B35" s="16" t="s">
        <v>94</v>
      </c>
      <c r="C35" s="2">
        <v>7672.7</v>
      </c>
      <c r="D35" s="3">
        <f>331.2+1598.2</f>
        <v>1929.4</v>
      </c>
      <c r="E35" s="3">
        <v>891.2</v>
      </c>
      <c r="F35" s="15">
        <f aca="true" t="shared" si="26" ref="F35:F46">E35/D35*100</f>
        <v>46.190525551985075</v>
      </c>
      <c r="G35" s="3">
        <f>443.4+1030.5</f>
        <v>1473.9</v>
      </c>
      <c r="H35" s="3">
        <f>243.8+803.9</f>
        <v>1047.7</v>
      </c>
      <c r="I35" s="15">
        <f t="shared" si="22"/>
        <v>71.08351991315557</v>
      </c>
      <c r="J35" s="3">
        <v>548.6</v>
      </c>
      <c r="K35" s="3">
        <v>913.4</v>
      </c>
      <c r="L35" s="15">
        <f t="shared" si="23"/>
        <v>166.49653663871672</v>
      </c>
      <c r="M35" s="3">
        <f t="shared" si="8"/>
        <v>3951.9</v>
      </c>
      <c r="N35" s="3">
        <f t="shared" si="9"/>
        <v>2852.3</v>
      </c>
      <c r="O35" s="15">
        <f t="shared" si="3"/>
        <v>72.17540929679394</v>
      </c>
      <c r="P35" s="3">
        <v>-172.9</v>
      </c>
      <c r="Q35" s="3">
        <v>571.8</v>
      </c>
      <c r="R35" s="15">
        <f t="shared" si="24"/>
        <v>-330.7113938692886</v>
      </c>
      <c r="S35" s="3">
        <v>1912.2</v>
      </c>
      <c r="T35" s="3">
        <v>462.7</v>
      </c>
      <c r="U35" s="15">
        <f aca="true" t="shared" si="27" ref="U35:U42">T35/S35*100</f>
        <v>24.19725970086811</v>
      </c>
      <c r="V35" s="3">
        <v>110.6</v>
      </c>
      <c r="W35" s="3">
        <v>447.3</v>
      </c>
      <c r="X35" s="15">
        <f aca="true" t="shared" si="28" ref="X35:X42">W35/V35*100</f>
        <v>404.43037974683546</v>
      </c>
      <c r="Y35" s="3">
        <f aca="true" t="shared" si="29" ref="Y35:Z42">P35+S35+V35</f>
        <v>1849.8999999999999</v>
      </c>
      <c r="Z35" s="3">
        <f t="shared" si="29"/>
        <v>1481.8</v>
      </c>
      <c r="AA35" s="15">
        <f aca="true" t="shared" si="30" ref="AA35:AA44">Z35/Y35*100</f>
        <v>80.1016271149792</v>
      </c>
      <c r="AB35" s="3">
        <v>-10.7</v>
      </c>
      <c r="AC35" s="3">
        <v>545.7</v>
      </c>
      <c r="AD35" s="30">
        <f aca="true" t="shared" si="31" ref="AD35:AD42">AC35/AB35*100</f>
        <v>-5100.000000000001</v>
      </c>
      <c r="AE35" s="3">
        <v>0</v>
      </c>
      <c r="AF35" s="3">
        <v>403.7</v>
      </c>
      <c r="AG35" s="30" t="e">
        <f>AF35/AE35*100</f>
        <v>#DIV/0!</v>
      </c>
      <c r="AH35" s="3">
        <v>-0.4</v>
      </c>
      <c r="AI35" s="3">
        <v>470.1</v>
      </c>
      <c r="AJ35" s="3">
        <f t="shared" si="15"/>
        <v>-11.1</v>
      </c>
      <c r="AK35" s="3">
        <f t="shared" si="16"/>
        <v>1419.5</v>
      </c>
      <c r="AL35" s="15">
        <f aca="true" t="shared" si="32" ref="AL35:AL44">AK35/AJ35*100</f>
        <v>-12788.288288288288</v>
      </c>
      <c r="AM35" s="3">
        <v>-447.1</v>
      </c>
      <c r="AN35" s="3">
        <v>371.4</v>
      </c>
      <c r="AO35" s="3">
        <v>1365.4</v>
      </c>
      <c r="AP35" s="3">
        <v>391.2</v>
      </c>
      <c r="AQ35" s="15">
        <f t="shared" si="4"/>
        <v>28.650944778087005</v>
      </c>
      <c r="AR35" s="3">
        <v>1076.8</v>
      </c>
      <c r="AS35" s="3">
        <v>823.3</v>
      </c>
      <c r="AT35" s="3">
        <f t="shared" si="17"/>
        <v>7785.8</v>
      </c>
      <c r="AU35" s="3">
        <f t="shared" si="18"/>
        <v>7339.5</v>
      </c>
      <c r="AV35" s="15">
        <f aca="true" t="shared" si="33" ref="AV35:AV44">AU35/AT35*100</f>
        <v>94.2677695291428</v>
      </c>
      <c r="AW35" s="15">
        <f t="shared" si="20"/>
        <v>446.3000000000002</v>
      </c>
      <c r="AX35" s="4">
        <f t="shared" si="25"/>
        <v>8119</v>
      </c>
      <c r="AY35" s="22">
        <f t="shared" si="5"/>
        <v>446.3000000000002</v>
      </c>
      <c r="AZ35" s="22">
        <f t="shared" si="1"/>
        <v>8119</v>
      </c>
    </row>
    <row r="36" spans="1:52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5">
        <f t="shared" si="26"/>
        <v>100</v>
      </c>
      <c r="G36" s="3">
        <v>0.2</v>
      </c>
      <c r="H36" s="3">
        <v>0.2</v>
      </c>
      <c r="I36" s="15">
        <f t="shared" si="22"/>
        <v>100</v>
      </c>
      <c r="J36" s="3">
        <v>0.2</v>
      </c>
      <c r="K36" s="3">
        <v>0.2</v>
      </c>
      <c r="L36" s="15">
        <f t="shared" si="23"/>
        <v>100</v>
      </c>
      <c r="M36" s="3">
        <f t="shared" si="8"/>
        <v>0.6000000000000001</v>
      </c>
      <c r="N36" s="3">
        <f t="shared" si="9"/>
        <v>0.6000000000000001</v>
      </c>
      <c r="O36" s="15">
        <f t="shared" si="3"/>
        <v>100</v>
      </c>
      <c r="P36" s="3">
        <v>0</v>
      </c>
      <c r="Q36" s="3">
        <v>0.2</v>
      </c>
      <c r="R36" s="30" t="e">
        <f t="shared" si="24"/>
        <v>#DIV/0!</v>
      </c>
      <c r="S36" s="3">
        <v>0</v>
      </c>
      <c r="T36" s="3">
        <v>0</v>
      </c>
      <c r="U36" s="30" t="e">
        <f t="shared" si="27"/>
        <v>#DIV/0!</v>
      </c>
      <c r="V36" s="3">
        <v>0</v>
      </c>
      <c r="W36" s="3">
        <v>0</v>
      </c>
      <c r="X36" s="30" t="e">
        <f t="shared" si="28"/>
        <v>#DIV/0!</v>
      </c>
      <c r="Y36" s="3">
        <f t="shared" si="29"/>
        <v>0</v>
      </c>
      <c r="Z36" s="3">
        <f t="shared" si="29"/>
        <v>0.2</v>
      </c>
      <c r="AA36" s="30" t="e">
        <f t="shared" si="30"/>
        <v>#DIV/0!</v>
      </c>
      <c r="AB36" s="3">
        <v>0</v>
      </c>
      <c r="AC36" s="3">
        <v>0</v>
      </c>
      <c r="AD36" s="30">
        <v>0</v>
      </c>
      <c r="AE36" s="3">
        <v>0</v>
      </c>
      <c r="AF36" s="3">
        <v>3.4</v>
      </c>
      <c r="AG36" s="30">
        <v>0</v>
      </c>
      <c r="AH36" s="3">
        <v>0</v>
      </c>
      <c r="AI36" s="3">
        <v>0</v>
      </c>
      <c r="AJ36" s="3">
        <f t="shared" si="15"/>
        <v>0</v>
      </c>
      <c r="AK36" s="3">
        <f t="shared" si="16"/>
        <v>3.4</v>
      </c>
      <c r="AL36" s="30" t="e">
        <f t="shared" si="32"/>
        <v>#DIV/0!</v>
      </c>
      <c r="AM36" s="3">
        <v>0</v>
      </c>
      <c r="AN36" s="3">
        <v>1</v>
      </c>
      <c r="AO36" s="3">
        <v>0</v>
      </c>
      <c r="AP36" s="3">
        <v>0</v>
      </c>
      <c r="AQ36" s="15"/>
      <c r="AR36" s="3">
        <v>0</v>
      </c>
      <c r="AS36" s="3">
        <v>0</v>
      </c>
      <c r="AT36" s="3">
        <f t="shared" si="17"/>
        <v>0.6000000000000001</v>
      </c>
      <c r="AU36" s="3">
        <f t="shared" si="18"/>
        <v>5.2</v>
      </c>
      <c r="AV36" s="15">
        <f t="shared" si="33"/>
        <v>866.6666666666666</v>
      </c>
      <c r="AW36" s="15">
        <f t="shared" si="20"/>
        <v>-4.6</v>
      </c>
      <c r="AX36" s="4">
        <f t="shared" si="25"/>
        <v>50.1</v>
      </c>
      <c r="AY36" s="22">
        <f t="shared" si="5"/>
        <v>-4.6</v>
      </c>
      <c r="AZ36" s="22">
        <f t="shared" si="1"/>
        <v>50.1</v>
      </c>
    </row>
    <row r="37" spans="1:52" ht="24" customHeight="1">
      <c r="A37" s="6">
        <v>28</v>
      </c>
      <c r="B37" s="16" t="s">
        <v>71</v>
      </c>
      <c r="C37" s="2">
        <f>13632.5-3.1</f>
        <v>13629.4</v>
      </c>
      <c r="D37" s="3">
        <v>4908.4</v>
      </c>
      <c r="E37" s="3">
        <v>2388.3</v>
      </c>
      <c r="F37" s="15">
        <f t="shared" si="26"/>
        <v>48.65740363458562</v>
      </c>
      <c r="G37" s="3">
        <v>4165.9</v>
      </c>
      <c r="H37" s="3">
        <v>2762</v>
      </c>
      <c r="I37" s="15">
        <f t="shared" si="22"/>
        <v>66.30019923665955</v>
      </c>
      <c r="J37" s="3">
        <v>-407.4</v>
      </c>
      <c r="K37" s="3">
        <v>2721</v>
      </c>
      <c r="L37" s="15">
        <f t="shared" si="23"/>
        <v>-667.8939617083947</v>
      </c>
      <c r="M37" s="3">
        <f t="shared" si="8"/>
        <v>8666.9</v>
      </c>
      <c r="N37" s="3">
        <f t="shared" si="9"/>
        <v>7871.3</v>
      </c>
      <c r="O37" s="15">
        <f t="shared" si="3"/>
        <v>90.8202471471922</v>
      </c>
      <c r="P37" s="3">
        <v>528.3</v>
      </c>
      <c r="Q37" s="3">
        <v>1711.9</v>
      </c>
      <c r="R37" s="15">
        <f t="shared" si="24"/>
        <v>324.03937156918425</v>
      </c>
      <c r="S37" s="3">
        <v>1812</v>
      </c>
      <c r="T37" s="3">
        <v>1145.2</v>
      </c>
      <c r="U37" s="15">
        <f t="shared" si="27"/>
        <v>63.20088300220751</v>
      </c>
      <c r="V37" s="3">
        <v>0</v>
      </c>
      <c r="W37" s="3">
        <v>755.7</v>
      </c>
      <c r="X37" s="30" t="e">
        <f t="shared" si="28"/>
        <v>#DIV/0!</v>
      </c>
      <c r="Y37" s="3">
        <f t="shared" si="29"/>
        <v>2340.3</v>
      </c>
      <c r="Z37" s="3">
        <f t="shared" si="29"/>
        <v>3612.8</v>
      </c>
      <c r="AA37" s="15">
        <f t="shared" si="30"/>
        <v>154.37337093535018</v>
      </c>
      <c r="AB37" s="3">
        <v>-159.8</v>
      </c>
      <c r="AC37" s="3">
        <v>716.2</v>
      </c>
      <c r="AD37" s="30">
        <f t="shared" si="31"/>
        <v>-448.1852315394243</v>
      </c>
      <c r="AE37" s="3">
        <v>-1.5</v>
      </c>
      <c r="AF37" s="3">
        <v>578.3</v>
      </c>
      <c r="AG37" s="30">
        <f aca="true" t="shared" si="34" ref="AG37:AG42">AF37/AE37*100</f>
        <v>-38553.33333333333</v>
      </c>
      <c r="AH37" s="3">
        <v>2.5</v>
      </c>
      <c r="AI37" s="3">
        <v>674</v>
      </c>
      <c r="AJ37" s="3">
        <f t="shared" si="15"/>
        <v>-158.8</v>
      </c>
      <c r="AK37" s="3">
        <f t="shared" si="16"/>
        <v>1968.5</v>
      </c>
      <c r="AL37" s="15">
        <f t="shared" si="32"/>
        <v>-1239.609571788413</v>
      </c>
      <c r="AM37" s="3">
        <v>1197.3</v>
      </c>
      <c r="AN37" s="3">
        <v>472.3</v>
      </c>
      <c r="AO37" s="3">
        <v>2497.7</v>
      </c>
      <c r="AP37" s="3">
        <v>1374.9</v>
      </c>
      <c r="AQ37" s="15">
        <f t="shared" si="4"/>
        <v>55.04664291147857</v>
      </c>
      <c r="AR37" s="3">
        <v>3311.4</v>
      </c>
      <c r="AS37" s="3">
        <v>2245.8</v>
      </c>
      <c r="AT37" s="3">
        <f t="shared" si="17"/>
        <v>17854.800000000003</v>
      </c>
      <c r="AU37" s="3">
        <f t="shared" si="18"/>
        <v>17545.6</v>
      </c>
      <c r="AV37" s="15">
        <f t="shared" si="33"/>
        <v>98.26825279476665</v>
      </c>
      <c r="AW37" s="15">
        <f t="shared" si="20"/>
        <v>309.20000000000437</v>
      </c>
      <c r="AX37" s="4">
        <f t="shared" si="25"/>
        <v>13938.600000000006</v>
      </c>
      <c r="AY37" s="22">
        <f t="shared" si="5"/>
        <v>309.20000000000437</v>
      </c>
      <c r="AZ37" s="22">
        <f t="shared" si="1"/>
        <v>13938.600000000006</v>
      </c>
    </row>
    <row r="38" spans="1:52" ht="24" customHeight="1">
      <c r="A38" s="6">
        <v>29</v>
      </c>
      <c r="B38" s="16" t="s">
        <v>72</v>
      </c>
      <c r="C38" s="2">
        <v>16385.8</v>
      </c>
      <c r="D38" s="3">
        <v>4805.1</v>
      </c>
      <c r="E38" s="3">
        <v>1434.3</v>
      </c>
      <c r="F38" s="15">
        <f t="shared" si="26"/>
        <v>29.84953486920147</v>
      </c>
      <c r="G38" s="3">
        <v>4117.3</v>
      </c>
      <c r="H38" s="3">
        <v>1797.7</v>
      </c>
      <c r="I38" s="15">
        <f t="shared" si="22"/>
        <v>43.662108663444485</v>
      </c>
      <c r="J38" s="3">
        <v>-1553.7</v>
      </c>
      <c r="K38" s="3">
        <v>1882.8</v>
      </c>
      <c r="L38" s="15">
        <f t="shared" si="23"/>
        <v>-121.18169530797451</v>
      </c>
      <c r="M38" s="3">
        <f t="shared" si="8"/>
        <v>7368.700000000002</v>
      </c>
      <c r="N38" s="3">
        <f t="shared" si="9"/>
        <v>5114.8</v>
      </c>
      <c r="O38" s="15">
        <f t="shared" si="3"/>
        <v>69.41251509764272</v>
      </c>
      <c r="P38" s="3">
        <v>984.2</v>
      </c>
      <c r="Q38" s="3">
        <v>1074.6</v>
      </c>
      <c r="R38" s="15">
        <f t="shared" si="24"/>
        <v>109.18512497459865</v>
      </c>
      <c r="S38" s="3">
        <v>4236.9</v>
      </c>
      <c r="T38" s="3">
        <v>787.7</v>
      </c>
      <c r="U38" s="15">
        <f t="shared" si="27"/>
        <v>18.59142297434445</v>
      </c>
      <c r="V38" s="3">
        <v>9.7</v>
      </c>
      <c r="W38" s="3">
        <v>568.7</v>
      </c>
      <c r="X38" s="15">
        <f t="shared" si="28"/>
        <v>5862.886597938145</v>
      </c>
      <c r="Y38" s="3">
        <f t="shared" si="29"/>
        <v>5230.799999999999</v>
      </c>
      <c r="Z38" s="3">
        <f t="shared" si="29"/>
        <v>2431</v>
      </c>
      <c r="AA38" s="15">
        <f t="shared" si="30"/>
        <v>46.474726619255186</v>
      </c>
      <c r="AB38" s="3">
        <v>-27.4</v>
      </c>
      <c r="AC38" s="3">
        <v>649.2</v>
      </c>
      <c r="AD38" s="30">
        <f t="shared" si="31"/>
        <v>-2369.343065693431</v>
      </c>
      <c r="AE38" s="3">
        <v>0</v>
      </c>
      <c r="AF38" s="3">
        <v>752.5</v>
      </c>
      <c r="AG38" s="30" t="e">
        <f t="shared" si="34"/>
        <v>#DIV/0!</v>
      </c>
      <c r="AH38" s="3">
        <v>-5.1</v>
      </c>
      <c r="AI38" s="3">
        <v>594.8</v>
      </c>
      <c r="AJ38" s="3">
        <f t="shared" si="15"/>
        <v>-32.5</v>
      </c>
      <c r="AK38" s="3">
        <f t="shared" si="16"/>
        <v>1996.5</v>
      </c>
      <c r="AL38" s="15">
        <f t="shared" si="32"/>
        <v>-6143.076923076923</v>
      </c>
      <c r="AM38" s="3">
        <f>1.6+(-654)</f>
        <v>-652.4</v>
      </c>
      <c r="AN38" s="3">
        <f>514.5+0.3</f>
        <v>514.8</v>
      </c>
      <c r="AO38" s="3">
        <f>3.3+1300.4</f>
        <v>1303.7</v>
      </c>
      <c r="AP38" s="3">
        <f>351+180.1</f>
        <v>531.1</v>
      </c>
      <c r="AQ38" s="15">
        <f t="shared" si="4"/>
        <v>40.73789982357904</v>
      </c>
      <c r="AR38" s="3">
        <f>1520.9+11.9</f>
        <v>1532.8000000000002</v>
      </c>
      <c r="AS38" s="3">
        <f>1058.8+228</f>
        <v>1286.8</v>
      </c>
      <c r="AT38" s="3">
        <f t="shared" si="17"/>
        <v>14751.100000000002</v>
      </c>
      <c r="AU38" s="3">
        <f t="shared" si="18"/>
        <v>11874.999999999998</v>
      </c>
      <c r="AV38" s="15">
        <f t="shared" si="33"/>
        <v>80.50247100216252</v>
      </c>
      <c r="AW38" s="15">
        <f t="shared" si="20"/>
        <v>2876.100000000004</v>
      </c>
      <c r="AX38" s="4">
        <f t="shared" si="25"/>
        <v>19261.9</v>
      </c>
      <c r="AY38" s="22">
        <f t="shared" si="5"/>
        <v>2876.100000000004</v>
      </c>
      <c r="AZ38" s="22">
        <f t="shared" si="1"/>
        <v>19261.9</v>
      </c>
    </row>
    <row r="39" spans="1:52" ht="36.75" customHeight="1">
      <c r="A39" s="6">
        <v>30</v>
      </c>
      <c r="B39" s="16" t="s">
        <v>95</v>
      </c>
      <c r="C39" s="2">
        <v>50000.1</v>
      </c>
      <c r="D39" s="3">
        <v>10957.8</v>
      </c>
      <c r="E39" s="3">
        <v>6674.9</v>
      </c>
      <c r="F39" s="15">
        <f t="shared" si="26"/>
        <v>60.91459964591432</v>
      </c>
      <c r="G39" s="3">
        <v>14338.4</v>
      </c>
      <c r="H39" s="3">
        <v>6867.9</v>
      </c>
      <c r="I39" s="15">
        <f t="shared" si="22"/>
        <v>47.89864977961278</v>
      </c>
      <c r="J39" s="3">
        <v>-365.5</v>
      </c>
      <c r="K39" s="3">
        <v>8279.3</v>
      </c>
      <c r="L39" s="15">
        <f t="shared" si="23"/>
        <v>-2265.1983584131326</v>
      </c>
      <c r="M39" s="3">
        <f t="shared" si="8"/>
        <v>24930.699999999997</v>
      </c>
      <c r="N39" s="3">
        <f t="shared" si="9"/>
        <v>21822.1</v>
      </c>
      <c r="O39" s="15">
        <f t="shared" si="3"/>
        <v>87.53103603188038</v>
      </c>
      <c r="P39" s="3">
        <v>4656.4</v>
      </c>
      <c r="Q39" s="3">
        <v>4018.9</v>
      </c>
      <c r="R39" s="15">
        <f t="shared" si="24"/>
        <v>86.30916587922</v>
      </c>
      <c r="S39" s="3">
        <v>3660.5</v>
      </c>
      <c r="T39" s="3">
        <v>3118.6</v>
      </c>
      <c r="U39" s="15">
        <f t="shared" si="27"/>
        <v>85.19601147384238</v>
      </c>
      <c r="V39" s="3">
        <v>35.1</v>
      </c>
      <c r="W39" s="3">
        <v>2098.4</v>
      </c>
      <c r="X39" s="15">
        <f t="shared" si="28"/>
        <v>5978.347578347579</v>
      </c>
      <c r="Y39" s="3">
        <f t="shared" si="29"/>
        <v>8352</v>
      </c>
      <c r="Z39" s="3">
        <f t="shared" si="29"/>
        <v>9235.9</v>
      </c>
      <c r="AA39" s="15">
        <f t="shared" si="30"/>
        <v>110.5830938697318</v>
      </c>
      <c r="AB39" s="3">
        <v>-8.4</v>
      </c>
      <c r="AC39" s="3">
        <v>2248.8</v>
      </c>
      <c r="AD39" s="30">
        <f t="shared" si="31"/>
        <v>-26771.428571428572</v>
      </c>
      <c r="AE39" s="3">
        <v>-1.4</v>
      </c>
      <c r="AF39" s="3">
        <v>2025.9</v>
      </c>
      <c r="AG39" s="30">
        <f t="shared" si="34"/>
        <v>-144707.14285714287</v>
      </c>
      <c r="AH39" s="3">
        <v>-1.2</v>
      </c>
      <c r="AI39" s="3">
        <v>1557.7</v>
      </c>
      <c r="AJ39" s="3">
        <f t="shared" si="15"/>
        <v>-11</v>
      </c>
      <c r="AK39" s="3">
        <f t="shared" si="16"/>
        <v>5832.400000000001</v>
      </c>
      <c r="AL39" s="15">
        <f t="shared" si="32"/>
        <v>-53021.818181818184</v>
      </c>
      <c r="AM39" s="3">
        <v>3238.2</v>
      </c>
      <c r="AN39" s="3">
        <v>0</v>
      </c>
      <c r="AO39" s="3">
        <v>8846</v>
      </c>
      <c r="AP39" s="3">
        <v>3132.3</v>
      </c>
      <c r="AQ39" s="15">
        <f t="shared" si="4"/>
        <v>35.409224508252315</v>
      </c>
      <c r="AR39" s="3">
        <v>8217.2</v>
      </c>
      <c r="AS39" s="3">
        <v>5163</v>
      </c>
      <c r="AT39" s="3">
        <f t="shared" si="17"/>
        <v>53573.09999999999</v>
      </c>
      <c r="AU39" s="3">
        <f t="shared" si="18"/>
        <v>45185.700000000004</v>
      </c>
      <c r="AV39" s="15">
        <f t="shared" si="33"/>
        <v>84.34400846693585</v>
      </c>
      <c r="AW39" s="15">
        <f t="shared" si="20"/>
        <v>8387.399999999987</v>
      </c>
      <c r="AX39" s="4">
        <f t="shared" si="25"/>
        <v>58387.49999999998</v>
      </c>
      <c r="AY39" s="22">
        <f t="shared" si="5"/>
        <v>8387.399999999987</v>
      </c>
      <c r="AZ39" s="22">
        <f t="shared" si="1"/>
        <v>58387.49999999998</v>
      </c>
    </row>
    <row r="40" spans="1:52" ht="24" customHeight="1">
      <c r="A40" s="6">
        <v>31</v>
      </c>
      <c r="B40" s="16" t="s">
        <v>73</v>
      </c>
      <c r="C40" s="2">
        <v>312.4</v>
      </c>
      <c r="D40" s="3">
        <v>19.3</v>
      </c>
      <c r="E40" s="3">
        <v>14.6</v>
      </c>
      <c r="F40" s="15">
        <f t="shared" si="26"/>
        <v>75.64766839378237</v>
      </c>
      <c r="G40" s="3">
        <v>21</v>
      </c>
      <c r="H40" s="3">
        <v>13.4</v>
      </c>
      <c r="I40" s="15">
        <f t="shared" si="22"/>
        <v>63.80952380952382</v>
      </c>
      <c r="J40" s="3">
        <v>4.8</v>
      </c>
      <c r="K40" s="3">
        <v>11.6</v>
      </c>
      <c r="L40" s="15">
        <f t="shared" si="23"/>
        <v>241.66666666666666</v>
      </c>
      <c r="M40" s="3">
        <f t="shared" si="8"/>
        <v>45.099999999999994</v>
      </c>
      <c r="N40" s="3">
        <f t="shared" si="9"/>
        <v>39.6</v>
      </c>
      <c r="O40" s="15">
        <f t="shared" si="3"/>
        <v>87.8048780487805</v>
      </c>
      <c r="P40" s="3">
        <v>5.4</v>
      </c>
      <c r="Q40" s="3">
        <v>5.4</v>
      </c>
      <c r="R40" s="15">
        <f t="shared" si="24"/>
        <v>100</v>
      </c>
      <c r="S40" s="3">
        <v>5.2</v>
      </c>
      <c r="T40" s="3">
        <v>5.3</v>
      </c>
      <c r="U40" s="15">
        <f t="shared" si="27"/>
        <v>101.92307692307692</v>
      </c>
      <c r="V40" s="3">
        <v>0</v>
      </c>
      <c r="W40" s="3">
        <v>11.9</v>
      </c>
      <c r="X40" s="30" t="e">
        <f t="shared" si="28"/>
        <v>#DIV/0!</v>
      </c>
      <c r="Y40" s="3">
        <f t="shared" si="29"/>
        <v>10.600000000000001</v>
      </c>
      <c r="Z40" s="3">
        <f t="shared" si="29"/>
        <v>22.6</v>
      </c>
      <c r="AA40" s="15">
        <f t="shared" si="30"/>
        <v>213.2075471698113</v>
      </c>
      <c r="AB40" s="3">
        <v>0</v>
      </c>
      <c r="AC40" s="3">
        <v>4.4</v>
      </c>
      <c r="AD40" s="30" t="e">
        <f t="shared" si="31"/>
        <v>#DIV/0!</v>
      </c>
      <c r="AE40" s="3">
        <v>0</v>
      </c>
      <c r="AF40" s="3">
        <v>1.5</v>
      </c>
      <c r="AG40" s="30" t="e">
        <f t="shared" si="34"/>
        <v>#DIV/0!</v>
      </c>
      <c r="AH40" s="3">
        <v>0</v>
      </c>
      <c r="AI40" s="3">
        <v>1.3</v>
      </c>
      <c r="AJ40" s="3">
        <f t="shared" si="15"/>
        <v>0</v>
      </c>
      <c r="AK40" s="3">
        <f t="shared" si="16"/>
        <v>7.2</v>
      </c>
      <c r="AL40" s="15" t="e">
        <f t="shared" si="32"/>
        <v>#DIV/0!</v>
      </c>
      <c r="AM40" s="3">
        <v>0</v>
      </c>
      <c r="AN40" s="3">
        <v>0.8</v>
      </c>
      <c r="AO40" s="3">
        <v>0</v>
      </c>
      <c r="AP40" s="3">
        <v>0.6</v>
      </c>
      <c r="AQ40" s="15"/>
      <c r="AR40" s="3">
        <v>0</v>
      </c>
      <c r="AS40" s="3">
        <v>0.5</v>
      </c>
      <c r="AT40" s="3">
        <f t="shared" si="17"/>
        <v>55.699999999999996</v>
      </c>
      <c r="AU40" s="3">
        <f t="shared" si="18"/>
        <v>71.3</v>
      </c>
      <c r="AV40" s="15">
        <f t="shared" si="33"/>
        <v>128.00718132854578</v>
      </c>
      <c r="AW40" s="15">
        <f t="shared" si="20"/>
        <v>-15.600000000000001</v>
      </c>
      <c r="AX40" s="4">
        <f t="shared" si="25"/>
        <v>296.79999999999995</v>
      </c>
      <c r="AY40" s="22">
        <f t="shared" si="5"/>
        <v>-15.600000000000001</v>
      </c>
      <c r="AZ40" s="22">
        <f t="shared" si="1"/>
        <v>296.79999999999995</v>
      </c>
    </row>
    <row r="41" spans="1:52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5">
        <f t="shared" si="26"/>
        <v>71.63910397348883</v>
      </c>
      <c r="G41" s="3">
        <v>5848.9</v>
      </c>
      <c r="H41" s="3">
        <v>4260</v>
      </c>
      <c r="I41" s="15">
        <f t="shared" si="22"/>
        <v>72.83420814170186</v>
      </c>
      <c r="J41" s="3">
        <v>-60.4</v>
      </c>
      <c r="K41" s="3">
        <v>4265.1</v>
      </c>
      <c r="L41" s="15">
        <f t="shared" si="23"/>
        <v>-7061.423841059603</v>
      </c>
      <c r="M41" s="3">
        <f t="shared" si="8"/>
        <v>12065.1</v>
      </c>
      <c r="N41" s="3">
        <f t="shared" si="9"/>
        <v>13021.6</v>
      </c>
      <c r="O41" s="15">
        <f t="shared" si="3"/>
        <v>107.9278248833412</v>
      </c>
      <c r="P41" s="3">
        <v>0</v>
      </c>
      <c r="Q41" s="3">
        <v>2144.2</v>
      </c>
      <c r="R41" s="30" t="e">
        <f t="shared" si="24"/>
        <v>#DIV/0!</v>
      </c>
      <c r="S41" s="3">
        <v>0</v>
      </c>
      <c r="T41" s="3">
        <v>1377.4</v>
      </c>
      <c r="U41" s="30" t="e">
        <f t="shared" si="27"/>
        <v>#DIV/0!</v>
      </c>
      <c r="V41" s="3">
        <v>0</v>
      </c>
      <c r="W41" s="3">
        <v>1499.8</v>
      </c>
      <c r="X41" s="30" t="e">
        <f t="shared" si="28"/>
        <v>#DIV/0!</v>
      </c>
      <c r="Y41" s="3">
        <f t="shared" si="29"/>
        <v>0</v>
      </c>
      <c r="Z41" s="3">
        <f t="shared" si="29"/>
        <v>5021.4</v>
      </c>
      <c r="AA41" s="30" t="e">
        <f t="shared" si="30"/>
        <v>#DIV/0!</v>
      </c>
      <c r="AB41" s="3">
        <v>0</v>
      </c>
      <c r="AC41" s="3">
        <v>1342.7</v>
      </c>
      <c r="AD41" s="30" t="e">
        <f t="shared" si="31"/>
        <v>#DIV/0!</v>
      </c>
      <c r="AE41" s="3">
        <v>0</v>
      </c>
      <c r="AF41" s="3">
        <v>1041.4</v>
      </c>
      <c r="AG41" s="30" t="e">
        <f t="shared" si="34"/>
        <v>#DIV/0!</v>
      </c>
      <c r="AH41" s="3">
        <v>0</v>
      </c>
      <c r="AI41" s="3">
        <v>1116.8</v>
      </c>
      <c r="AJ41" s="3">
        <f t="shared" si="15"/>
        <v>0</v>
      </c>
      <c r="AK41" s="3">
        <f t="shared" si="16"/>
        <v>3500.9000000000005</v>
      </c>
      <c r="AL41" s="30" t="e">
        <f t="shared" si="32"/>
        <v>#DIV/0!</v>
      </c>
      <c r="AM41" s="3">
        <v>1783.2</v>
      </c>
      <c r="AN41" s="3">
        <v>1034.7</v>
      </c>
      <c r="AO41" s="3">
        <v>4526.8</v>
      </c>
      <c r="AP41" s="3">
        <v>1724.1</v>
      </c>
      <c r="AQ41" s="15">
        <f t="shared" si="4"/>
        <v>38.0865070248299</v>
      </c>
      <c r="AR41" s="3">
        <v>4976.2</v>
      </c>
      <c r="AS41" s="3">
        <v>3017.3</v>
      </c>
      <c r="AT41" s="3">
        <f t="shared" si="17"/>
        <v>23351.300000000003</v>
      </c>
      <c r="AU41" s="3">
        <f t="shared" si="18"/>
        <v>27320</v>
      </c>
      <c r="AV41" s="15">
        <f t="shared" si="33"/>
        <v>116.9956276524219</v>
      </c>
      <c r="AW41" s="15">
        <f t="shared" si="20"/>
        <v>-3968.699999999997</v>
      </c>
      <c r="AX41" s="4">
        <f t="shared" si="25"/>
        <v>18152.300000000003</v>
      </c>
      <c r="AY41" s="22">
        <f t="shared" si="5"/>
        <v>-3968.699999999997</v>
      </c>
      <c r="AZ41" s="22">
        <f t="shared" si="1"/>
        <v>18152.300000000003</v>
      </c>
    </row>
    <row r="42" spans="1:52" ht="24" customHeight="1">
      <c r="A42" s="6">
        <v>33</v>
      </c>
      <c r="B42" s="16" t="s">
        <v>75</v>
      </c>
      <c r="C42" s="2">
        <v>8094.6</v>
      </c>
      <c r="D42" s="3">
        <v>5578.2</v>
      </c>
      <c r="E42" s="3">
        <v>4165.2</v>
      </c>
      <c r="F42" s="15">
        <f t="shared" si="26"/>
        <v>74.66924814456276</v>
      </c>
      <c r="G42" s="3">
        <v>4735.2</v>
      </c>
      <c r="H42" s="3">
        <v>4138.7</v>
      </c>
      <c r="I42" s="15">
        <f t="shared" si="22"/>
        <v>87.40285521202907</v>
      </c>
      <c r="J42" s="3">
        <v>213.2</v>
      </c>
      <c r="K42" s="3">
        <v>4387.1</v>
      </c>
      <c r="L42" s="15">
        <f t="shared" si="23"/>
        <v>2057.739212007505</v>
      </c>
      <c r="M42" s="3">
        <f t="shared" si="8"/>
        <v>10526.6</v>
      </c>
      <c r="N42" s="3">
        <f t="shared" si="9"/>
        <v>12691</v>
      </c>
      <c r="O42" s="15">
        <f t="shared" si="3"/>
        <v>120.56124484638914</v>
      </c>
      <c r="P42" s="3">
        <v>251</v>
      </c>
      <c r="Q42" s="3">
        <v>2228.7</v>
      </c>
      <c r="R42" s="15">
        <f t="shared" si="24"/>
        <v>887.9282868525896</v>
      </c>
      <c r="S42" s="3">
        <v>2962.1</v>
      </c>
      <c r="T42" s="3">
        <v>1182.9</v>
      </c>
      <c r="U42" s="15">
        <f t="shared" si="27"/>
        <v>39.93450592485062</v>
      </c>
      <c r="V42" s="3">
        <v>-4.5</v>
      </c>
      <c r="W42" s="3">
        <v>682.7</v>
      </c>
      <c r="X42" s="15">
        <f t="shared" si="28"/>
        <v>-15171.111111111111</v>
      </c>
      <c r="Y42" s="3">
        <f t="shared" si="29"/>
        <v>3208.6</v>
      </c>
      <c r="Z42" s="3">
        <f t="shared" si="29"/>
        <v>4094.3</v>
      </c>
      <c r="AA42" s="15">
        <f t="shared" si="30"/>
        <v>127.60393941282804</v>
      </c>
      <c r="AB42" s="3">
        <v>0</v>
      </c>
      <c r="AC42" s="3">
        <v>638.9</v>
      </c>
      <c r="AD42" s="30" t="e">
        <f t="shared" si="31"/>
        <v>#DIV/0!</v>
      </c>
      <c r="AE42" s="3">
        <v>18.2</v>
      </c>
      <c r="AF42" s="3">
        <v>510.3</v>
      </c>
      <c r="AG42" s="30">
        <f t="shared" si="34"/>
        <v>2803.846153846154</v>
      </c>
      <c r="AH42" s="3">
        <v>0</v>
      </c>
      <c r="AI42" s="3">
        <v>557.7</v>
      </c>
      <c r="AJ42" s="3">
        <f t="shared" si="15"/>
        <v>18.2</v>
      </c>
      <c r="AK42" s="3">
        <f t="shared" si="16"/>
        <v>1706.9</v>
      </c>
      <c r="AL42" s="15">
        <f t="shared" si="32"/>
        <v>9378.57142857143</v>
      </c>
      <c r="AM42" s="3">
        <v>1806.7</v>
      </c>
      <c r="AN42" s="3">
        <v>579.4</v>
      </c>
      <c r="AO42" s="3">
        <v>5031.7</v>
      </c>
      <c r="AP42" s="3">
        <v>1549.3</v>
      </c>
      <c r="AQ42" s="15">
        <f t="shared" si="4"/>
        <v>30.790786414134384</v>
      </c>
      <c r="AR42" s="3">
        <v>4116.7</v>
      </c>
      <c r="AS42" s="3">
        <v>3492.4</v>
      </c>
      <c r="AT42" s="3">
        <f t="shared" si="17"/>
        <v>24708.500000000004</v>
      </c>
      <c r="AU42" s="3">
        <f t="shared" si="18"/>
        <v>24113.300000000003</v>
      </c>
      <c r="AV42" s="15">
        <f t="shared" si="33"/>
        <v>97.59111237023697</v>
      </c>
      <c r="AW42" s="15">
        <f t="shared" si="20"/>
        <v>595.2000000000007</v>
      </c>
      <c r="AX42" s="4">
        <f t="shared" si="25"/>
        <v>8689.800000000003</v>
      </c>
      <c r="AY42" s="22">
        <f t="shared" si="5"/>
        <v>595.2000000000007</v>
      </c>
      <c r="AZ42" s="22">
        <f t="shared" si="1"/>
        <v>8689.800000000003</v>
      </c>
    </row>
    <row r="43" spans="1:50" s="8" customFormat="1" ht="24.75" customHeight="1">
      <c r="A43" s="40">
        <v>34</v>
      </c>
      <c r="B43" s="17" t="s">
        <v>76</v>
      </c>
      <c r="C43" s="50">
        <f>C44</f>
        <v>1254460</v>
      </c>
      <c r="D43" s="50">
        <f>D44</f>
        <v>524454</v>
      </c>
      <c r="E43" s="50">
        <f>E44</f>
        <v>291820</v>
      </c>
      <c r="F43" s="15">
        <f t="shared" si="26"/>
        <v>55.64263024021172</v>
      </c>
      <c r="G43" s="50">
        <f>G44</f>
        <v>477330</v>
      </c>
      <c r="H43" s="50">
        <f>H44</f>
        <v>330387</v>
      </c>
      <c r="I43" s="15">
        <f>H43/G43*100</f>
        <v>69.21563698070517</v>
      </c>
      <c r="J43" s="50">
        <f>J44</f>
        <v>242446</v>
      </c>
      <c r="K43" s="50">
        <f>K44</f>
        <v>379669</v>
      </c>
      <c r="L43" s="50">
        <f>L44</f>
        <v>156.59940770315865</v>
      </c>
      <c r="M43" s="50">
        <f>M44</f>
        <v>1244230</v>
      </c>
      <c r="N43" s="50">
        <f>N44</f>
        <v>1001876</v>
      </c>
      <c r="O43" s="15">
        <f t="shared" si="3"/>
        <v>80.521768483319</v>
      </c>
      <c r="P43" s="50">
        <f>P44</f>
        <v>169188</v>
      </c>
      <c r="Q43" s="50">
        <f>Q44</f>
        <v>251943</v>
      </c>
      <c r="R43" s="15">
        <f>Q43/P43*100</f>
        <v>148.91304347826087</v>
      </c>
      <c r="S43" s="50">
        <f>S44</f>
        <v>293043</v>
      </c>
      <c r="T43" s="50">
        <f>T44</f>
        <v>205448</v>
      </c>
      <c r="U43" s="15">
        <f>T43/S43*100</f>
        <v>70.10848237289407</v>
      </c>
      <c r="V43" s="50">
        <f>V44</f>
        <v>124981</v>
      </c>
      <c r="W43" s="50">
        <f>W44</f>
        <v>127994</v>
      </c>
      <c r="X43" s="15">
        <f>W43/V43*100</f>
        <v>102.41076643649836</v>
      </c>
      <c r="Y43" s="50">
        <f>Y44</f>
        <v>587212</v>
      </c>
      <c r="Z43" s="50">
        <f>Z44</f>
        <v>585385</v>
      </c>
      <c r="AA43" s="15">
        <f t="shared" si="30"/>
        <v>99.68886875608808</v>
      </c>
      <c r="AB43" s="50">
        <f>AB44</f>
        <v>41800</v>
      </c>
      <c r="AC43" s="50">
        <f>AC44</f>
        <v>164605</v>
      </c>
      <c r="AD43" s="30">
        <f>AC43/AB43*100</f>
        <v>393.7918660287081</v>
      </c>
      <c r="AE43" s="50">
        <f>AE44</f>
        <v>52320</v>
      </c>
      <c r="AF43" s="50">
        <f>AF44</f>
        <v>122449</v>
      </c>
      <c r="AG43" s="30">
        <f>AF43/AE43*100</f>
        <v>234.03860856269114</v>
      </c>
      <c r="AH43" s="50">
        <f>AH44</f>
        <v>51802</v>
      </c>
      <c r="AI43" s="50">
        <f>AI44</f>
        <v>111411</v>
      </c>
      <c r="AJ43" s="50">
        <f>AJ44</f>
        <v>145922</v>
      </c>
      <c r="AK43" s="50">
        <f>AK44</f>
        <v>398465</v>
      </c>
      <c r="AL43" s="15">
        <f t="shared" si="32"/>
        <v>273.06711804936884</v>
      </c>
      <c r="AM43" s="50">
        <f aca="true" t="shared" si="35" ref="AM43:AU43">AM44</f>
        <v>155424</v>
      </c>
      <c r="AN43" s="50">
        <f t="shared" si="35"/>
        <v>121586</v>
      </c>
      <c r="AO43" s="50">
        <f t="shared" si="35"/>
        <v>434958</v>
      </c>
      <c r="AP43" s="50">
        <f t="shared" si="35"/>
        <v>176085</v>
      </c>
      <c r="AQ43" s="15">
        <f t="shared" si="4"/>
        <v>40.48321906942739</v>
      </c>
      <c r="AR43" s="50">
        <f t="shared" si="35"/>
        <v>432113</v>
      </c>
      <c r="AS43" s="50">
        <f t="shared" si="35"/>
        <v>281370</v>
      </c>
      <c r="AT43" s="50">
        <f t="shared" si="35"/>
        <v>2999859</v>
      </c>
      <c r="AU43" s="50">
        <f t="shared" si="35"/>
        <v>2564767</v>
      </c>
      <c r="AV43" s="15">
        <f t="shared" si="33"/>
        <v>85.49625165716121</v>
      </c>
      <c r="AW43" s="51">
        <f>AW44</f>
        <v>435092</v>
      </c>
      <c r="AX43" s="51">
        <f>AX44</f>
        <v>1689552</v>
      </c>
    </row>
    <row r="44" spans="1:50" s="8" customFormat="1" ht="24.75" customHeight="1">
      <c r="A44" s="40"/>
      <c r="B44" s="1" t="s">
        <v>77</v>
      </c>
      <c r="C44" s="2">
        <v>1254460</v>
      </c>
      <c r="D44" s="3">
        <v>524454</v>
      </c>
      <c r="E44" s="3">
        <v>291820</v>
      </c>
      <c r="F44" s="15">
        <f t="shared" si="26"/>
        <v>55.64263024021172</v>
      </c>
      <c r="G44" s="3">
        <v>477330</v>
      </c>
      <c r="H44" s="3">
        <v>330387</v>
      </c>
      <c r="I44" s="15">
        <f t="shared" si="22"/>
        <v>69.21563698070517</v>
      </c>
      <c r="J44" s="3">
        <v>242446</v>
      </c>
      <c r="K44" s="3">
        <v>379669</v>
      </c>
      <c r="L44" s="15">
        <f>K44/J44*100</f>
        <v>156.59940770315865</v>
      </c>
      <c r="M44" s="3">
        <f>D44+G44+J44</f>
        <v>1244230</v>
      </c>
      <c r="N44" s="3">
        <f>E44+H44+K44</f>
        <v>1001876</v>
      </c>
      <c r="O44" s="15">
        <f t="shared" si="3"/>
        <v>80.521768483319</v>
      </c>
      <c r="P44" s="3">
        <v>169188</v>
      </c>
      <c r="Q44" s="3">
        <v>251943</v>
      </c>
      <c r="R44" s="15">
        <f>Q44/P44*100</f>
        <v>148.91304347826087</v>
      </c>
      <c r="S44" s="3">
        <v>293043</v>
      </c>
      <c r="T44" s="3">
        <v>205448</v>
      </c>
      <c r="U44" s="15">
        <f>T44/S44*100</f>
        <v>70.10848237289407</v>
      </c>
      <c r="V44" s="3">
        <v>124981</v>
      </c>
      <c r="W44" s="3">
        <v>127994</v>
      </c>
      <c r="X44" s="15">
        <f>W44/V44*100</f>
        <v>102.41076643649836</v>
      </c>
      <c r="Y44" s="3">
        <f>P44+S44+V44</f>
        <v>587212</v>
      </c>
      <c r="Z44" s="3">
        <f>Q44+T44+W44</f>
        <v>585385</v>
      </c>
      <c r="AA44" s="15">
        <f t="shared" si="30"/>
        <v>99.68886875608808</v>
      </c>
      <c r="AB44" s="3">
        <v>41800</v>
      </c>
      <c r="AC44" s="3">
        <v>164605</v>
      </c>
      <c r="AD44" s="30">
        <f>AC44/AB44*100</f>
        <v>393.7918660287081</v>
      </c>
      <c r="AE44" s="3">
        <v>52320</v>
      </c>
      <c r="AF44" s="3">
        <v>122449</v>
      </c>
      <c r="AG44" s="30">
        <f>AF44/AE44*100</f>
        <v>234.03860856269114</v>
      </c>
      <c r="AH44" s="3">
        <v>51802</v>
      </c>
      <c r="AI44" s="3">
        <v>111411</v>
      </c>
      <c r="AJ44" s="3">
        <f>AB44+AE44+AH44</f>
        <v>145922</v>
      </c>
      <c r="AK44" s="3">
        <f>AC44+AF44+AI44</f>
        <v>398465</v>
      </c>
      <c r="AL44" s="15">
        <f t="shared" si="32"/>
        <v>273.06711804936884</v>
      </c>
      <c r="AM44" s="3">
        <v>155424</v>
      </c>
      <c r="AN44" s="3">
        <v>121586</v>
      </c>
      <c r="AO44" s="3">
        <v>434958</v>
      </c>
      <c r="AP44" s="3">
        <v>176085</v>
      </c>
      <c r="AQ44" s="15">
        <f t="shared" si="4"/>
        <v>40.48321906942739</v>
      </c>
      <c r="AR44" s="3">
        <v>432113</v>
      </c>
      <c r="AS44" s="3">
        <v>281370</v>
      </c>
      <c r="AT44" s="3">
        <f>M44+Y44+AJ44+AM44+AO44+AR44</f>
        <v>2999859</v>
      </c>
      <c r="AU44" s="3">
        <f>N44+Z44+AK44+AN44+AP44+AS44</f>
        <v>2564767</v>
      </c>
      <c r="AV44" s="15">
        <f t="shared" si="33"/>
        <v>85.49625165716121</v>
      </c>
      <c r="AW44" s="15">
        <f>AT44-AU44</f>
        <v>435092</v>
      </c>
      <c r="AX44" s="4">
        <f>C44+AT44-AU44</f>
        <v>1689552</v>
      </c>
    </row>
    <row r="45" spans="1:50" s="8" customFormat="1" ht="24.75" customHeight="1">
      <c r="A45" s="40"/>
      <c r="B45" s="1" t="s">
        <v>69</v>
      </c>
      <c r="C45" s="2"/>
      <c r="D45" s="23"/>
      <c r="E45" s="23"/>
      <c r="F45" s="38" t="e">
        <f t="shared" si="26"/>
        <v>#DIV/0!</v>
      </c>
      <c r="G45" s="23"/>
      <c r="H45" s="23"/>
      <c r="I45" s="38" t="e">
        <f t="shared" si="22"/>
        <v>#DIV/0!</v>
      </c>
      <c r="J45" s="23"/>
      <c r="K45" s="23"/>
      <c r="L45" s="38" t="e">
        <f>K45/J45*100</f>
        <v>#DIV/0!</v>
      </c>
      <c r="M45" s="38"/>
      <c r="N45" s="38"/>
      <c r="O45" s="15"/>
      <c r="P45" s="23"/>
      <c r="Q45" s="23"/>
      <c r="R45" s="38" t="e">
        <f>Q45/P45*100</f>
        <v>#DIV/0!</v>
      </c>
      <c r="S45" s="23"/>
      <c r="T45" s="23"/>
      <c r="U45" s="38" t="e">
        <f>T45/S45*100</f>
        <v>#DIV/0!</v>
      </c>
      <c r="V45" s="23"/>
      <c r="W45" s="23"/>
      <c r="X45" s="38" t="e">
        <f>W45/V45*100</f>
        <v>#DIV/0!</v>
      </c>
      <c r="Y45" s="38"/>
      <c r="Z45" s="38"/>
      <c r="AA45" s="15"/>
      <c r="AB45" s="23"/>
      <c r="AC45" s="23"/>
      <c r="AD45" s="30" t="e">
        <f>AC45/AB45*100</f>
        <v>#DIV/0!</v>
      </c>
      <c r="AE45" s="23"/>
      <c r="AF45" s="23"/>
      <c r="AG45" s="30" t="e">
        <f>AF45/AE45*100</f>
        <v>#DIV/0!</v>
      </c>
      <c r="AH45" s="23"/>
      <c r="AI45" s="23"/>
      <c r="AJ45" s="38"/>
      <c r="AK45" s="38"/>
      <c r="AL45" s="15"/>
      <c r="AM45" s="23"/>
      <c r="AN45" s="23"/>
      <c r="AO45" s="23"/>
      <c r="AP45" s="23"/>
      <c r="AQ45" s="30" t="e">
        <f t="shared" si="4"/>
        <v>#DIV/0!</v>
      </c>
      <c r="AR45" s="23"/>
      <c r="AS45" s="23"/>
      <c r="AT45" s="23"/>
      <c r="AU45" s="23"/>
      <c r="AV45" s="38" t="e">
        <f>AU45/AT45*100</f>
        <v>#DIV/0!</v>
      </c>
      <c r="AW45" s="38"/>
      <c r="AX45" s="71">
        <f>C45+D45-E45</f>
        <v>0</v>
      </c>
    </row>
    <row r="46" spans="1:53" s="8" customFormat="1" ht="24.75" customHeight="1">
      <c r="A46" s="40"/>
      <c r="B46" s="17" t="s">
        <v>78</v>
      </c>
      <c r="C46" s="50">
        <f>C7+C43</f>
        <v>1438998.03</v>
      </c>
      <c r="D46" s="4">
        <f>D7+D43</f>
        <v>575013.9</v>
      </c>
      <c r="E46" s="4">
        <f>E7+E43</f>
        <v>322737.9</v>
      </c>
      <c r="F46" s="15">
        <f t="shared" si="26"/>
        <v>56.12697362620278</v>
      </c>
      <c r="G46" s="4">
        <f>G7+G43</f>
        <v>524292.1</v>
      </c>
      <c r="H46" s="4">
        <f>H7+H43</f>
        <v>362314.1</v>
      </c>
      <c r="I46" s="15">
        <f>H46/G46*100</f>
        <v>69.10538991527814</v>
      </c>
      <c r="J46" s="4">
        <f>J7+J43</f>
        <v>237682.8</v>
      </c>
      <c r="K46" s="4">
        <f>K7+K43</f>
        <v>412156.4</v>
      </c>
      <c r="L46" s="4">
        <f>K46/J46*100</f>
        <v>173.4060689288413</v>
      </c>
      <c r="M46" s="4">
        <f>M7+M43</f>
        <v>1336988.8</v>
      </c>
      <c r="N46" s="4">
        <f>N7+N43</f>
        <v>1097208.4</v>
      </c>
      <c r="O46" s="15">
        <f t="shared" si="3"/>
        <v>82.06563884454378</v>
      </c>
      <c r="P46" s="4">
        <f>P7+P43</f>
        <v>175203.4</v>
      </c>
      <c r="Q46" s="4">
        <f>Q7+Q43</f>
        <v>269997</v>
      </c>
      <c r="R46" s="15">
        <f>Q46/P46*100</f>
        <v>154.1048860923932</v>
      </c>
      <c r="S46" s="4">
        <f>S7+S43</f>
        <v>318158.8</v>
      </c>
      <c r="T46" s="4">
        <f>T7+T43</f>
        <v>217292.9</v>
      </c>
      <c r="U46" s="15">
        <f>T46/S46*100</f>
        <v>68.29699508547304</v>
      </c>
      <c r="V46" s="4">
        <f>V7+V43</f>
        <v>124815.2</v>
      </c>
      <c r="W46" s="4">
        <f>W7+W43</f>
        <v>136392.7</v>
      </c>
      <c r="X46" s="15">
        <f>W46/V46*100</f>
        <v>109.2757132144162</v>
      </c>
      <c r="Y46" s="4">
        <f>Y7+Y43</f>
        <v>618177.4</v>
      </c>
      <c r="Z46" s="4">
        <f>Z7+Z43</f>
        <v>623682.6</v>
      </c>
      <c r="AA46" s="15">
        <f>Z46/Y46*100</f>
        <v>100.89055342366122</v>
      </c>
      <c r="AB46" s="4">
        <f>AB7+AB43</f>
        <v>41558.1</v>
      </c>
      <c r="AC46" s="4">
        <f>AC7+AC43</f>
        <v>173266.8</v>
      </c>
      <c r="AD46" s="30">
        <f>AC46/AB46*100</f>
        <v>416.92666411602073</v>
      </c>
      <c r="AE46" s="4">
        <f>AE7+AE43</f>
        <v>52336.6</v>
      </c>
      <c r="AF46" s="4">
        <f>AF7+AF43</f>
        <v>131231.5</v>
      </c>
      <c r="AG46" s="30">
        <f>AF46/AE46*100</f>
        <v>250.74517641573965</v>
      </c>
      <c r="AH46" s="4">
        <f>AH7+AH43</f>
        <v>51802</v>
      </c>
      <c r="AI46" s="4">
        <f>AI7+AI43</f>
        <v>118841.6</v>
      </c>
      <c r="AJ46" s="4">
        <f>AJ7+AJ43</f>
        <v>145696.7</v>
      </c>
      <c r="AK46" s="4">
        <f>AK7+AK43</f>
        <v>423339.9</v>
      </c>
      <c r="AL46" s="15">
        <f>AK46/AJ46*100</f>
        <v>290.5624492524539</v>
      </c>
      <c r="AM46" s="4">
        <f aca="true" t="shared" si="36" ref="AM46:AU46">AM7+AM43</f>
        <v>164224.2</v>
      </c>
      <c r="AN46" s="4">
        <f t="shared" si="36"/>
        <v>126529</v>
      </c>
      <c r="AO46" s="4">
        <f t="shared" si="36"/>
        <v>467197.7</v>
      </c>
      <c r="AP46" s="4">
        <f t="shared" si="36"/>
        <v>188185.6</v>
      </c>
      <c r="AQ46" s="15">
        <f t="shared" si="4"/>
        <v>40.27965034930608</v>
      </c>
      <c r="AR46" s="4">
        <f>AR7+AR43</f>
        <v>462895.6</v>
      </c>
      <c r="AS46" s="4">
        <f>AS7+AS43</f>
        <v>305408.1</v>
      </c>
      <c r="AT46" s="4">
        <f t="shared" si="36"/>
        <v>3195180.4</v>
      </c>
      <c r="AU46" s="4">
        <f t="shared" si="36"/>
        <v>2764353.6</v>
      </c>
      <c r="AV46" s="15">
        <f>AU46/AT46*100</f>
        <v>86.51635444433748</v>
      </c>
      <c r="AW46" s="51">
        <f>AW7+AW43</f>
        <v>430826.8</v>
      </c>
      <c r="AX46" s="51">
        <f>AX7+AX43</f>
        <v>1869824.83</v>
      </c>
      <c r="AY46" s="22">
        <f>AT46-AU46</f>
        <v>430826.7999999998</v>
      </c>
      <c r="BA46" s="22">
        <f>C46+AT46-AU46</f>
        <v>1869824.8299999996</v>
      </c>
    </row>
    <row r="47" spans="1:50" s="8" customFormat="1" ht="24.75" customHeight="1">
      <c r="A47" s="81"/>
      <c r="B47" s="82"/>
      <c r="C47" s="83"/>
      <c r="D47" s="7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77"/>
      <c r="AU47" s="18"/>
      <c r="AV47" s="18"/>
      <c r="AW47" s="18"/>
      <c r="AX47" s="33"/>
    </row>
    <row r="48" spans="1:50" s="8" customFormat="1" ht="15.75" customHeight="1" hidden="1">
      <c r="A48" s="40"/>
      <c r="B48" s="8" t="s">
        <v>82</v>
      </c>
      <c r="C48" s="8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</row>
    <row r="49" spans="1:50" s="8" customFormat="1" ht="6" customHeight="1" hidden="1">
      <c r="A49" s="81"/>
      <c r="C49" s="8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9"/>
    </row>
    <row r="50" spans="1:50" s="8" customFormat="1" ht="18" customHeight="1" hidden="1">
      <c r="A50" s="40"/>
      <c r="B50" s="8" t="s">
        <v>83</v>
      </c>
      <c r="C50" s="8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9"/>
    </row>
    <row r="51" spans="1:52" ht="73.5" customHeight="1" hidden="1">
      <c r="A51" s="130" t="s">
        <v>99</v>
      </c>
      <c r="B51" s="130"/>
      <c r="C51" s="130"/>
      <c r="D51" s="58"/>
      <c r="E51" s="58"/>
      <c r="F51" s="57"/>
      <c r="G51" s="33"/>
      <c r="H51" s="33"/>
      <c r="I51" s="57"/>
      <c r="J51" s="33"/>
      <c r="K51" s="33"/>
      <c r="L51" s="57"/>
      <c r="M51" s="57"/>
      <c r="N51" s="57"/>
      <c r="O51" s="57"/>
      <c r="P51" s="33"/>
      <c r="Q51" s="33"/>
      <c r="R51" s="57"/>
      <c r="S51" s="33"/>
      <c r="T51" s="33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8"/>
      <c r="AU51" s="58"/>
      <c r="AV51" s="57"/>
      <c r="AW51" s="33"/>
      <c r="AX51" s="59" t="s">
        <v>97</v>
      </c>
      <c r="AY51" s="57"/>
      <c r="AZ51" s="59" t="s">
        <v>97</v>
      </c>
    </row>
    <row r="52" spans="3:50" ht="24.75" customHeight="1" hidden="1">
      <c r="C52" s="68"/>
      <c r="D52" s="33"/>
      <c r="E52" s="33"/>
      <c r="F52" s="57"/>
      <c r="G52" s="33"/>
      <c r="H52" s="33"/>
      <c r="I52" s="57"/>
      <c r="J52" s="33"/>
      <c r="K52" s="33"/>
      <c r="L52" s="57"/>
      <c r="M52" s="57"/>
      <c r="N52" s="57"/>
      <c r="O52" s="57"/>
      <c r="P52" s="33"/>
      <c r="Q52" s="33"/>
      <c r="R52" s="57"/>
      <c r="S52" s="33"/>
      <c r="T52" s="33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33"/>
      <c r="AU52" s="33"/>
      <c r="AV52" s="57"/>
      <c r="AW52" s="33"/>
      <c r="AX52" s="33"/>
    </row>
    <row r="53" spans="1:50" s="66" customFormat="1" ht="80.25" customHeight="1">
      <c r="A53" s="61"/>
      <c r="B53" s="129" t="s">
        <v>101</v>
      </c>
      <c r="C53" s="129"/>
      <c r="D53" s="62"/>
      <c r="E53" s="62"/>
      <c r="F53" s="63"/>
      <c r="G53" s="64"/>
      <c r="H53" s="64"/>
      <c r="I53" s="63"/>
      <c r="J53" s="64"/>
      <c r="K53" s="64"/>
      <c r="L53" s="63"/>
      <c r="M53" s="63"/>
      <c r="N53" s="63"/>
      <c r="O53" s="63"/>
      <c r="P53" s="64"/>
      <c r="Q53" s="64"/>
      <c r="R53" s="63"/>
      <c r="S53" s="64"/>
      <c r="T53" s="64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2"/>
      <c r="AU53" s="62"/>
      <c r="AV53" s="63"/>
      <c r="AW53" s="64"/>
      <c r="AX53" s="65" t="s">
        <v>100</v>
      </c>
    </row>
    <row r="54" spans="3:50" ht="18.75">
      <c r="C54" s="93"/>
      <c r="D54" s="29"/>
      <c r="E54" s="29"/>
      <c r="F54" s="67"/>
      <c r="G54" s="29"/>
      <c r="H54" s="29"/>
      <c r="I54" s="67"/>
      <c r="J54" s="29"/>
      <c r="K54" s="29"/>
      <c r="L54" s="67"/>
      <c r="M54" s="67"/>
      <c r="N54" s="67"/>
      <c r="O54" s="67"/>
      <c r="P54" s="29"/>
      <c r="Q54" s="29"/>
      <c r="R54" s="67"/>
      <c r="S54" s="29"/>
      <c r="T54" s="29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29"/>
      <c r="AU54" s="29"/>
      <c r="AV54" s="67"/>
      <c r="AW54" s="29"/>
      <c r="AX54" s="29"/>
    </row>
    <row r="55" spans="2:50" ht="18.75">
      <c r="B55" s="5" t="s">
        <v>39</v>
      </c>
      <c r="C55" s="79">
        <v>1256.9</v>
      </c>
      <c r="D55" s="3">
        <v>1154.2</v>
      </c>
      <c r="E55" s="3">
        <v>1213.3</v>
      </c>
      <c r="F55" s="15"/>
      <c r="G55" s="3">
        <v>142.7</v>
      </c>
      <c r="H55" s="3">
        <v>103.3</v>
      </c>
      <c r="I55" s="15"/>
      <c r="J55" s="3">
        <v>142.7</v>
      </c>
      <c r="K55" s="3">
        <v>103.3</v>
      </c>
      <c r="L55" s="15"/>
      <c r="M55" s="15"/>
      <c r="N55" s="15"/>
      <c r="O55" s="15"/>
      <c r="P55" s="3">
        <v>142.7</v>
      </c>
      <c r="Q55" s="3">
        <v>103.3</v>
      </c>
      <c r="R55" s="15"/>
      <c r="S55" s="3">
        <v>142.7</v>
      </c>
      <c r="T55" s="3">
        <v>103.3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3">
        <v>1154.2</v>
      </c>
      <c r="AU55" s="3">
        <v>1213.3</v>
      </c>
      <c r="AV55" s="15"/>
      <c r="AW55" s="3"/>
      <c r="AX55" s="4">
        <f>C55+D55-E55</f>
        <v>1197.8000000000004</v>
      </c>
    </row>
    <row r="56" spans="2:50" ht="18.75">
      <c r="B56" s="5" t="s">
        <v>40</v>
      </c>
      <c r="C56" s="93">
        <v>1174.8</v>
      </c>
      <c r="D56" s="29">
        <v>1415.7</v>
      </c>
      <c r="E56" s="29">
        <v>1436.1</v>
      </c>
      <c r="F56" s="67"/>
      <c r="G56" s="29"/>
      <c r="H56" s="29"/>
      <c r="I56" s="67"/>
      <c r="J56" s="29"/>
      <c r="K56" s="29"/>
      <c r="L56" s="67"/>
      <c r="M56" s="67"/>
      <c r="N56" s="67"/>
      <c r="O56" s="67"/>
      <c r="P56" s="29"/>
      <c r="Q56" s="29"/>
      <c r="R56" s="67"/>
      <c r="S56" s="29"/>
      <c r="T56" s="29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29">
        <v>1415.7</v>
      </c>
      <c r="AU56" s="29">
        <v>1436.1</v>
      </c>
      <c r="AV56" s="67"/>
      <c r="AW56" s="29"/>
      <c r="AX56" s="4">
        <f>C56+D56-E56</f>
        <v>1154.4</v>
      </c>
    </row>
    <row r="57" spans="3:50" ht="18.75">
      <c r="C57" s="93"/>
      <c r="D57" s="29"/>
      <c r="E57" s="29"/>
      <c r="F57" s="67"/>
      <c r="G57" s="29"/>
      <c r="H57" s="29"/>
      <c r="I57" s="67"/>
      <c r="J57" s="29"/>
      <c r="K57" s="29"/>
      <c r="L57" s="67"/>
      <c r="M57" s="67"/>
      <c r="N57" s="67"/>
      <c r="O57" s="67"/>
      <c r="P57" s="29"/>
      <c r="Q57" s="29"/>
      <c r="R57" s="67"/>
      <c r="S57" s="29"/>
      <c r="T57" s="29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29"/>
      <c r="AU57" s="29"/>
      <c r="AV57" s="67"/>
      <c r="AW57" s="29"/>
      <c r="AX57" s="29"/>
    </row>
    <row r="58" spans="3:50" ht="18.75">
      <c r="C58" s="93"/>
      <c r="D58" s="29"/>
      <c r="E58" s="29"/>
      <c r="F58" s="67"/>
      <c r="G58" s="29"/>
      <c r="H58" s="29"/>
      <c r="I58" s="67"/>
      <c r="J58" s="29"/>
      <c r="K58" s="29"/>
      <c r="L58" s="67"/>
      <c r="M58" s="67"/>
      <c r="N58" s="67"/>
      <c r="O58" s="67"/>
      <c r="P58" s="29"/>
      <c r="Q58" s="29"/>
      <c r="R58" s="67"/>
      <c r="S58" s="29"/>
      <c r="T58" s="29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29"/>
      <c r="AU58" s="29"/>
      <c r="AV58" s="67"/>
      <c r="AW58" s="29"/>
      <c r="AX58" s="29"/>
    </row>
    <row r="59" spans="2:50" ht="18.75">
      <c r="B59" s="5" t="s">
        <v>41</v>
      </c>
      <c r="C59" s="93">
        <f>C9+C17+C20+C26+C36+C38+C40</f>
        <v>24375.9</v>
      </c>
      <c r="D59" s="29"/>
      <c r="E59" s="29"/>
      <c r="F59" s="67"/>
      <c r="G59" s="29"/>
      <c r="H59" s="29"/>
      <c r="I59" s="67"/>
      <c r="J59" s="29"/>
      <c r="K59" s="29"/>
      <c r="L59" s="67"/>
      <c r="M59" s="67"/>
      <c r="N59" s="67"/>
      <c r="O59" s="67"/>
      <c r="P59" s="29"/>
      <c r="Q59" s="29"/>
      <c r="R59" s="67"/>
      <c r="S59" s="29"/>
      <c r="T59" s="29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29"/>
      <c r="AU59" s="29"/>
      <c r="AV59" s="67"/>
      <c r="AW59" s="29"/>
      <c r="AX59" s="29">
        <f>AX9+AX17+AX20+AX26+AX36+AX38+AX40</f>
        <v>27206.600000000002</v>
      </c>
    </row>
    <row r="60" spans="2:50" ht="18.75">
      <c r="B60" s="5" t="s">
        <v>42</v>
      </c>
      <c r="C60" s="93">
        <f>C11+C13+C14+C16+C18+C19+C25</f>
        <v>3041.4</v>
      </c>
      <c r="D60" s="29"/>
      <c r="E60" s="29"/>
      <c r="F60" s="67"/>
      <c r="G60" s="29"/>
      <c r="H60" s="29"/>
      <c r="I60" s="67"/>
      <c r="J60" s="29"/>
      <c r="K60" s="29"/>
      <c r="L60" s="67"/>
      <c r="M60" s="67"/>
      <c r="N60" s="67"/>
      <c r="O60" s="67"/>
      <c r="P60" s="29"/>
      <c r="Q60" s="29"/>
      <c r="R60" s="67"/>
      <c r="S60" s="29"/>
      <c r="T60" s="29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29"/>
      <c r="AU60" s="29"/>
      <c r="AV60" s="67"/>
      <c r="AW60" s="29"/>
      <c r="AX60" s="29">
        <f>AX11+AX13+AX14+AX16+AX18+AX19+AX25</f>
        <v>2253.5000000000005</v>
      </c>
    </row>
    <row r="61" spans="3:50" ht="18.75">
      <c r="C61" s="93"/>
      <c r="D61" s="29"/>
      <c r="E61" s="29"/>
      <c r="F61" s="67"/>
      <c r="G61" s="29"/>
      <c r="H61" s="29"/>
      <c r="I61" s="67"/>
      <c r="J61" s="29"/>
      <c r="K61" s="29"/>
      <c r="L61" s="67"/>
      <c r="M61" s="67"/>
      <c r="N61" s="67"/>
      <c r="O61" s="67"/>
      <c r="P61" s="29"/>
      <c r="Q61" s="29"/>
      <c r="R61" s="67"/>
      <c r="S61" s="29"/>
      <c r="T61" s="29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29"/>
      <c r="AU61" s="29"/>
      <c r="AV61" s="67"/>
      <c r="AW61" s="29"/>
      <c r="AX61" s="29"/>
    </row>
    <row r="62" spans="3:50" ht="18.75">
      <c r="C62" s="93"/>
      <c r="D62" s="29"/>
      <c r="E62" s="29"/>
      <c r="F62" s="67"/>
      <c r="G62" s="29"/>
      <c r="H62" s="29"/>
      <c r="I62" s="67"/>
      <c r="J62" s="29"/>
      <c r="K62" s="29"/>
      <c r="L62" s="67"/>
      <c r="M62" s="67"/>
      <c r="N62" s="67"/>
      <c r="O62" s="67"/>
      <c r="P62" s="29"/>
      <c r="Q62" s="29"/>
      <c r="R62" s="67"/>
      <c r="S62" s="29"/>
      <c r="T62" s="29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29"/>
      <c r="AU62" s="29"/>
      <c r="AV62" s="67"/>
      <c r="AW62" s="29"/>
      <c r="AX62" s="29"/>
    </row>
    <row r="63" spans="3:50" ht="18.75">
      <c r="C63" s="93"/>
      <c r="D63" s="29"/>
      <c r="E63" s="29"/>
      <c r="F63" s="67"/>
      <c r="G63" s="29"/>
      <c r="H63" s="29"/>
      <c r="I63" s="67"/>
      <c r="J63" s="29"/>
      <c r="K63" s="29"/>
      <c r="L63" s="67"/>
      <c r="M63" s="67"/>
      <c r="N63" s="67"/>
      <c r="O63" s="67"/>
      <c r="P63" s="29"/>
      <c r="Q63" s="29"/>
      <c r="R63" s="67"/>
      <c r="S63" s="29"/>
      <c r="T63" s="29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29"/>
      <c r="AU63" s="29"/>
      <c r="AV63" s="67"/>
      <c r="AW63" s="29"/>
      <c r="AX63" s="29"/>
    </row>
    <row r="64" spans="3:50" ht="18.75">
      <c r="C64" s="93"/>
      <c r="D64" s="29"/>
      <c r="E64" s="29"/>
      <c r="F64" s="67"/>
      <c r="G64" s="29"/>
      <c r="H64" s="29"/>
      <c r="I64" s="67"/>
      <c r="J64" s="29"/>
      <c r="K64" s="29"/>
      <c r="L64" s="67"/>
      <c r="M64" s="67"/>
      <c r="N64" s="67"/>
      <c r="O64" s="67"/>
      <c r="P64" s="29"/>
      <c r="Q64" s="29"/>
      <c r="R64" s="67"/>
      <c r="S64" s="29"/>
      <c r="T64" s="29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29"/>
      <c r="AU64" s="29"/>
      <c r="AV64" s="67"/>
      <c r="AW64" s="29"/>
      <c r="AX64" s="29"/>
    </row>
    <row r="65" spans="3:50" ht="18.75">
      <c r="C65" s="93"/>
      <c r="D65" s="29"/>
      <c r="E65" s="29"/>
      <c r="F65" s="67"/>
      <c r="G65" s="29"/>
      <c r="H65" s="29"/>
      <c r="I65" s="67"/>
      <c r="J65" s="29"/>
      <c r="K65" s="29"/>
      <c r="L65" s="67"/>
      <c r="M65" s="67"/>
      <c r="N65" s="67"/>
      <c r="O65" s="67"/>
      <c r="P65" s="29"/>
      <c r="Q65" s="29"/>
      <c r="R65" s="67"/>
      <c r="S65" s="29"/>
      <c r="T65" s="2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29"/>
      <c r="AU65" s="29"/>
      <c r="AV65" s="67"/>
      <c r="AW65" s="29"/>
      <c r="AX65" s="29"/>
    </row>
    <row r="66" spans="3:50" ht="18.75">
      <c r="C66" s="93"/>
      <c r="D66" s="29"/>
      <c r="E66" s="29"/>
      <c r="F66" s="67"/>
      <c r="G66" s="29"/>
      <c r="H66" s="29"/>
      <c r="I66" s="67"/>
      <c r="J66" s="29"/>
      <c r="K66" s="29"/>
      <c r="L66" s="67"/>
      <c r="M66" s="67"/>
      <c r="N66" s="67"/>
      <c r="O66" s="67"/>
      <c r="P66" s="29"/>
      <c r="Q66" s="29"/>
      <c r="R66" s="67"/>
      <c r="S66" s="29"/>
      <c r="T66" s="2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29"/>
      <c r="AU66" s="29"/>
      <c r="AV66" s="67"/>
      <c r="AW66" s="29"/>
      <c r="AX66" s="29"/>
    </row>
    <row r="67" spans="3:50" ht="18.75">
      <c r="C67" s="93"/>
      <c r="D67" s="29"/>
      <c r="E67" s="29"/>
      <c r="F67" s="67"/>
      <c r="G67" s="29"/>
      <c r="H67" s="29"/>
      <c r="I67" s="67"/>
      <c r="J67" s="29"/>
      <c r="K67" s="29"/>
      <c r="L67" s="67"/>
      <c r="M67" s="67"/>
      <c r="N67" s="67"/>
      <c r="O67" s="67"/>
      <c r="P67" s="29"/>
      <c r="Q67" s="29"/>
      <c r="R67" s="67"/>
      <c r="S67" s="29"/>
      <c r="T67" s="29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29"/>
      <c r="AU67" s="29"/>
      <c r="AV67" s="67"/>
      <c r="AW67" s="29"/>
      <c r="AX67" s="29"/>
    </row>
    <row r="68" spans="3:50" ht="18.75">
      <c r="C68" s="93"/>
      <c r="D68" s="29"/>
      <c r="E68" s="29"/>
      <c r="F68" s="67"/>
      <c r="G68" s="29"/>
      <c r="H68" s="29"/>
      <c r="I68" s="67"/>
      <c r="J68" s="29"/>
      <c r="K68" s="29"/>
      <c r="L68" s="67"/>
      <c r="M68" s="67"/>
      <c r="N68" s="67"/>
      <c r="O68" s="67"/>
      <c r="P68" s="29"/>
      <c r="Q68" s="29"/>
      <c r="R68" s="67"/>
      <c r="S68" s="29"/>
      <c r="T68" s="29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29"/>
      <c r="AU68" s="29"/>
      <c r="AV68" s="67"/>
      <c r="AW68" s="29"/>
      <c r="AX68" s="29"/>
    </row>
    <row r="69" spans="3:50" ht="18.75">
      <c r="C69" s="93"/>
      <c r="D69" s="29"/>
      <c r="E69" s="29"/>
      <c r="F69" s="67"/>
      <c r="G69" s="29"/>
      <c r="H69" s="29"/>
      <c r="I69" s="67"/>
      <c r="J69" s="29"/>
      <c r="K69" s="29"/>
      <c r="L69" s="67"/>
      <c r="M69" s="67"/>
      <c r="N69" s="67"/>
      <c r="O69" s="67"/>
      <c r="P69" s="29"/>
      <c r="Q69" s="29"/>
      <c r="R69" s="67"/>
      <c r="S69" s="29"/>
      <c r="T69" s="29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29"/>
      <c r="AU69" s="29"/>
      <c r="AV69" s="67"/>
      <c r="AW69" s="29"/>
      <c r="AX69" s="29"/>
    </row>
    <row r="70" spans="3:50" ht="18.75">
      <c r="C70" s="93"/>
      <c r="D70" s="29"/>
      <c r="E70" s="29"/>
      <c r="F70" s="67"/>
      <c r="G70" s="29"/>
      <c r="H70" s="29"/>
      <c r="I70" s="67"/>
      <c r="J70" s="29"/>
      <c r="K70" s="29"/>
      <c r="L70" s="67"/>
      <c r="M70" s="67"/>
      <c r="N70" s="67"/>
      <c r="O70" s="67"/>
      <c r="P70" s="29"/>
      <c r="Q70" s="29"/>
      <c r="R70" s="67"/>
      <c r="S70" s="29"/>
      <c r="T70" s="29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29"/>
      <c r="AU70" s="29"/>
      <c r="AV70" s="67"/>
      <c r="AW70" s="29"/>
      <c r="AX70" s="29"/>
    </row>
    <row r="71" spans="3:50" ht="18.75">
      <c r="C71" s="93"/>
      <c r="D71" s="29"/>
      <c r="E71" s="29"/>
      <c r="F71" s="67"/>
      <c r="G71" s="29"/>
      <c r="H71" s="29"/>
      <c r="I71" s="67"/>
      <c r="J71" s="29"/>
      <c r="K71" s="29"/>
      <c r="L71" s="67"/>
      <c r="M71" s="67"/>
      <c r="N71" s="67"/>
      <c r="O71" s="67"/>
      <c r="P71" s="29"/>
      <c r="Q71" s="29"/>
      <c r="R71" s="67"/>
      <c r="S71" s="29"/>
      <c r="T71" s="29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29"/>
      <c r="AU71" s="29"/>
      <c r="AV71" s="67"/>
      <c r="AW71" s="29"/>
      <c r="AX71" s="29"/>
    </row>
    <row r="72" spans="3:50" ht="18.75">
      <c r="C72" s="93"/>
      <c r="D72" s="29"/>
      <c r="E72" s="29"/>
      <c r="F72" s="67"/>
      <c r="G72" s="29"/>
      <c r="H72" s="29"/>
      <c r="I72" s="67"/>
      <c r="J72" s="29"/>
      <c r="K72" s="29"/>
      <c r="L72" s="67"/>
      <c r="M72" s="67"/>
      <c r="N72" s="67"/>
      <c r="O72" s="67"/>
      <c r="P72" s="29"/>
      <c r="Q72" s="29"/>
      <c r="R72" s="67"/>
      <c r="S72" s="29"/>
      <c r="T72" s="29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29"/>
      <c r="AU72" s="29"/>
      <c r="AV72" s="67"/>
      <c r="AW72" s="29"/>
      <c r="AX72" s="29"/>
    </row>
    <row r="73" spans="3:50" ht="18.75">
      <c r="C73" s="93"/>
      <c r="D73" s="29"/>
      <c r="E73" s="29"/>
      <c r="F73" s="67"/>
      <c r="G73" s="29"/>
      <c r="H73" s="29"/>
      <c r="I73" s="67"/>
      <c r="J73" s="29"/>
      <c r="K73" s="29"/>
      <c r="L73" s="67"/>
      <c r="M73" s="67"/>
      <c r="N73" s="67"/>
      <c r="O73" s="67"/>
      <c r="P73" s="29"/>
      <c r="Q73" s="29"/>
      <c r="R73" s="67"/>
      <c r="S73" s="29"/>
      <c r="T73" s="29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29"/>
      <c r="AU73" s="29"/>
      <c r="AV73" s="67"/>
      <c r="AW73" s="29"/>
      <c r="AX73" s="29"/>
    </row>
    <row r="74" spans="3:50" ht="18.75">
      <c r="C74" s="93"/>
      <c r="D74" s="29"/>
      <c r="E74" s="29"/>
      <c r="F74" s="67"/>
      <c r="G74" s="29"/>
      <c r="H74" s="29"/>
      <c r="I74" s="67"/>
      <c r="J74" s="29"/>
      <c r="K74" s="29"/>
      <c r="L74" s="67"/>
      <c r="M74" s="67"/>
      <c r="N74" s="67"/>
      <c r="O74" s="67"/>
      <c r="P74" s="29"/>
      <c r="Q74" s="29"/>
      <c r="R74" s="67"/>
      <c r="S74" s="29"/>
      <c r="T74" s="29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29"/>
      <c r="AU74" s="29"/>
      <c r="AV74" s="67"/>
      <c r="AW74" s="29"/>
      <c r="AX74" s="29"/>
    </row>
    <row r="75" spans="3:50" ht="18.75">
      <c r="C75" s="93"/>
      <c r="D75" s="29"/>
      <c r="E75" s="29"/>
      <c r="F75" s="67"/>
      <c r="G75" s="29"/>
      <c r="H75" s="29"/>
      <c r="I75" s="67"/>
      <c r="J75" s="29"/>
      <c r="K75" s="29"/>
      <c r="L75" s="67"/>
      <c r="M75" s="67"/>
      <c r="N75" s="67"/>
      <c r="O75" s="67"/>
      <c r="P75" s="29"/>
      <c r="Q75" s="29"/>
      <c r="R75" s="67"/>
      <c r="S75" s="29"/>
      <c r="T75" s="29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29"/>
      <c r="AU75" s="29"/>
      <c r="AV75" s="67"/>
      <c r="AW75" s="29"/>
      <c r="AX75" s="29"/>
    </row>
    <row r="76" spans="3:50" ht="18.75">
      <c r="C76" s="93"/>
      <c r="D76" s="29"/>
      <c r="E76" s="29"/>
      <c r="F76" s="67"/>
      <c r="G76" s="29"/>
      <c r="H76" s="29"/>
      <c r="I76" s="67"/>
      <c r="J76" s="29"/>
      <c r="K76" s="29"/>
      <c r="L76" s="67"/>
      <c r="M76" s="67"/>
      <c r="N76" s="67"/>
      <c r="O76" s="67"/>
      <c r="P76" s="29"/>
      <c r="Q76" s="29"/>
      <c r="R76" s="67"/>
      <c r="S76" s="29"/>
      <c r="T76" s="29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29"/>
      <c r="AU76" s="29"/>
      <c r="AV76" s="67"/>
      <c r="AW76" s="29"/>
      <c r="AX76" s="29"/>
    </row>
    <row r="77" spans="3:50" ht="18.75">
      <c r="C77" s="93"/>
      <c r="D77" s="29"/>
      <c r="E77" s="29"/>
      <c r="F77" s="67"/>
      <c r="G77" s="29"/>
      <c r="H77" s="29"/>
      <c r="I77" s="67"/>
      <c r="J77" s="29"/>
      <c r="K77" s="29"/>
      <c r="L77" s="67"/>
      <c r="M77" s="67"/>
      <c r="N77" s="67"/>
      <c r="O77" s="67"/>
      <c r="P77" s="29"/>
      <c r="Q77" s="29"/>
      <c r="R77" s="67"/>
      <c r="S77" s="29"/>
      <c r="T77" s="2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29"/>
      <c r="AU77" s="29"/>
      <c r="AV77" s="67"/>
      <c r="AW77" s="29"/>
      <c r="AX77" s="29"/>
    </row>
    <row r="78" spans="3:50" ht="18.75">
      <c r="C78" s="93"/>
      <c r="D78" s="29"/>
      <c r="E78" s="29"/>
      <c r="F78" s="67"/>
      <c r="G78" s="29"/>
      <c r="H78" s="29"/>
      <c r="I78" s="67"/>
      <c r="J78" s="29"/>
      <c r="K78" s="29"/>
      <c r="L78" s="67"/>
      <c r="M78" s="67"/>
      <c r="N78" s="67"/>
      <c r="O78" s="67"/>
      <c r="P78" s="29"/>
      <c r="Q78" s="29"/>
      <c r="R78" s="67"/>
      <c r="S78" s="29"/>
      <c r="T78" s="2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29"/>
      <c r="AU78" s="29"/>
      <c r="AV78" s="67"/>
      <c r="AW78" s="29"/>
      <c r="AX78" s="29"/>
    </row>
    <row r="79" spans="3:50" ht="18.75">
      <c r="C79" s="93"/>
      <c r="D79" s="29"/>
      <c r="E79" s="29"/>
      <c r="F79" s="67"/>
      <c r="G79" s="29"/>
      <c r="H79" s="29"/>
      <c r="I79" s="67"/>
      <c r="J79" s="29"/>
      <c r="K79" s="29"/>
      <c r="L79" s="67"/>
      <c r="M79" s="67"/>
      <c r="N79" s="67"/>
      <c r="O79" s="67"/>
      <c r="P79" s="29"/>
      <c r="Q79" s="29"/>
      <c r="R79" s="67"/>
      <c r="S79" s="29"/>
      <c r="T79" s="29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29"/>
      <c r="AU79" s="29"/>
      <c r="AV79" s="67"/>
      <c r="AW79" s="29"/>
      <c r="AX79" s="29"/>
    </row>
    <row r="80" spans="3:50" ht="18.75">
      <c r="C80" s="93"/>
      <c r="D80" s="29"/>
      <c r="E80" s="29"/>
      <c r="F80" s="67"/>
      <c r="G80" s="29"/>
      <c r="H80" s="29"/>
      <c r="I80" s="67"/>
      <c r="J80" s="29"/>
      <c r="K80" s="29"/>
      <c r="L80" s="67"/>
      <c r="M80" s="67"/>
      <c r="N80" s="67"/>
      <c r="O80" s="67"/>
      <c r="P80" s="29"/>
      <c r="Q80" s="29"/>
      <c r="R80" s="67"/>
      <c r="S80" s="29"/>
      <c r="T80" s="29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29"/>
      <c r="AU80" s="29"/>
      <c r="AV80" s="67"/>
      <c r="AW80" s="29"/>
      <c r="AX80" s="29"/>
    </row>
    <row r="81" spans="3:50" ht="18.75">
      <c r="C81" s="93"/>
      <c r="D81" s="29"/>
      <c r="E81" s="29"/>
      <c r="F81" s="67"/>
      <c r="G81" s="29"/>
      <c r="H81" s="29"/>
      <c r="I81" s="67"/>
      <c r="J81" s="29"/>
      <c r="K81" s="29"/>
      <c r="L81" s="67"/>
      <c r="M81" s="67"/>
      <c r="N81" s="67"/>
      <c r="O81" s="67"/>
      <c r="P81" s="29"/>
      <c r="Q81" s="29"/>
      <c r="R81" s="67"/>
      <c r="S81" s="29"/>
      <c r="T81" s="29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29"/>
      <c r="AU81" s="29"/>
      <c r="AV81" s="67"/>
      <c r="AW81" s="29"/>
      <c r="AX81" s="29"/>
    </row>
    <row r="82" spans="3:50" ht="18.75">
      <c r="C82" s="93"/>
      <c r="D82" s="29"/>
      <c r="E82" s="29"/>
      <c r="F82" s="67"/>
      <c r="G82" s="29"/>
      <c r="H82" s="29"/>
      <c r="I82" s="67"/>
      <c r="J82" s="29"/>
      <c r="K82" s="29"/>
      <c r="L82" s="67"/>
      <c r="M82" s="67"/>
      <c r="N82" s="67"/>
      <c r="O82" s="67"/>
      <c r="P82" s="29"/>
      <c r="Q82" s="29"/>
      <c r="R82" s="67"/>
      <c r="S82" s="29"/>
      <c r="T82" s="29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29"/>
      <c r="AU82" s="29"/>
      <c r="AV82" s="67"/>
      <c r="AW82" s="29"/>
      <c r="AX82" s="29"/>
    </row>
    <row r="83" spans="3:50" ht="18.75">
      <c r="C83" s="93"/>
      <c r="D83" s="29"/>
      <c r="E83" s="29"/>
      <c r="F83" s="67"/>
      <c r="G83" s="29"/>
      <c r="H83" s="29"/>
      <c r="I83" s="67"/>
      <c r="J83" s="29"/>
      <c r="K83" s="29"/>
      <c r="L83" s="67"/>
      <c r="M83" s="67"/>
      <c r="N83" s="67"/>
      <c r="O83" s="67"/>
      <c r="P83" s="29"/>
      <c r="Q83" s="29"/>
      <c r="R83" s="67"/>
      <c r="S83" s="29"/>
      <c r="T83" s="29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29"/>
      <c r="AU83" s="29"/>
      <c r="AV83" s="67"/>
      <c r="AW83" s="29"/>
      <c r="AX83" s="29"/>
    </row>
    <row r="84" spans="3:50" ht="18.75">
      <c r="C84" s="93"/>
      <c r="D84" s="29"/>
      <c r="E84" s="29"/>
      <c r="F84" s="67"/>
      <c r="G84" s="29"/>
      <c r="H84" s="29"/>
      <c r="I84" s="67"/>
      <c r="J84" s="29"/>
      <c r="K84" s="29"/>
      <c r="L84" s="67"/>
      <c r="M84" s="67"/>
      <c r="N84" s="67"/>
      <c r="O84" s="67"/>
      <c r="P84" s="29"/>
      <c r="Q84" s="29"/>
      <c r="R84" s="67"/>
      <c r="S84" s="29"/>
      <c r="T84" s="29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29"/>
      <c r="AU84" s="29"/>
      <c r="AV84" s="67"/>
      <c r="AW84" s="29"/>
      <c r="AX84" s="29"/>
    </row>
    <row r="85" spans="3:50" ht="18.75">
      <c r="C85" s="93"/>
      <c r="D85" s="29"/>
      <c r="E85" s="29"/>
      <c r="F85" s="67"/>
      <c r="G85" s="29"/>
      <c r="H85" s="29"/>
      <c r="I85" s="67"/>
      <c r="J85" s="29"/>
      <c r="K85" s="29"/>
      <c r="L85" s="67"/>
      <c r="M85" s="67"/>
      <c r="N85" s="67"/>
      <c r="O85" s="67"/>
      <c r="P85" s="29"/>
      <c r="Q85" s="29"/>
      <c r="R85" s="67"/>
      <c r="S85" s="29"/>
      <c r="T85" s="29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29"/>
      <c r="AU85" s="29"/>
      <c r="AV85" s="67"/>
      <c r="AW85" s="29"/>
      <c r="AX85" s="29"/>
    </row>
    <row r="86" spans="3:50" ht="18.75">
      <c r="C86" s="93"/>
      <c r="D86" s="29"/>
      <c r="E86" s="29"/>
      <c r="F86" s="67"/>
      <c r="G86" s="29"/>
      <c r="H86" s="29"/>
      <c r="I86" s="67"/>
      <c r="J86" s="29"/>
      <c r="K86" s="29"/>
      <c r="L86" s="67"/>
      <c r="M86" s="67"/>
      <c r="N86" s="67"/>
      <c r="O86" s="67"/>
      <c r="P86" s="29"/>
      <c r="Q86" s="29"/>
      <c r="R86" s="67"/>
      <c r="S86" s="29"/>
      <c r="T86" s="29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29"/>
      <c r="AU86" s="29"/>
      <c r="AV86" s="67"/>
      <c r="AW86" s="29"/>
      <c r="AX86" s="29"/>
    </row>
    <row r="87" spans="3:50" ht="18.75">
      <c r="C87" s="93"/>
      <c r="D87" s="29"/>
      <c r="E87" s="29"/>
      <c r="F87" s="67"/>
      <c r="G87" s="29"/>
      <c r="H87" s="29"/>
      <c r="I87" s="67"/>
      <c r="J87" s="29"/>
      <c r="K87" s="29"/>
      <c r="L87" s="67"/>
      <c r="M87" s="67"/>
      <c r="N87" s="67"/>
      <c r="O87" s="67"/>
      <c r="P87" s="29"/>
      <c r="Q87" s="29"/>
      <c r="R87" s="67"/>
      <c r="S87" s="29"/>
      <c r="T87" s="29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29"/>
      <c r="AU87" s="29"/>
      <c r="AV87" s="67"/>
      <c r="AW87" s="29"/>
      <c r="AX87" s="29"/>
    </row>
    <row r="88" spans="3:50" ht="18.75">
      <c r="C88" s="93"/>
      <c r="D88" s="29"/>
      <c r="E88" s="29"/>
      <c r="F88" s="67"/>
      <c r="G88" s="29"/>
      <c r="H88" s="29"/>
      <c r="I88" s="67"/>
      <c r="J88" s="29"/>
      <c r="K88" s="29"/>
      <c r="L88" s="67"/>
      <c r="M88" s="67"/>
      <c r="N88" s="67"/>
      <c r="O88" s="67"/>
      <c r="P88" s="29"/>
      <c r="Q88" s="29"/>
      <c r="R88" s="67"/>
      <c r="S88" s="29"/>
      <c r="T88" s="2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29"/>
      <c r="AU88" s="29"/>
      <c r="AV88" s="67"/>
      <c r="AW88" s="29"/>
      <c r="AX88" s="29"/>
    </row>
    <row r="89" spans="3:50" ht="18.75">
      <c r="C89" s="93"/>
      <c r="D89" s="29"/>
      <c r="E89" s="29"/>
      <c r="F89" s="67"/>
      <c r="G89" s="29"/>
      <c r="H89" s="29"/>
      <c r="I89" s="67"/>
      <c r="J89" s="29"/>
      <c r="K89" s="29"/>
      <c r="L89" s="67"/>
      <c r="M89" s="67"/>
      <c r="N89" s="67"/>
      <c r="O89" s="67"/>
      <c r="P89" s="29"/>
      <c r="Q89" s="29"/>
      <c r="R89" s="67"/>
      <c r="S89" s="29"/>
      <c r="T89" s="29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29"/>
      <c r="AU89" s="29"/>
      <c r="AV89" s="67"/>
      <c r="AW89" s="29"/>
      <c r="AX89" s="29"/>
    </row>
    <row r="90" spans="3:50" ht="18.75">
      <c r="C90" s="93"/>
      <c r="D90" s="29"/>
      <c r="E90" s="29"/>
      <c r="F90" s="67"/>
      <c r="G90" s="29"/>
      <c r="H90" s="29"/>
      <c r="I90" s="67"/>
      <c r="J90" s="29"/>
      <c r="K90" s="29"/>
      <c r="L90" s="67"/>
      <c r="M90" s="67"/>
      <c r="N90" s="67"/>
      <c r="O90" s="67"/>
      <c r="P90" s="29"/>
      <c r="Q90" s="29"/>
      <c r="R90" s="67"/>
      <c r="S90" s="29"/>
      <c r="T90" s="29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29"/>
      <c r="AU90" s="29"/>
      <c r="AV90" s="67"/>
      <c r="AW90" s="29"/>
      <c r="AX90" s="29"/>
    </row>
    <row r="91" spans="3:50" ht="18.75">
      <c r="C91" s="93"/>
      <c r="D91" s="29"/>
      <c r="E91" s="29"/>
      <c r="F91" s="67"/>
      <c r="G91" s="29"/>
      <c r="H91" s="29"/>
      <c r="I91" s="67"/>
      <c r="J91" s="29"/>
      <c r="K91" s="29"/>
      <c r="L91" s="67"/>
      <c r="M91" s="67"/>
      <c r="N91" s="67"/>
      <c r="O91" s="67"/>
      <c r="P91" s="29"/>
      <c r="Q91" s="29"/>
      <c r="R91" s="67"/>
      <c r="S91" s="29"/>
      <c r="T91" s="29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29"/>
      <c r="AU91" s="29"/>
      <c r="AV91" s="67"/>
      <c r="AW91" s="29"/>
      <c r="AX91" s="29"/>
    </row>
    <row r="92" spans="3:50" ht="18.75">
      <c r="C92" s="93"/>
      <c r="D92" s="29"/>
      <c r="E92" s="29"/>
      <c r="F92" s="67"/>
      <c r="G92" s="29"/>
      <c r="H92" s="29"/>
      <c r="I92" s="67"/>
      <c r="J92" s="29"/>
      <c r="K92" s="29"/>
      <c r="L92" s="67"/>
      <c r="M92" s="67"/>
      <c r="N92" s="67"/>
      <c r="O92" s="67"/>
      <c r="P92" s="29"/>
      <c r="Q92" s="29"/>
      <c r="R92" s="67"/>
      <c r="S92" s="29"/>
      <c r="T92" s="29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29"/>
      <c r="AU92" s="29"/>
      <c r="AV92" s="67"/>
      <c r="AW92" s="29"/>
      <c r="AX92" s="29"/>
    </row>
    <row r="93" spans="3:50" ht="18.75">
      <c r="C93" s="93"/>
      <c r="D93" s="29"/>
      <c r="E93" s="29"/>
      <c r="F93" s="67"/>
      <c r="G93" s="29"/>
      <c r="H93" s="29"/>
      <c r="I93" s="67"/>
      <c r="J93" s="29"/>
      <c r="K93" s="29"/>
      <c r="L93" s="67"/>
      <c r="M93" s="67"/>
      <c r="N93" s="67"/>
      <c r="O93" s="67"/>
      <c r="P93" s="29"/>
      <c r="Q93" s="29"/>
      <c r="R93" s="67"/>
      <c r="S93" s="29"/>
      <c r="T93" s="29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29"/>
      <c r="AU93" s="29"/>
      <c r="AV93" s="67"/>
      <c r="AW93" s="29"/>
      <c r="AX93" s="29"/>
    </row>
    <row r="94" spans="3:50" ht="18.75">
      <c r="C94" s="93"/>
      <c r="D94" s="29"/>
      <c r="E94" s="29"/>
      <c r="F94" s="67"/>
      <c r="G94" s="29"/>
      <c r="H94" s="29"/>
      <c r="I94" s="67"/>
      <c r="J94" s="29"/>
      <c r="K94" s="29"/>
      <c r="L94" s="67"/>
      <c r="M94" s="67"/>
      <c r="N94" s="67"/>
      <c r="O94" s="67"/>
      <c r="P94" s="29"/>
      <c r="Q94" s="29"/>
      <c r="R94" s="67"/>
      <c r="S94" s="29"/>
      <c r="T94" s="29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29"/>
      <c r="AU94" s="29"/>
      <c r="AV94" s="67"/>
      <c r="AW94" s="29"/>
      <c r="AX94" s="29"/>
    </row>
    <row r="95" spans="3:50" ht="18.75">
      <c r="C95" s="93"/>
      <c r="D95" s="29"/>
      <c r="E95" s="29"/>
      <c r="F95" s="67"/>
      <c r="G95" s="29"/>
      <c r="H95" s="29"/>
      <c r="I95" s="67"/>
      <c r="J95" s="29"/>
      <c r="K95" s="29"/>
      <c r="L95" s="67"/>
      <c r="M95" s="67"/>
      <c r="N95" s="67"/>
      <c r="O95" s="67"/>
      <c r="P95" s="29"/>
      <c r="Q95" s="29"/>
      <c r="R95" s="67"/>
      <c r="S95" s="29"/>
      <c r="T95" s="29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29"/>
      <c r="AU95" s="29"/>
      <c r="AV95" s="67"/>
      <c r="AW95" s="29"/>
      <c r="AX95" s="29"/>
    </row>
    <row r="96" spans="3:50" ht="18.75">
      <c r="C96" s="93"/>
      <c r="D96" s="29"/>
      <c r="E96" s="29"/>
      <c r="F96" s="67"/>
      <c r="G96" s="29"/>
      <c r="H96" s="29"/>
      <c r="I96" s="67"/>
      <c r="J96" s="29"/>
      <c r="K96" s="29"/>
      <c r="L96" s="67"/>
      <c r="M96" s="67"/>
      <c r="N96" s="67"/>
      <c r="O96" s="67"/>
      <c r="P96" s="29"/>
      <c r="Q96" s="29"/>
      <c r="R96" s="67"/>
      <c r="S96" s="29"/>
      <c r="T96" s="29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29"/>
      <c r="AU96" s="29"/>
      <c r="AV96" s="67"/>
      <c r="AW96" s="29"/>
      <c r="AX96" s="29"/>
    </row>
    <row r="97" spans="3:50" ht="18.75">
      <c r="C97" s="93"/>
      <c r="D97" s="29"/>
      <c r="E97" s="29"/>
      <c r="F97" s="67"/>
      <c r="G97" s="29"/>
      <c r="H97" s="29"/>
      <c r="I97" s="67"/>
      <c r="J97" s="29"/>
      <c r="K97" s="29"/>
      <c r="L97" s="67"/>
      <c r="M97" s="67"/>
      <c r="N97" s="67"/>
      <c r="O97" s="67"/>
      <c r="P97" s="29"/>
      <c r="Q97" s="29"/>
      <c r="R97" s="67"/>
      <c r="S97" s="29"/>
      <c r="T97" s="29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29"/>
      <c r="AU97" s="29"/>
      <c r="AV97" s="67"/>
      <c r="AW97" s="29"/>
      <c r="AX97" s="29"/>
    </row>
    <row r="98" spans="3:50" ht="18.75">
      <c r="C98" s="93"/>
      <c r="D98" s="29"/>
      <c r="E98" s="29"/>
      <c r="F98" s="67"/>
      <c r="G98" s="29"/>
      <c r="H98" s="29"/>
      <c r="I98" s="67"/>
      <c r="J98" s="29"/>
      <c r="K98" s="29"/>
      <c r="L98" s="67"/>
      <c r="M98" s="67"/>
      <c r="N98" s="67"/>
      <c r="O98" s="67"/>
      <c r="P98" s="29"/>
      <c r="Q98" s="29"/>
      <c r="R98" s="67"/>
      <c r="S98" s="29"/>
      <c r="T98" s="29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29"/>
      <c r="AU98" s="29"/>
      <c r="AV98" s="67"/>
      <c r="AW98" s="29"/>
      <c r="AX98" s="29"/>
    </row>
    <row r="99" spans="3:50" ht="18.75">
      <c r="C99" s="93"/>
      <c r="D99" s="29"/>
      <c r="E99" s="29"/>
      <c r="F99" s="67"/>
      <c r="G99" s="29"/>
      <c r="H99" s="29"/>
      <c r="I99" s="67"/>
      <c r="J99" s="29"/>
      <c r="K99" s="29"/>
      <c r="L99" s="67"/>
      <c r="M99" s="67"/>
      <c r="N99" s="67"/>
      <c r="O99" s="67"/>
      <c r="P99" s="29"/>
      <c r="Q99" s="29"/>
      <c r="R99" s="67"/>
      <c r="S99" s="29"/>
      <c r="T99" s="29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29"/>
      <c r="AU99" s="29"/>
      <c r="AV99" s="67"/>
      <c r="AW99" s="29"/>
      <c r="AX99" s="29"/>
    </row>
    <row r="100" spans="3:50" ht="18.75">
      <c r="C100" s="93"/>
      <c r="D100" s="29"/>
      <c r="E100" s="29"/>
      <c r="F100" s="67"/>
      <c r="G100" s="29"/>
      <c r="H100" s="29"/>
      <c r="I100" s="67"/>
      <c r="J100" s="29"/>
      <c r="K100" s="29"/>
      <c r="L100" s="67"/>
      <c r="M100" s="67"/>
      <c r="N100" s="67"/>
      <c r="O100" s="67"/>
      <c r="P100" s="29"/>
      <c r="Q100" s="29"/>
      <c r="R100" s="67"/>
      <c r="S100" s="29"/>
      <c r="T100" s="29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29"/>
      <c r="AU100" s="29"/>
      <c r="AV100" s="67"/>
      <c r="AW100" s="29"/>
      <c r="AX100" s="29"/>
    </row>
    <row r="101" spans="3:50" ht="18.75">
      <c r="C101" s="93"/>
      <c r="D101" s="29"/>
      <c r="E101" s="29"/>
      <c r="F101" s="67"/>
      <c r="G101" s="29"/>
      <c r="H101" s="29"/>
      <c r="I101" s="67"/>
      <c r="J101" s="29"/>
      <c r="K101" s="29"/>
      <c r="L101" s="67"/>
      <c r="M101" s="67"/>
      <c r="N101" s="67"/>
      <c r="O101" s="67"/>
      <c r="P101" s="29"/>
      <c r="Q101" s="29"/>
      <c r="R101" s="67"/>
      <c r="S101" s="29"/>
      <c r="T101" s="29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29"/>
      <c r="AU101" s="29"/>
      <c r="AV101" s="67"/>
      <c r="AW101" s="29"/>
      <c r="AX101" s="29"/>
    </row>
    <row r="102" spans="3:50" ht="18.75">
      <c r="C102" s="93"/>
      <c r="D102" s="29"/>
      <c r="E102" s="29"/>
      <c r="F102" s="67"/>
      <c r="G102" s="29"/>
      <c r="H102" s="29"/>
      <c r="I102" s="67"/>
      <c r="J102" s="29"/>
      <c r="K102" s="29"/>
      <c r="L102" s="67"/>
      <c r="M102" s="67"/>
      <c r="N102" s="67"/>
      <c r="O102" s="67"/>
      <c r="P102" s="29"/>
      <c r="Q102" s="29"/>
      <c r="R102" s="67"/>
      <c r="S102" s="29"/>
      <c r="T102" s="29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29"/>
      <c r="AU102" s="29"/>
      <c r="AV102" s="67"/>
      <c r="AW102" s="29"/>
      <c r="AX102" s="29"/>
    </row>
  </sheetData>
  <sheetProtection/>
  <mergeCells count="24">
    <mergeCell ref="AO5:AP5"/>
    <mergeCell ref="AR5:AS5"/>
    <mergeCell ref="G5:I5"/>
    <mergeCell ref="AJ5:AL5"/>
    <mergeCell ref="V5:X5"/>
    <mergeCell ref="AX5:AX6"/>
    <mergeCell ref="AE5:AG5"/>
    <mergeCell ref="AH5:AI5"/>
    <mergeCell ref="B53:C53"/>
    <mergeCell ref="A51:C51"/>
    <mergeCell ref="S5:U5"/>
    <mergeCell ref="AB5:AD5"/>
    <mergeCell ref="M5:O5"/>
    <mergeCell ref="AT5:AV5"/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</mergeCells>
  <printOptions/>
  <pageMargins left="0" right="0" top="0" bottom="0" header="0" footer="0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2"/>
  <sheetViews>
    <sheetView view="pageBreakPreview" zoomScale="70" zoomScaleNormal="75" zoomScaleSheetLayoutView="70" zoomScalePageLayoutView="0" workbookViewId="0" topLeftCell="A1">
      <pane xSplit="6" ySplit="8" topLeftCell="AK2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41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customWidth="1"/>
    <col min="27" max="27" width="12.875" style="8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customWidth="1"/>
    <col min="38" max="38" width="12.875" style="8" hidden="1" customWidth="1"/>
    <col min="39" max="39" width="14.625" style="8" customWidth="1"/>
    <col min="40" max="40" width="13.375" style="8" customWidth="1"/>
    <col min="41" max="41" width="14.625" style="8" customWidth="1"/>
    <col min="42" max="42" width="13.375" style="8" customWidth="1"/>
    <col min="43" max="43" width="14.625" style="8" customWidth="1"/>
    <col min="44" max="44" width="13.375" style="8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4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2:59" s="32" customFormat="1" ht="42" customHeight="1">
      <c r="B2" s="122" t="s">
        <v>91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95"/>
      <c r="AY2" s="96"/>
      <c r="AZ2" s="96"/>
      <c r="BA2" s="96"/>
      <c r="BB2" s="96"/>
      <c r="BC2" s="96"/>
      <c r="BD2" s="96"/>
      <c r="BE2" s="96"/>
      <c r="BF2" s="96"/>
      <c r="BG2" s="96"/>
    </row>
    <row r="3" spans="1:49" s="32" customFormat="1" ht="42" customHeight="1">
      <c r="A3" s="31"/>
      <c r="B3" s="122" t="s">
        <v>130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</row>
    <row r="4" spans="2:49" ht="18.75">
      <c r="B4" s="123"/>
      <c r="C4" s="123"/>
      <c r="AW4" s="11" t="s">
        <v>48</v>
      </c>
    </row>
    <row r="5" spans="1:59" ht="36.75" customHeight="1">
      <c r="A5" s="24" t="s">
        <v>36</v>
      </c>
      <c r="B5" s="25"/>
      <c r="C5" s="26" t="s">
        <v>1</v>
      </c>
      <c r="D5" s="124" t="s">
        <v>111</v>
      </c>
      <c r="E5" s="125"/>
      <c r="F5" s="126"/>
      <c r="G5" s="119" t="s">
        <v>113</v>
      </c>
      <c r="H5" s="120"/>
      <c r="I5" s="121"/>
      <c r="J5" s="119" t="s">
        <v>116</v>
      </c>
      <c r="K5" s="120"/>
      <c r="L5" s="121"/>
      <c r="M5" s="119" t="s">
        <v>118</v>
      </c>
      <c r="N5" s="120"/>
      <c r="O5" s="121"/>
      <c r="P5" s="119" t="s">
        <v>117</v>
      </c>
      <c r="Q5" s="120"/>
      <c r="R5" s="121"/>
      <c r="S5" s="119" t="s">
        <v>119</v>
      </c>
      <c r="T5" s="120"/>
      <c r="U5" s="121"/>
      <c r="V5" s="119" t="s">
        <v>120</v>
      </c>
      <c r="W5" s="120"/>
      <c r="X5" s="121"/>
      <c r="Y5" s="119" t="s">
        <v>121</v>
      </c>
      <c r="Z5" s="120"/>
      <c r="AA5" s="121"/>
      <c r="AB5" s="119" t="s">
        <v>122</v>
      </c>
      <c r="AC5" s="120"/>
      <c r="AD5" s="121"/>
      <c r="AE5" s="119" t="s">
        <v>123</v>
      </c>
      <c r="AF5" s="120"/>
      <c r="AG5" s="121"/>
      <c r="AH5" s="119" t="s">
        <v>124</v>
      </c>
      <c r="AI5" s="121"/>
      <c r="AJ5" s="119" t="s">
        <v>126</v>
      </c>
      <c r="AK5" s="120"/>
      <c r="AL5" s="121"/>
      <c r="AM5" s="119" t="s">
        <v>125</v>
      </c>
      <c r="AN5" s="121"/>
      <c r="AO5" s="119" t="s">
        <v>127</v>
      </c>
      <c r="AP5" s="121"/>
      <c r="AQ5" s="119" t="s">
        <v>128</v>
      </c>
      <c r="AR5" s="121"/>
      <c r="AS5" s="124" t="s">
        <v>114</v>
      </c>
      <c r="AT5" s="125"/>
      <c r="AU5" s="126"/>
      <c r="AV5" s="127" t="s">
        <v>131</v>
      </c>
      <c r="AW5" s="127" t="s">
        <v>132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7" t="s">
        <v>9</v>
      </c>
      <c r="B6" s="42" t="s">
        <v>46</v>
      </c>
      <c r="C6" s="12" t="s">
        <v>106</v>
      </c>
      <c r="D6" s="28" t="s">
        <v>112</v>
      </c>
      <c r="E6" s="28" t="s">
        <v>47</v>
      </c>
      <c r="F6" s="13" t="s">
        <v>0</v>
      </c>
      <c r="G6" s="28" t="s">
        <v>112</v>
      </c>
      <c r="H6" s="28" t="s">
        <v>47</v>
      </c>
      <c r="I6" s="13" t="s">
        <v>0</v>
      </c>
      <c r="J6" s="28" t="s">
        <v>112</v>
      </c>
      <c r="K6" s="28" t="s">
        <v>47</v>
      </c>
      <c r="L6" s="13" t="s">
        <v>0</v>
      </c>
      <c r="M6" s="28" t="s">
        <v>112</v>
      </c>
      <c r="N6" s="28" t="s">
        <v>47</v>
      </c>
      <c r="O6" s="13" t="s">
        <v>0</v>
      </c>
      <c r="P6" s="28" t="s">
        <v>112</v>
      </c>
      <c r="Q6" s="28" t="s">
        <v>47</v>
      </c>
      <c r="R6" s="13" t="s">
        <v>0</v>
      </c>
      <c r="S6" s="28" t="s">
        <v>112</v>
      </c>
      <c r="T6" s="28" t="s">
        <v>47</v>
      </c>
      <c r="U6" s="13" t="s">
        <v>0</v>
      </c>
      <c r="V6" s="28" t="s">
        <v>112</v>
      </c>
      <c r="W6" s="28" t="s">
        <v>47</v>
      </c>
      <c r="X6" s="13" t="s">
        <v>0</v>
      </c>
      <c r="Y6" s="28" t="s">
        <v>112</v>
      </c>
      <c r="Z6" s="28" t="s">
        <v>47</v>
      </c>
      <c r="AA6" s="13" t="s">
        <v>0</v>
      </c>
      <c r="AB6" s="28" t="s">
        <v>112</v>
      </c>
      <c r="AC6" s="28" t="s">
        <v>47</v>
      </c>
      <c r="AD6" s="13" t="s">
        <v>0</v>
      </c>
      <c r="AE6" s="28" t="s">
        <v>112</v>
      </c>
      <c r="AF6" s="28" t="s">
        <v>47</v>
      </c>
      <c r="AG6" s="13" t="s">
        <v>0</v>
      </c>
      <c r="AH6" s="28" t="s">
        <v>112</v>
      </c>
      <c r="AI6" s="28" t="s">
        <v>47</v>
      </c>
      <c r="AJ6" s="28" t="s">
        <v>112</v>
      </c>
      <c r="AK6" s="28" t="s">
        <v>47</v>
      </c>
      <c r="AL6" s="13" t="s">
        <v>0</v>
      </c>
      <c r="AM6" s="28" t="s">
        <v>112</v>
      </c>
      <c r="AN6" s="28" t="s">
        <v>47</v>
      </c>
      <c r="AO6" s="28" t="s">
        <v>112</v>
      </c>
      <c r="AP6" s="28" t="s">
        <v>47</v>
      </c>
      <c r="AQ6" s="28" t="s">
        <v>112</v>
      </c>
      <c r="AR6" s="28" t="s">
        <v>47</v>
      </c>
      <c r="AS6" s="28" t="s">
        <v>112</v>
      </c>
      <c r="AT6" s="28" t="s">
        <v>47</v>
      </c>
      <c r="AU6" s="13" t="s">
        <v>0</v>
      </c>
      <c r="AV6" s="128"/>
      <c r="AW6" s="128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7"/>
      <c r="B7" s="98" t="s">
        <v>6</v>
      </c>
      <c r="C7" s="43">
        <f>SUM(C8:C42)</f>
        <v>9842.900000000001</v>
      </c>
      <c r="D7" s="15">
        <f>SUM(D8:D42)</f>
        <v>4168</v>
      </c>
      <c r="E7" s="15">
        <f>SUM(E8:E42)</f>
        <v>6370.5</v>
      </c>
      <c r="F7" s="15">
        <f aca="true" t="shared" si="0" ref="F7:F44">E7/D7*100</f>
        <v>152.84309021113245</v>
      </c>
      <c r="G7" s="15">
        <f>SUM(G8:G42)</f>
        <v>4139</v>
      </c>
      <c r="H7" s="15">
        <f>SUM(H8:H42)</f>
        <v>1614</v>
      </c>
      <c r="I7" s="15">
        <f>H7/G7*100</f>
        <v>38.99492631070307</v>
      </c>
      <c r="J7" s="15">
        <f>SUM(J8:J42)</f>
        <v>2412.9</v>
      </c>
      <c r="K7" s="15">
        <f>SUM(K8:K42)</f>
        <v>1963</v>
      </c>
      <c r="L7" s="15">
        <f aca="true" t="shared" si="1" ref="L7:L12">K7/J7*100</f>
        <v>81.35438683741556</v>
      </c>
      <c r="M7" s="15">
        <f>SUM(M8:M42)</f>
        <v>10719.9</v>
      </c>
      <c r="N7" s="15">
        <f>SUM(N8:N42)</f>
        <v>9947.5</v>
      </c>
      <c r="O7" s="15">
        <f>N7/M7*100</f>
        <v>92.79470890586666</v>
      </c>
      <c r="P7" s="15">
        <f>SUM(P8:P42)</f>
        <v>137.29999999999998</v>
      </c>
      <c r="Q7" s="15">
        <f>SUM(Q8:Q42)</f>
        <v>2577</v>
      </c>
      <c r="R7" s="15">
        <f aca="true" t="shared" si="2" ref="R7:R12">Q7/P7*100</f>
        <v>1876.9118718135474</v>
      </c>
      <c r="S7" s="15">
        <f>SUM(S8:S42)</f>
        <v>-14.8</v>
      </c>
      <c r="T7" s="15">
        <f>SUM(T8:T42)</f>
        <v>764.7</v>
      </c>
      <c r="U7" s="15">
        <f>T7/S7*100</f>
        <v>-5166.891891891892</v>
      </c>
      <c r="V7" s="15">
        <f>SUM(V8:V42)</f>
        <v>-46.8</v>
      </c>
      <c r="W7" s="15">
        <f>SUM(W8:W42)</f>
        <v>2749.7999999999997</v>
      </c>
      <c r="X7" s="15">
        <f>W7/V7*100</f>
        <v>-5875.641025641025</v>
      </c>
      <c r="Y7" s="15">
        <f>SUM(Y8:Y42)</f>
        <v>75.7</v>
      </c>
      <c r="Z7" s="15">
        <f>SUM(Z8:Z42)</f>
        <v>6091.500000000001</v>
      </c>
      <c r="AA7" s="15">
        <f>Z7/Y7*100</f>
        <v>8046.895640686923</v>
      </c>
      <c r="AB7" s="15">
        <f>SUM(AB8:AB42)</f>
        <v>-8.8</v>
      </c>
      <c r="AC7" s="15">
        <f>SUM(AC8:AC42)</f>
        <v>0</v>
      </c>
      <c r="AD7" s="15">
        <f>AC7/AB7*100</f>
        <v>0</v>
      </c>
      <c r="AE7" s="15">
        <f>SUM(AE8:AE42)</f>
        <v>-3</v>
      </c>
      <c r="AF7" s="15">
        <f>SUM(AF8:AF42)</f>
        <v>4137.9</v>
      </c>
      <c r="AG7" s="15">
        <f>AF7/AE7*100</f>
        <v>-137930</v>
      </c>
      <c r="AH7" s="15">
        <f>SUM(AH8:AH42)</f>
        <v>0.7</v>
      </c>
      <c r="AI7" s="15">
        <f>SUM(AI8:AI42)</f>
        <v>313.1</v>
      </c>
      <c r="AJ7" s="15">
        <f>SUM(AJ8:AJ42)</f>
        <v>-11.1</v>
      </c>
      <c r="AK7" s="15">
        <f>SUM(AK8:AK42)</f>
        <v>4451</v>
      </c>
      <c r="AL7" s="15">
        <f>AK7/AJ7*100</f>
        <v>-40099.0990990991</v>
      </c>
      <c r="AM7" s="15">
        <f aca="true" t="shared" si="3" ref="AM7:AT7">SUM(AM8:AM42)</f>
        <v>989</v>
      </c>
      <c r="AN7" s="15">
        <f t="shared" si="3"/>
        <v>113.2</v>
      </c>
      <c r="AO7" s="15">
        <f t="shared" si="3"/>
        <v>3545.7000000000003</v>
      </c>
      <c r="AP7" s="15">
        <f t="shared" si="3"/>
        <v>200.20000000000002</v>
      </c>
      <c r="AQ7" s="15">
        <f>SUM(AQ8:AQ42)</f>
        <v>3540.8999999999996</v>
      </c>
      <c r="AR7" s="15">
        <f>SUM(AR8:AR42)</f>
        <v>1034.6999999999998</v>
      </c>
      <c r="AS7" s="15">
        <f t="shared" si="3"/>
        <v>18860.1</v>
      </c>
      <c r="AT7" s="15">
        <f t="shared" si="3"/>
        <v>21838.1</v>
      </c>
      <c r="AU7" s="15">
        <f>AT7/AS7*100</f>
        <v>115.78994809147353</v>
      </c>
      <c r="AV7" s="44">
        <f>SUM(AV8:AV42)</f>
        <v>-2977.999999999999</v>
      </c>
      <c r="AW7" s="44">
        <f>SUM(AW8:AW42)</f>
        <v>6864.9</v>
      </c>
      <c r="AX7" s="22">
        <f>AS7-AT7</f>
        <v>-2978</v>
      </c>
      <c r="AY7" s="22">
        <f>C7+AS7-AT7</f>
        <v>6864.9000000000015</v>
      </c>
      <c r="AZ7" s="19"/>
      <c r="BA7" s="82"/>
      <c r="BB7" s="82"/>
      <c r="BC7" s="82"/>
      <c r="BD7" s="82"/>
      <c r="BE7" s="82"/>
      <c r="BF7" s="82"/>
      <c r="BG7" s="82"/>
    </row>
    <row r="8" spans="1:52" ht="36.75" customHeight="1">
      <c r="A8" s="100">
        <v>1</v>
      </c>
      <c r="B8" s="1" t="s">
        <v>12</v>
      </c>
      <c r="C8" s="2">
        <v>909.4</v>
      </c>
      <c r="D8" s="3">
        <v>310.3</v>
      </c>
      <c r="E8" s="3">
        <v>427.7</v>
      </c>
      <c r="F8" s="15">
        <f t="shared" si="0"/>
        <v>137.8343538511118</v>
      </c>
      <c r="G8" s="3">
        <v>395.3</v>
      </c>
      <c r="H8" s="3">
        <v>0</v>
      </c>
      <c r="I8" s="15">
        <f>H8/G8*100</f>
        <v>0</v>
      </c>
      <c r="J8" s="3">
        <v>221.7</v>
      </c>
      <c r="K8" s="3">
        <v>481.6</v>
      </c>
      <c r="L8" s="15">
        <f t="shared" si="1"/>
        <v>217.23049165539015</v>
      </c>
      <c r="M8" s="3">
        <f>D8+G8+J8</f>
        <v>927.3</v>
      </c>
      <c r="N8" s="3">
        <f>E8+H8+K8</f>
        <v>909.3</v>
      </c>
      <c r="O8" s="15">
        <f aca="true" t="shared" si="4" ref="O8:O46">N8/M8*100</f>
        <v>98.05888062115821</v>
      </c>
      <c r="P8" s="3">
        <v>16.6</v>
      </c>
      <c r="Q8" s="3">
        <v>0</v>
      </c>
      <c r="R8" s="15">
        <f t="shared" si="2"/>
        <v>0</v>
      </c>
      <c r="S8" s="3">
        <v>-3.5</v>
      </c>
      <c r="T8" s="3">
        <v>0</v>
      </c>
      <c r="U8" s="15">
        <f>T8/S8*100</f>
        <v>0</v>
      </c>
      <c r="V8" s="3">
        <v>0.3</v>
      </c>
      <c r="W8" s="3">
        <v>940.4</v>
      </c>
      <c r="X8" s="15">
        <f>W8/V8*100</f>
        <v>313466.6666666666</v>
      </c>
      <c r="Y8" s="3">
        <f>P8+S8+V8</f>
        <v>13.400000000000002</v>
      </c>
      <c r="Z8" s="3">
        <f>Q8+T8+W8</f>
        <v>940.4</v>
      </c>
      <c r="AA8" s="15">
        <f>Z8/Y8*100</f>
        <v>7017.910447761193</v>
      </c>
      <c r="AB8" s="3">
        <v>0</v>
      </c>
      <c r="AC8" s="3">
        <v>0</v>
      </c>
      <c r="AD8" s="30" t="e">
        <f>AC8/AB8*100</f>
        <v>#DIV/0!</v>
      </c>
      <c r="AE8" s="3">
        <v>0</v>
      </c>
      <c r="AF8" s="3">
        <v>705.7</v>
      </c>
      <c r="AG8" s="15" t="e">
        <f>AF8/AE8*100</f>
        <v>#DIV/0!</v>
      </c>
      <c r="AH8" s="3">
        <v>0.7</v>
      </c>
      <c r="AI8" s="3">
        <v>0</v>
      </c>
      <c r="AJ8" s="3">
        <f>AB8+AE8+AH8</f>
        <v>0.7</v>
      </c>
      <c r="AK8" s="3">
        <f>AC8+AF8+AI8</f>
        <v>705.7</v>
      </c>
      <c r="AL8" s="15">
        <f>AK8/AJ8*100</f>
        <v>100814.28571428572</v>
      </c>
      <c r="AM8" s="3">
        <v>124.3</v>
      </c>
      <c r="AN8" s="3">
        <v>0</v>
      </c>
      <c r="AO8" s="3">
        <v>353.6</v>
      </c>
      <c r="AP8" s="3">
        <v>0</v>
      </c>
      <c r="AQ8" s="3">
        <v>434.9</v>
      </c>
      <c r="AR8" s="3">
        <v>0</v>
      </c>
      <c r="AS8" s="3">
        <f>M8+Y8+AJ8+AM8+AO8+AQ8</f>
        <v>1854.2000000000003</v>
      </c>
      <c r="AT8" s="3">
        <f>N8+Z8+AK8+AN8+AP8+AR8</f>
        <v>2555.3999999999996</v>
      </c>
      <c r="AU8" s="15">
        <f>AT8/AS8*100</f>
        <v>137.81684823643616</v>
      </c>
      <c r="AV8" s="15">
        <f>AS8-AT8</f>
        <v>-701.1999999999994</v>
      </c>
      <c r="AW8" s="4">
        <f>C8+AS8-AT8</f>
        <v>208.20000000000073</v>
      </c>
      <c r="AX8" s="101"/>
      <c r="AZ8" s="19"/>
    </row>
    <row r="9" spans="1:52" ht="41.25" customHeight="1">
      <c r="A9" s="100">
        <v>2</v>
      </c>
      <c r="B9" s="34" t="s">
        <v>35</v>
      </c>
      <c r="C9" s="2">
        <v>19.7</v>
      </c>
      <c r="D9" s="3">
        <v>7.7</v>
      </c>
      <c r="E9" s="3">
        <v>5.4</v>
      </c>
      <c r="F9" s="15">
        <f t="shared" si="0"/>
        <v>70.12987012987013</v>
      </c>
      <c r="G9" s="3">
        <v>8.5</v>
      </c>
      <c r="H9" s="3">
        <v>0</v>
      </c>
      <c r="I9" s="15">
        <f aca="true" t="shared" si="5" ref="I9:I21">H9/G9*100</f>
        <v>0</v>
      </c>
      <c r="J9" s="3">
        <v>4.2</v>
      </c>
      <c r="K9" s="3">
        <v>0</v>
      </c>
      <c r="L9" s="15">
        <f t="shared" si="1"/>
        <v>0</v>
      </c>
      <c r="M9" s="3">
        <f aca="true" t="shared" si="6" ref="M9:M42">D9+G9+J9</f>
        <v>20.4</v>
      </c>
      <c r="N9" s="3">
        <f aca="true" t="shared" si="7" ref="N9:N42">E9+H9+K9</f>
        <v>5.4</v>
      </c>
      <c r="O9" s="15">
        <f t="shared" si="4"/>
        <v>26.470588235294123</v>
      </c>
      <c r="P9" s="3">
        <v>0.5</v>
      </c>
      <c r="Q9" s="3">
        <v>2.1</v>
      </c>
      <c r="R9" s="15">
        <f t="shared" si="2"/>
        <v>420</v>
      </c>
      <c r="S9" s="3">
        <v>0</v>
      </c>
      <c r="T9" s="3">
        <v>12.5</v>
      </c>
      <c r="U9" s="15"/>
      <c r="V9" s="3">
        <v>0</v>
      </c>
      <c r="W9" s="3">
        <v>20.6</v>
      </c>
      <c r="X9" s="15"/>
      <c r="Y9" s="3">
        <f>P9+S9+V9</f>
        <v>0.5</v>
      </c>
      <c r="Z9" s="3">
        <f>Q9+T9+W9</f>
        <v>35.2</v>
      </c>
      <c r="AA9" s="15">
        <f>Z9/Y9*100</f>
        <v>7040.000000000001</v>
      </c>
      <c r="AB9" s="3">
        <v>0</v>
      </c>
      <c r="AC9" s="3">
        <v>0</v>
      </c>
      <c r="AD9" s="15"/>
      <c r="AE9" s="3">
        <v>0</v>
      </c>
      <c r="AF9" s="3">
        <v>0</v>
      </c>
      <c r="AG9" s="30" t="e">
        <f aca="true" t="shared" si="8" ref="AG9:AG15">AF9/AE9*100</f>
        <v>#DIV/0!</v>
      </c>
      <c r="AH9" s="3">
        <v>0</v>
      </c>
      <c r="AI9" s="3">
        <v>0</v>
      </c>
      <c r="AJ9" s="3">
        <f aca="true" t="shared" si="9" ref="AJ9:AJ42">AB9+AE9+AH9</f>
        <v>0</v>
      </c>
      <c r="AK9" s="3">
        <f aca="true" t="shared" si="10" ref="AK9:AK42">AC9+AF9+AI9</f>
        <v>0</v>
      </c>
      <c r="AL9" s="15" t="e">
        <f>AK9/AJ9*100</f>
        <v>#DIV/0!</v>
      </c>
      <c r="AM9" s="3">
        <v>1</v>
      </c>
      <c r="AN9" s="3">
        <v>0</v>
      </c>
      <c r="AO9" s="3">
        <v>14.8</v>
      </c>
      <c r="AP9" s="3">
        <v>0</v>
      </c>
      <c r="AQ9" s="3">
        <v>9.7</v>
      </c>
      <c r="AR9" s="3">
        <v>0</v>
      </c>
      <c r="AS9" s="3">
        <f aca="true" t="shared" si="11" ref="AS9:AS42">M9+Y9+AJ9+AM9+AO9+AQ9</f>
        <v>46.400000000000006</v>
      </c>
      <c r="AT9" s="3">
        <f aca="true" t="shared" si="12" ref="AT9:AT42">N9+Z9+AK9+AN9+AP9+AR9</f>
        <v>40.6</v>
      </c>
      <c r="AU9" s="15">
        <f>AT9/AS9*100</f>
        <v>87.49999999999999</v>
      </c>
      <c r="AV9" s="15">
        <f aca="true" t="shared" si="13" ref="AV9:AV42">AS9-AT9</f>
        <v>5.800000000000004</v>
      </c>
      <c r="AW9" s="4">
        <f aca="true" t="shared" si="14" ref="AW9:AW42">C9+AS9-AT9</f>
        <v>25.500000000000007</v>
      </c>
      <c r="AX9" s="101"/>
      <c r="AZ9" s="19"/>
    </row>
    <row r="10" spans="1:52" ht="35.25" customHeight="1">
      <c r="A10" s="100">
        <v>3</v>
      </c>
      <c r="B10" s="16" t="s">
        <v>96</v>
      </c>
      <c r="C10" s="2"/>
      <c r="D10" s="23"/>
      <c r="E10" s="23"/>
      <c r="F10" s="38" t="e">
        <f t="shared" si="0"/>
        <v>#DIV/0!</v>
      </c>
      <c r="G10" s="23"/>
      <c r="H10" s="23"/>
      <c r="I10" s="38" t="e">
        <f t="shared" si="5"/>
        <v>#DIV/0!</v>
      </c>
      <c r="J10" s="23"/>
      <c r="K10" s="23"/>
      <c r="L10" s="38" t="e">
        <f t="shared" si="1"/>
        <v>#DIV/0!</v>
      </c>
      <c r="M10" s="3"/>
      <c r="N10" s="3"/>
      <c r="O10" s="15"/>
      <c r="P10" s="23"/>
      <c r="Q10" s="23"/>
      <c r="R10" s="38" t="e">
        <f t="shared" si="2"/>
        <v>#DIV/0!</v>
      </c>
      <c r="S10" s="23"/>
      <c r="T10" s="23"/>
      <c r="U10" s="38" t="e">
        <f>T10/S10*100</f>
        <v>#DIV/0!</v>
      </c>
      <c r="V10" s="23"/>
      <c r="W10" s="23"/>
      <c r="X10" s="38" t="e">
        <f>W10/V10*100</f>
        <v>#DIV/0!</v>
      </c>
      <c r="Y10" s="3"/>
      <c r="Z10" s="3"/>
      <c r="AA10" s="15"/>
      <c r="AB10" s="23"/>
      <c r="AC10" s="23"/>
      <c r="AD10" s="38" t="e">
        <f>AC10/AB10*100</f>
        <v>#DIV/0!</v>
      </c>
      <c r="AE10" s="23"/>
      <c r="AF10" s="23"/>
      <c r="AG10" s="38" t="e">
        <f t="shared" si="8"/>
        <v>#DIV/0!</v>
      </c>
      <c r="AH10" s="23"/>
      <c r="AI10" s="23"/>
      <c r="AJ10" s="3"/>
      <c r="AK10" s="3"/>
      <c r="AL10" s="15"/>
      <c r="AM10" s="23"/>
      <c r="AN10" s="23"/>
      <c r="AO10" s="23"/>
      <c r="AP10" s="23"/>
      <c r="AQ10" s="23"/>
      <c r="AR10" s="23"/>
      <c r="AS10" s="3"/>
      <c r="AT10" s="3"/>
      <c r="AU10" s="38" t="e">
        <f>AT10/AS10*100</f>
        <v>#DIV/0!</v>
      </c>
      <c r="AV10" s="15"/>
      <c r="AW10" s="4"/>
      <c r="AX10" s="101"/>
      <c r="AZ10" s="19"/>
    </row>
    <row r="11" spans="1:52" ht="24" customHeight="1">
      <c r="A11" s="100">
        <v>4</v>
      </c>
      <c r="B11" s="1" t="s">
        <v>108</v>
      </c>
      <c r="C11" s="2"/>
      <c r="D11" s="3"/>
      <c r="E11" s="3"/>
      <c r="F11" s="38"/>
      <c r="G11" s="3"/>
      <c r="H11" s="3"/>
      <c r="I11" s="38" t="e">
        <f t="shared" si="5"/>
        <v>#DIV/0!</v>
      </c>
      <c r="J11" s="3"/>
      <c r="K11" s="3"/>
      <c r="L11" s="38" t="e">
        <f t="shared" si="1"/>
        <v>#DIV/0!</v>
      </c>
      <c r="M11" s="3"/>
      <c r="N11" s="3"/>
      <c r="O11" s="15"/>
      <c r="P11" s="3"/>
      <c r="Q11" s="3"/>
      <c r="R11" s="38" t="e">
        <f t="shared" si="2"/>
        <v>#DIV/0!</v>
      </c>
      <c r="S11" s="3"/>
      <c r="T11" s="3"/>
      <c r="U11" s="38" t="e">
        <f>T11/S11*100</f>
        <v>#DIV/0!</v>
      </c>
      <c r="V11" s="3"/>
      <c r="W11" s="3"/>
      <c r="X11" s="38" t="e">
        <f>W11/V11*100</f>
        <v>#DIV/0!</v>
      </c>
      <c r="Y11" s="3"/>
      <c r="Z11" s="3"/>
      <c r="AA11" s="15"/>
      <c r="AB11" s="3"/>
      <c r="AC11" s="3"/>
      <c r="AD11" s="38" t="e">
        <f>AC11/AB11*100</f>
        <v>#DIV/0!</v>
      </c>
      <c r="AE11" s="3"/>
      <c r="AF11" s="3"/>
      <c r="AG11" s="38" t="e">
        <f t="shared" si="8"/>
        <v>#DIV/0!</v>
      </c>
      <c r="AH11" s="3"/>
      <c r="AI11" s="3"/>
      <c r="AJ11" s="3"/>
      <c r="AK11" s="3"/>
      <c r="AL11" s="15"/>
      <c r="AM11" s="3"/>
      <c r="AN11" s="3"/>
      <c r="AO11" s="3"/>
      <c r="AP11" s="3"/>
      <c r="AQ11" s="3"/>
      <c r="AR11" s="3"/>
      <c r="AS11" s="3"/>
      <c r="AT11" s="3"/>
      <c r="AU11" s="38"/>
      <c r="AV11" s="15"/>
      <c r="AW11" s="4"/>
      <c r="AX11" s="101"/>
      <c r="AZ11" s="19"/>
    </row>
    <row r="12" spans="1:52" ht="24" customHeight="1">
      <c r="A12" s="100">
        <v>5</v>
      </c>
      <c r="B12" s="1" t="s">
        <v>13</v>
      </c>
      <c r="C12" s="2">
        <v>119.6</v>
      </c>
      <c r="D12" s="3">
        <v>58.5</v>
      </c>
      <c r="E12" s="3">
        <v>119.6</v>
      </c>
      <c r="F12" s="15">
        <f t="shared" si="0"/>
        <v>204.44444444444443</v>
      </c>
      <c r="G12" s="3">
        <v>52</v>
      </c>
      <c r="H12" s="3">
        <v>0</v>
      </c>
      <c r="I12" s="15">
        <f t="shared" si="5"/>
        <v>0</v>
      </c>
      <c r="J12" s="3">
        <v>35.7</v>
      </c>
      <c r="K12" s="3">
        <v>0</v>
      </c>
      <c r="L12" s="15">
        <f t="shared" si="1"/>
        <v>0</v>
      </c>
      <c r="M12" s="3">
        <f t="shared" si="6"/>
        <v>146.2</v>
      </c>
      <c r="N12" s="3">
        <f t="shared" si="7"/>
        <v>119.6</v>
      </c>
      <c r="O12" s="15">
        <f t="shared" si="4"/>
        <v>81.80574555403557</v>
      </c>
      <c r="P12" s="3">
        <v>3</v>
      </c>
      <c r="Q12" s="3">
        <v>58.5</v>
      </c>
      <c r="R12" s="15">
        <f t="shared" si="2"/>
        <v>1950</v>
      </c>
      <c r="S12" s="3">
        <v>0</v>
      </c>
      <c r="T12" s="3">
        <v>0</v>
      </c>
      <c r="U12" s="15"/>
      <c r="V12" s="3">
        <v>0</v>
      </c>
      <c r="W12" s="3">
        <v>0</v>
      </c>
      <c r="X12" s="15"/>
      <c r="Y12" s="3">
        <f>P12+S12+V12</f>
        <v>3</v>
      </c>
      <c r="Z12" s="3">
        <f>Q12+T12+W12</f>
        <v>58.5</v>
      </c>
      <c r="AA12" s="15">
        <f>Z12/Y12*100</f>
        <v>1950</v>
      </c>
      <c r="AB12" s="3">
        <v>0</v>
      </c>
      <c r="AC12" s="3">
        <v>0</v>
      </c>
      <c r="AD12" s="15"/>
      <c r="AE12" s="3">
        <v>0</v>
      </c>
      <c r="AF12" s="3">
        <v>90.7</v>
      </c>
      <c r="AG12" s="30" t="e">
        <f t="shared" si="8"/>
        <v>#DIV/0!</v>
      </c>
      <c r="AH12" s="3">
        <v>0</v>
      </c>
      <c r="AI12" s="3">
        <v>0</v>
      </c>
      <c r="AJ12" s="3">
        <f t="shared" si="9"/>
        <v>0</v>
      </c>
      <c r="AK12" s="3">
        <f t="shared" si="10"/>
        <v>90.7</v>
      </c>
      <c r="AL12" s="15" t="e">
        <f>AK12/AJ12*100</f>
        <v>#DIV/0!</v>
      </c>
      <c r="AM12" s="3">
        <v>17.1</v>
      </c>
      <c r="AN12" s="3">
        <v>0</v>
      </c>
      <c r="AO12" s="3">
        <v>44.7</v>
      </c>
      <c r="AP12" s="3">
        <v>0</v>
      </c>
      <c r="AQ12" s="3">
        <v>46</v>
      </c>
      <c r="AR12" s="3">
        <v>17.1</v>
      </c>
      <c r="AS12" s="3">
        <f t="shared" si="11"/>
        <v>257</v>
      </c>
      <c r="AT12" s="3">
        <f t="shared" si="12"/>
        <v>285.90000000000003</v>
      </c>
      <c r="AU12" s="15">
        <f aca="true" t="shared" si="15" ref="AU12:AU22">AT12/AS12*100</f>
        <v>111.24513618677044</v>
      </c>
      <c r="AV12" s="15">
        <f t="shared" si="13"/>
        <v>-28.900000000000034</v>
      </c>
      <c r="AW12" s="4">
        <f t="shared" si="14"/>
        <v>90.69999999999999</v>
      </c>
      <c r="AX12" s="101"/>
      <c r="AZ12" s="19"/>
    </row>
    <row r="13" spans="1:52" ht="24" customHeight="1">
      <c r="A13" s="100">
        <v>6</v>
      </c>
      <c r="B13" s="1" t="s">
        <v>14</v>
      </c>
      <c r="C13" s="2"/>
      <c r="D13" s="3"/>
      <c r="E13" s="3"/>
      <c r="F13" s="15"/>
      <c r="G13" s="3"/>
      <c r="H13" s="3"/>
      <c r="I13" s="15"/>
      <c r="J13" s="3"/>
      <c r="K13" s="3"/>
      <c r="L13" s="15"/>
      <c r="M13" s="3"/>
      <c r="N13" s="3"/>
      <c r="O13" s="15"/>
      <c r="P13" s="3"/>
      <c r="Q13" s="3"/>
      <c r="R13" s="15"/>
      <c r="S13" s="3"/>
      <c r="T13" s="3"/>
      <c r="U13" s="15"/>
      <c r="V13" s="3"/>
      <c r="W13" s="3"/>
      <c r="X13" s="15"/>
      <c r="Y13" s="3"/>
      <c r="Z13" s="3"/>
      <c r="AA13" s="15"/>
      <c r="AB13" s="3"/>
      <c r="AC13" s="3"/>
      <c r="AD13" s="15"/>
      <c r="AE13" s="3"/>
      <c r="AF13" s="3"/>
      <c r="AG13" s="30"/>
      <c r="AH13" s="3"/>
      <c r="AI13" s="3"/>
      <c r="AJ13" s="3"/>
      <c r="AK13" s="3"/>
      <c r="AL13" s="15"/>
      <c r="AM13" s="3"/>
      <c r="AN13" s="3"/>
      <c r="AO13" s="3"/>
      <c r="AP13" s="3"/>
      <c r="AQ13" s="3"/>
      <c r="AR13" s="3"/>
      <c r="AS13" s="3"/>
      <c r="AT13" s="3"/>
      <c r="AU13" s="15"/>
      <c r="AV13" s="15">
        <f>AS13-AT13</f>
        <v>0</v>
      </c>
      <c r="AW13" s="4">
        <f>C13+AS13-AT13</f>
        <v>0</v>
      </c>
      <c r="AX13" s="101"/>
      <c r="AZ13" s="19"/>
    </row>
    <row r="14" spans="1:52" ht="24" customHeight="1">
      <c r="A14" s="100">
        <v>7</v>
      </c>
      <c r="B14" s="1" t="s">
        <v>15</v>
      </c>
      <c r="C14" s="2"/>
      <c r="D14" s="23"/>
      <c r="E14" s="23"/>
      <c r="F14" s="30"/>
      <c r="G14" s="23"/>
      <c r="H14" s="23"/>
      <c r="I14" s="38"/>
      <c r="J14" s="23"/>
      <c r="K14" s="23"/>
      <c r="L14" s="38"/>
      <c r="M14" s="3"/>
      <c r="N14" s="3"/>
      <c r="O14" s="15"/>
      <c r="P14" s="23"/>
      <c r="Q14" s="23"/>
      <c r="R14" s="38"/>
      <c r="S14" s="23"/>
      <c r="T14" s="23"/>
      <c r="U14" s="38"/>
      <c r="V14" s="23"/>
      <c r="W14" s="23"/>
      <c r="X14" s="38"/>
      <c r="Y14" s="3"/>
      <c r="Z14" s="3"/>
      <c r="AA14" s="15"/>
      <c r="AB14" s="23"/>
      <c r="AC14" s="23"/>
      <c r="AD14" s="38"/>
      <c r="AE14" s="23"/>
      <c r="AF14" s="23"/>
      <c r="AG14" s="38"/>
      <c r="AH14" s="23"/>
      <c r="AI14" s="23"/>
      <c r="AJ14" s="3"/>
      <c r="AK14" s="3"/>
      <c r="AL14" s="15"/>
      <c r="AM14" s="23"/>
      <c r="AN14" s="23"/>
      <c r="AO14" s="23"/>
      <c r="AP14" s="23"/>
      <c r="AQ14" s="23"/>
      <c r="AR14" s="23"/>
      <c r="AS14" s="3"/>
      <c r="AT14" s="3"/>
      <c r="AU14" s="38"/>
      <c r="AV14" s="15"/>
      <c r="AW14" s="4"/>
      <c r="AX14" s="101"/>
      <c r="AZ14" s="19"/>
    </row>
    <row r="15" spans="1:52" ht="24" customHeight="1">
      <c r="A15" s="100">
        <v>8</v>
      </c>
      <c r="B15" s="1" t="s">
        <v>16</v>
      </c>
      <c r="C15" s="2">
        <v>185.2</v>
      </c>
      <c r="D15" s="3">
        <v>98.2</v>
      </c>
      <c r="E15" s="3">
        <v>82</v>
      </c>
      <c r="F15" s="15">
        <f t="shared" si="0"/>
        <v>83.50305498981669</v>
      </c>
      <c r="G15" s="3">
        <v>81.8</v>
      </c>
      <c r="H15" s="3">
        <v>0</v>
      </c>
      <c r="I15" s="15">
        <f t="shared" si="5"/>
        <v>0</v>
      </c>
      <c r="J15" s="3">
        <v>62.1</v>
      </c>
      <c r="K15" s="3">
        <v>106</v>
      </c>
      <c r="L15" s="15">
        <f aca="true" t="shared" si="16" ref="L15:L21">K15/J15*100</f>
        <v>170.69243156199678</v>
      </c>
      <c r="M15" s="3">
        <f t="shared" si="6"/>
        <v>242.1</v>
      </c>
      <c r="N15" s="3">
        <f t="shared" si="7"/>
        <v>188</v>
      </c>
      <c r="O15" s="15">
        <f t="shared" si="4"/>
        <v>77.65386204047914</v>
      </c>
      <c r="P15" s="3">
        <v>2.4</v>
      </c>
      <c r="Q15" s="3">
        <v>95.4</v>
      </c>
      <c r="R15" s="15">
        <f aca="true" t="shared" si="17" ref="R15:R21">Q15/P15*100</f>
        <v>3975.000000000001</v>
      </c>
      <c r="S15" s="3">
        <v>-2.3</v>
      </c>
      <c r="T15" s="3">
        <v>0</v>
      </c>
      <c r="U15" s="15">
        <f aca="true" t="shared" si="18" ref="U15:U21">T15/S15*100</f>
        <v>0</v>
      </c>
      <c r="V15" s="3">
        <v>0</v>
      </c>
      <c r="W15" s="3">
        <v>136.4</v>
      </c>
      <c r="X15" s="30" t="e">
        <f>W15/V15*100</f>
        <v>#DIV/0!</v>
      </c>
      <c r="Y15" s="3">
        <f>P15+S15+V15</f>
        <v>0.10000000000000009</v>
      </c>
      <c r="Z15" s="3">
        <f>Q15+T15+W15</f>
        <v>231.8</v>
      </c>
      <c r="AA15" s="15">
        <f>Z15/Y15*100</f>
        <v>231799.99999999983</v>
      </c>
      <c r="AB15" s="3">
        <v>0</v>
      </c>
      <c r="AC15" s="3">
        <v>0</v>
      </c>
      <c r="AD15" s="30" t="e">
        <f>AC15/AB15*100</f>
        <v>#DIV/0!</v>
      </c>
      <c r="AE15" s="3">
        <v>0</v>
      </c>
      <c r="AF15" s="3">
        <v>0</v>
      </c>
      <c r="AG15" s="15" t="e">
        <f t="shared" si="8"/>
        <v>#DIV/0!</v>
      </c>
      <c r="AH15" s="3">
        <v>0</v>
      </c>
      <c r="AI15" s="3">
        <v>7.6</v>
      </c>
      <c r="AJ15" s="3">
        <f t="shared" si="9"/>
        <v>0</v>
      </c>
      <c r="AK15" s="3">
        <f t="shared" si="10"/>
        <v>7.6</v>
      </c>
      <c r="AL15" s="15" t="e">
        <f>AK15/AJ15*100</f>
        <v>#DIV/0!</v>
      </c>
      <c r="AM15" s="3">
        <v>38</v>
      </c>
      <c r="AN15" s="3">
        <v>0</v>
      </c>
      <c r="AO15" s="3">
        <v>101.3</v>
      </c>
      <c r="AP15" s="3">
        <v>0</v>
      </c>
      <c r="AQ15" s="3">
        <v>86.7</v>
      </c>
      <c r="AR15" s="3">
        <v>38</v>
      </c>
      <c r="AS15" s="3">
        <f t="shared" si="11"/>
        <v>468.2</v>
      </c>
      <c r="AT15" s="3">
        <f t="shared" si="12"/>
        <v>465.40000000000003</v>
      </c>
      <c r="AU15" s="15">
        <f t="shared" si="15"/>
        <v>99.4019649722341</v>
      </c>
      <c r="AV15" s="15">
        <f t="shared" si="13"/>
        <v>2.7999999999999545</v>
      </c>
      <c r="AW15" s="4">
        <f t="shared" si="14"/>
        <v>187.99999999999994</v>
      </c>
      <c r="AX15" s="101"/>
      <c r="AZ15" s="19"/>
    </row>
    <row r="16" spans="1:52" ht="24" customHeight="1">
      <c r="A16" s="100">
        <v>9</v>
      </c>
      <c r="B16" s="1" t="s">
        <v>17</v>
      </c>
      <c r="C16" s="2"/>
      <c r="D16" s="23"/>
      <c r="E16" s="23"/>
      <c r="F16" s="38" t="e">
        <f t="shared" si="0"/>
        <v>#DIV/0!</v>
      </c>
      <c r="G16" s="23"/>
      <c r="H16" s="23"/>
      <c r="I16" s="38" t="e">
        <f t="shared" si="5"/>
        <v>#DIV/0!</v>
      </c>
      <c r="J16" s="23"/>
      <c r="K16" s="23"/>
      <c r="L16" s="38" t="e">
        <f t="shared" si="16"/>
        <v>#DIV/0!</v>
      </c>
      <c r="M16" s="3"/>
      <c r="N16" s="3"/>
      <c r="O16" s="15"/>
      <c r="P16" s="23"/>
      <c r="Q16" s="23"/>
      <c r="R16" s="38" t="e">
        <f t="shared" si="17"/>
        <v>#DIV/0!</v>
      </c>
      <c r="S16" s="23"/>
      <c r="T16" s="23"/>
      <c r="U16" s="38" t="e">
        <f t="shared" si="18"/>
        <v>#DIV/0!</v>
      </c>
      <c r="V16" s="23"/>
      <c r="W16" s="23"/>
      <c r="X16" s="38" t="e">
        <f>W16/V16*100</f>
        <v>#DIV/0!</v>
      </c>
      <c r="Y16" s="3"/>
      <c r="Z16" s="3"/>
      <c r="AA16" s="15"/>
      <c r="AB16" s="23"/>
      <c r="AC16" s="23"/>
      <c r="AD16" s="38" t="e">
        <f>AC16/AB16*100</f>
        <v>#DIV/0!</v>
      </c>
      <c r="AE16" s="23"/>
      <c r="AF16" s="23"/>
      <c r="AG16" s="38"/>
      <c r="AH16" s="23"/>
      <c r="AI16" s="23"/>
      <c r="AJ16" s="3"/>
      <c r="AK16" s="3"/>
      <c r="AL16" s="15"/>
      <c r="AM16" s="23"/>
      <c r="AN16" s="23"/>
      <c r="AO16" s="23"/>
      <c r="AP16" s="23"/>
      <c r="AQ16" s="23"/>
      <c r="AR16" s="23"/>
      <c r="AS16" s="3"/>
      <c r="AT16" s="3"/>
      <c r="AU16" s="38" t="e">
        <f t="shared" si="15"/>
        <v>#DIV/0!</v>
      </c>
      <c r="AV16" s="15"/>
      <c r="AW16" s="4"/>
      <c r="AX16" s="101"/>
      <c r="AZ16" s="19"/>
    </row>
    <row r="17" spans="1:52" ht="24" customHeight="1">
      <c r="A17" s="100">
        <v>10</v>
      </c>
      <c r="B17" s="16" t="s">
        <v>18</v>
      </c>
      <c r="C17" s="2">
        <v>202.9</v>
      </c>
      <c r="D17" s="3">
        <v>70.8</v>
      </c>
      <c r="E17" s="3">
        <v>56</v>
      </c>
      <c r="F17" s="15">
        <f t="shared" si="0"/>
        <v>79.09604519774011</v>
      </c>
      <c r="G17" s="3">
        <v>63.6</v>
      </c>
      <c r="H17" s="3">
        <v>0</v>
      </c>
      <c r="I17" s="15">
        <f t="shared" si="5"/>
        <v>0</v>
      </c>
      <c r="J17" s="3">
        <v>36.8</v>
      </c>
      <c r="K17" s="3">
        <v>0</v>
      </c>
      <c r="L17" s="15">
        <f t="shared" si="16"/>
        <v>0</v>
      </c>
      <c r="M17" s="3">
        <f t="shared" si="6"/>
        <v>171.2</v>
      </c>
      <c r="N17" s="3">
        <f t="shared" si="7"/>
        <v>56</v>
      </c>
      <c r="O17" s="15">
        <f t="shared" si="4"/>
        <v>32.71028037383178</v>
      </c>
      <c r="P17" s="3">
        <v>3.7</v>
      </c>
      <c r="Q17" s="3">
        <v>19.6</v>
      </c>
      <c r="R17" s="15">
        <f t="shared" si="17"/>
        <v>529.7297297297297</v>
      </c>
      <c r="S17" s="3">
        <v>0</v>
      </c>
      <c r="T17" s="3">
        <v>115.5</v>
      </c>
      <c r="U17" s="15"/>
      <c r="V17" s="3">
        <v>0</v>
      </c>
      <c r="W17" s="3">
        <v>165.3</v>
      </c>
      <c r="X17" s="15"/>
      <c r="Y17" s="3">
        <f aca="true" t="shared" si="19" ref="Y17:Z19">P17+S17+V17</f>
        <v>3.7</v>
      </c>
      <c r="Z17" s="3">
        <f t="shared" si="19"/>
        <v>300.4</v>
      </c>
      <c r="AA17" s="15">
        <f>Z17/Y17*100</f>
        <v>8118.918918918918</v>
      </c>
      <c r="AB17" s="3">
        <v>0</v>
      </c>
      <c r="AC17" s="3">
        <v>0</v>
      </c>
      <c r="AD17" s="15"/>
      <c r="AE17" s="3">
        <v>0</v>
      </c>
      <c r="AF17" s="3">
        <v>0</v>
      </c>
      <c r="AG17" s="15" t="e">
        <f>AF17/AE17*100</f>
        <v>#DIV/0!</v>
      </c>
      <c r="AH17" s="3">
        <v>0</v>
      </c>
      <c r="AI17" s="3">
        <v>0</v>
      </c>
      <c r="AJ17" s="3">
        <f t="shared" si="9"/>
        <v>0</v>
      </c>
      <c r="AK17" s="3">
        <f t="shared" si="10"/>
        <v>0</v>
      </c>
      <c r="AL17" s="15" t="e">
        <f>AK17/AJ17*100</f>
        <v>#DIV/0!</v>
      </c>
      <c r="AM17" s="3">
        <v>3.4</v>
      </c>
      <c r="AN17" s="3">
        <v>0</v>
      </c>
      <c r="AO17" s="3">
        <v>57.1</v>
      </c>
      <c r="AP17" s="3">
        <v>0</v>
      </c>
      <c r="AQ17" s="3">
        <v>54.5</v>
      </c>
      <c r="AR17" s="3">
        <v>0</v>
      </c>
      <c r="AS17" s="3">
        <f t="shared" si="11"/>
        <v>289.9</v>
      </c>
      <c r="AT17" s="3">
        <f t="shared" si="12"/>
        <v>356.4</v>
      </c>
      <c r="AU17" s="15">
        <f t="shared" si="15"/>
        <v>122.93894446360814</v>
      </c>
      <c r="AV17" s="15">
        <f t="shared" si="13"/>
        <v>-66.5</v>
      </c>
      <c r="AW17" s="4">
        <f t="shared" si="14"/>
        <v>136.39999999999998</v>
      </c>
      <c r="AX17" s="101"/>
      <c r="AZ17" s="19"/>
    </row>
    <row r="18" spans="1:52" ht="24" customHeight="1">
      <c r="A18" s="100">
        <v>11</v>
      </c>
      <c r="B18" s="16" t="s">
        <v>19</v>
      </c>
      <c r="C18" s="2">
        <v>8.8</v>
      </c>
      <c r="D18" s="3">
        <v>3.8</v>
      </c>
      <c r="E18" s="3">
        <v>4.9</v>
      </c>
      <c r="F18" s="15">
        <f t="shared" si="0"/>
        <v>128.94736842105266</v>
      </c>
      <c r="G18" s="3">
        <v>3.6</v>
      </c>
      <c r="H18" s="3"/>
      <c r="I18" s="15">
        <f t="shared" si="5"/>
        <v>0</v>
      </c>
      <c r="J18" s="3">
        <v>2.5</v>
      </c>
      <c r="K18" s="3">
        <v>3.9</v>
      </c>
      <c r="L18" s="15">
        <f t="shared" si="16"/>
        <v>156</v>
      </c>
      <c r="M18" s="3">
        <f t="shared" si="6"/>
        <v>9.9</v>
      </c>
      <c r="N18" s="3">
        <f t="shared" si="7"/>
        <v>8.8</v>
      </c>
      <c r="O18" s="15">
        <f t="shared" si="4"/>
        <v>88.8888888888889</v>
      </c>
      <c r="P18" s="3">
        <v>0</v>
      </c>
      <c r="Q18" s="3">
        <v>9.9</v>
      </c>
      <c r="R18" s="30" t="e">
        <f t="shared" si="17"/>
        <v>#DIV/0!</v>
      </c>
      <c r="S18" s="3">
        <v>0</v>
      </c>
      <c r="T18" s="3">
        <v>0</v>
      </c>
      <c r="U18" s="30" t="e">
        <f t="shared" si="18"/>
        <v>#DIV/0!</v>
      </c>
      <c r="V18" s="3">
        <v>0</v>
      </c>
      <c r="W18" s="3">
        <v>0</v>
      </c>
      <c r="X18" s="30" t="e">
        <f>W18/V18*100</f>
        <v>#DIV/0!</v>
      </c>
      <c r="Y18" s="3">
        <f t="shared" si="19"/>
        <v>0</v>
      </c>
      <c r="Z18" s="3">
        <f t="shared" si="19"/>
        <v>9.9</v>
      </c>
      <c r="AA18" s="30" t="e">
        <f>Z18/Y18*100</f>
        <v>#DIV/0!</v>
      </c>
      <c r="AB18" s="3">
        <v>0</v>
      </c>
      <c r="AC18" s="3">
        <v>0</v>
      </c>
      <c r="AD18" s="30" t="e">
        <f>AC18/AB18*100</f>
        <v>#DIV/0!</v>
      </c>
      <c r="AE18" s="3"/>
      <c r="AF18" s="3"/>
      <c r="AG18" s="30" t="e">
        <f>AF18/AE18*100</f>
        <v>#DIV/0!</v>
      </c>
      <c r="AH18" s="3"/>
      <c r="AI18" s="3"/>
      <c r="AJ18" s="3">
        <f t="shared" si="9"/>
        <v>0</v>
      </c>
      <c r="AK18" s="3">
        <f t="shared" si="10"/>
        <v>0</v>
      </c>
      <c r="AL18" s="30" t="e">
        <f>AK18/AJ18*100</f>
        <v>#DIV/0!</v>
      </c>
      <c r="AM18" s="3">
        <v>1</v>
      </c>
      <c r="AN18" s="3">
        <v>0</v>
      </c>
      <c r="AO18" s="3">
        <v>12.3</v>
      </c>
      <c r="AP18" s="3">
        <v>0</v>
      </c>
      <c r="AQ18" s="3">
        <v>16.4</v>
      </c>
      <c r="AR18" s="3">
        <v>0.9</v>
      </c>
      <c r="AS18" s="3">
        <f t="shared" si="11"/>
        <v>39.6</v>
      </c>
      <c r="AT18" s="3">
        <f t="shared" si="12"/>
        <v>19.6</v>
      </c>
      <c r="AU18" s="15">
        <f t="shared" si="15"/>
        <v>49.494949494949495</v>
      </c>
      <c r="AV18" s="15">
        <f t="shared" si="13"/>
        <v>20</v>
      </c>
      <c r="AW18" s="4">
        <f t="shared" si="14"/>
        <v>28.800000000000004</v>
      </c>
      <c r="AX18" s="101"/>
      <c r="AZ18" s="19"/>
    </row>
    <row r="19" spans="1:52" ht="24" customHeight="1">
      <c r="A19" s="100">
        <v>12</v>
      </c>
      <c r="B19" s="1" t="s">
        <v>20</v>
      </c>
      <c r="C19" s="2">
        <v>84</v>
      </c>
      <c r="D19" s="3">
        <v>58.3</v>
      </c>
      <c r="E19" s="3">
        <v>42.8</v>
      </c>
      <c r="F19" s="15">
        <f t="shared" si="0"/>
        <v>73.41337907375643</v>
      </c>
      <c r="G19" s="3">
        <v>51.6</v>
      </c>
      <c r="H19" s="3">
        <v>0</v>
      </c>
      <c r="I19" s="15">
        <f t="shared" si="5"/>
        <v>0</v>
      </c>
      <c r="J19" s="3">
        <v>37.7</v>
      </c>
      <c r="K19" s="3">
        <v>41.2</v>
      </c>
      <c r="L19" s="15">
        <f t="shared" si="16"/>
        <v>109.28381962864722</v>
      </c>
      <c r="M19" s="3">
        <f t="shared" si="6"/>
        <v>147.60000000000002</v>
      </c>
      <c r="N19" s="3">
        <f t="shared" si="7"/>
        <v>84</v>
      </c>
      <c r="O19" s="15">
        <f t="shared" si="4"/>
        <v>56.910569105691046</v>
      </c>
      <c r="P19" s="3">
        <v>0</v>
      </c>
      <c r="Q19" s="3">
        <v>0</v>
      </c>
      <c r="R19" s="30" t="e">
        <f t="shared" si="17"/>
        <v>#DIV/0!</v>
      </c>
      <c r="S19" s="3">
        <v>0</v>
      </c>
      <c r="T19" s="3">
        <v>0</v>
      </c>
      <c r="U19" s="30" t="e">
        <f t="shared" si="18"/>
        <v>#DIV/0!</v>
      </c>
      <c r="V19" s="3">
        <v>0</v>
      </c>
      <c r="W19" s="3">
        <v>0</v>
      </c>
      <c r="X19" s="30" t="e">
        <f>W19/V19*100</f>
        <v>#DIV/0!</v>
      </c>
      <c r="Y19" s="3">
        <f t="shared" si="19"/>
        <v>0</v>
      </c>
      <c r="Z19" s="3">
        <f t="shared" si="19"/>
        <v>0</v>
      </c>
      <c r="AA19" s="30" t="e">
        <f>Z19/Y19*100</f>
        <v>#DIV/0!</v>
      </c>
      <c r="AB19" s="3">
        <v>0</v>
      </c>
      <c r="AC19" s="3">
        <v>0</v>
      </c>
      <c r="AD19" s="30" t="e">
        <f>AC19/AB19*100</f>
        <v>#DIV/0!</v>
      </c>
      <c r="AE19" s="3">
        <v>0</v>
      </c>
      <c r="AF19" s="3">
        <v>0</v>
      </c>
      <c r="AG19" s="30" t="e">
        <f>AF19/AE19*100</f>
        <v>#DIV/0!</v>
      </c>
      <c r="AH19" s="3">
        <v>0</v>
      </c>
      <c r="AI19" s="3">
        <v>147.6</v>
      </c>
      <c r="AJ19" s="3">
        <f t="shared" si="9"/>
        <v>0</v>
      </c>
      <c r="AK19" s="3">
        <f t="shared" si="10"/>
        <v>147.6</v>
      </c>
      <c r="AL19" s="30" t="e">
        <f>AK19/AJ19*100</f>
        <v>#DIV/0!</v>
      </c>
      <c r="AM19" s="3">
        <v>13.5</v>
      </c>
      <c r="AN19" s="3">
        <v>0</v>
      </c>
      <c r="AO19" s="3">
        <v>54.6</v>
      </c>
      <c r="AP19" s="3">
        <v>0</v>
      </c>
      <c r="AQ19" s="3">
        <v>50.4</v>
      </c>
      <c r="AR19" s="3">
        <v>13.5</v>
      </c>
      <c r="AS19" s="3">
        <f t="shared" si="11"/>
        <v>266.1</v>
      </c>
      <c r="AT19" s="3">
        <f t="shared" si="12"/>
        <v>245.1</v>
      </c>
      <c r="AU19" s="15">
        <f t="shared" si="15"/>
        <v>92.10822998872604</v>
      </c>
      <c r="AV19" s="15">
        <f t="shared" si="13"/>
        <v>21.00000000000003</v>
      </c>
      <c r="AW19" s="4">
        <f t="shared" si="14"/>
        <v>105.00000000000003</v>
      </c>
      <c r="AX19" s="101"/>
      <c r="AZ19" s="19"/>
    </row>
    <row r="20" spans="1:52" ht="24" customHeight="1">
      <c r="A20" s="100">
        <v>13</v>
      </c>
      <c r="B20" s="16" t="s">
        <v>21</v>
      </c>
      <c r="C20" s="2"/>
      <c r="D20" s="23"/>
      <c r="E20" s="23"/>
      <c r="F20" s="38" t="e">
        <f t="shared" si="0"/>
        <v>#DIV/0!</v>
      </c>
      <c r="G20" s="23"/>
      <c r="H20" s="23"/>
      <c r="I20" s="38" t="e">
        <f t="shared" si="5"/>
        <v>#DIV/0!</v>
      </c>
      <c r="J20" s="23"/>
      <c r="K20" s="23"/>
      <c r="L20" s="38" t="e">
        <f t="shared" si="16"/>
        <v>#DIV/0!</v>
      </c>
      <c r="M20" s="3"/>
      <c r="N20" s="3"/>
      <c r="O20" s="15"/>
      <c r="P20" s="23"/>
      <c r="Q20" s="23"/>
      <c r="R20" s="38" t="e">
        <f t="shared" si="17"/>
        <v>#DIV/0!</v>
      </c>
      <c r="S20" s="23"/>
      <c r="T20" s="23"/>
      <c r="U20" s="38" t="e">
        <f t="shared" si="18"/>
        <v>#DIV/0!</v>
      </c>
      <c r="V20" s="23"/>
      <c r="W20" s="23"/>
      <c r="X20" s="38" t="e">
        <f>W20/V20*100</f>
        <v>#DIV/0!</v>
      </c>
      <c r="Y20" s="3"/>
      <c r="Z20" s="3"/>
      <c r="AA20" s="15"/>
      <c r="AB20" s="23"/>
      <c r="AC20" s="23"/>
      <c r="AD20" s="38" t="e">
        <f>AC20/AB20*100</f>
        <v>#DIV/0!</v>
      </c>
      <c r="AE20" s="23"/>
      <c r="AF20" s="23"/>
      <c r="AG20" s="38"/>
      <c r="AH20" s="23"/>
      <c r="AI20" s="23"/>
      <c r="AJ20" s="3"/>
      <c r="AK20" s="3"/>
      <c r="AL20" s="15"/>
      <c r="AM20" s="23"/>
      <c r="AN20" s="23"/>
      <c r="AO20" s="23"/>
      <c r="AP20" s="23"/>
      <c r="AQ20" s="23"/>
      <c r="AR20" s="23"/>
      <c r="AS20" s="3"/>
      <c r="AT20" s="3"/>
      <c r="AU20" s="38" t="e">
        <f t="shared" si="15"/>
        <v>#DIV/0!</v>
      </c>
      <c r="AV20" s="15"/>
      <c r="AW20" s="4"/>
      <c r="AX20" s="101"/>
      <c r="AZ20" s="19"/>
    </row>
    <row r="21" spans="1:52" ht="24" customHeight="1">
      <c r="A21" s="100">
        <v>14</v>
      </c>
      <c r="B21" s="16" t="s">
        <v>22</v>
      </c>
      <c r="C21" s="2"/>
      <c r="D21" s="23"/>
      <c r="E21" s="23"/>
      <c r="F21" s="38" t="e">
        <f t="shared" si="0"/>
        <v>#DIV/0!</v>
      </c>
      <c r="G21" s="23"/>
      <c r="H21" s="23"/>
      <c r="I21" s="38" t="e">
        <f t="shared" si="5"/>
        <v>#DIV/0!</v>
      </c>
      <c r="J21" s="23"/>
      <c r="K21" s="23"/>
      <c r="L21" s="38" t="e">
        <f t="shared" si="16"/>
        <v>#DIV/0!</v>
      </c>
      <c r="M21" s="3"/>
      <c r="N21" s="3"/>
      <c r="O21" s="15"/>
      <c r="P21" s="23"/>
      <c r="Q21" s="23"/>
      <c r="R21" s="38" t="e">
        <f t="shared" si="17"/>
        <v>#DIV/0!</v>
      </c>
      <c r="S21" s="23"/>
      <c r="T21" s="23"/>
      <c r="U21" s="38" t="e">
        <f t="shared" si="18"/>
        <v>#DIV/0!</v>
      </c>
      <c r="V21" s="23"/>
      <c r="W21" s="23"/>
      <c r="X21" s="38" t="e">
        <f>W21/V21*100</f>
        <v>#DIV/0!</v>
      </c>
      <c r="Y21" s="3"/>
      <c r="Z21" s="3"/>
      <c r="AA21" s="15"/>
      <c r="AB21" s="23"/>
      <c r="AC21" s="23"/>
      <c r="AD21" s="38" t="e">
        <f>AC21/AB21*100</f>
        <v>#DIV/0!</v>
      </c>
      <c r="AE21" s="23"/>
      <c r="AF21" s="23"/>
      <c r="AG21" s="38"/>
      <c r="AH21" s="23"/>
      <c r="AI21" s="23"/>
      <c r="AJ21" s="3"/>
      <c r="AK21" s="3"/>
      <c r="AL21" s="15"/>
      <c r="AM21" s="23"/>
      <c r="AN21" s="23"/>
      <c r="AO21" s="23"/>
      <c r="AP21" s="23"/>
      <c r="AQ21" s="23"/>
      <c r="AR21" s="23"/>
      <c r="AS21" s="3"/>
      <c r="AT21" s="3"/>
      <c r="AU21" s="38" t="e">
        <f t="shared" si="15"/>
        <v>#DIV/0!</v>
      </c>
      <c r="AV21" s="15"/>
      <c r="AW21" s="4"/>
      <c r="AX21" s="101"/>
      <c r="AZ21" s="19"/>
    </row>
    <row r="22" spans="1:52" ht="36.75" customHeight="1">
      <c r="A22" s="100">
        <v>15</v>
      </c>
      <c r="B22" s="16" t="s">
        <v>23</v>
      </c>
      <c r="C22" s="2"/>
      <c r="D22" s="23"/>
      <c r="E22" s="23"/>
      <c r="F22" s="38" t="e">
        <f t="shared" si="0"/>
        <v>#DIV/0!</v>
      </c>
      <c r="G22" s="23"/>
      <c r="H22" s="23"/>
      <c r="I22" s="38" t="e">
        <f>H22/G22*100</f>
        <v>#DIV/0!</v>
      </c>
      <c r="J22" s="23"/>
      <c r="K22" s="23"/>
      <c r="L22" s="38" t="e">
        <f>K22/J22*100</f>
        <v>#DIV/0!</v>
      </c>
      <c r="M22" s="3"/>
      <c r="N22" s="3"/>
      <c r="O22" s="15"/>
      <c r="P22" s="23"/>
      <c r="Q22" s="23"/>
      <c r="R22" s="38" t="e">
        <f>Q22/P22*100</f>
        <v>#DIV/0!</v>
      </c>
      <c r="S22" s="23"/>
      <c r="T22" s="23"/>
      <c r="U22" s="38" t="e">
        <f>T22/S22*100</f>
        <v>#DIV/0!</v>
      </c>
      <c r="V22" s="23"/>
      <c r="W22" s="23"/>
      <c r="X22" s="38" t="e">
        <f>W22/V22*100</f>
        <v>#DIV/0!</v>
      </c>
      <c r="Y22" s="3"/>
      <c r="Z22" s="3"/>
      <c r="AA22" s="15"/>
      <c r="AB22" s="23"/>
      <c r="AC22" s="23"/>
      <c r="AD22" s="38" t="e">
        <f>AC22/AB22*100</f>
        <v>#DIV/0!</v>
      </c>
      <c r="AE22" s="23"/>
      <c r="AF22" s="23"/>
      <c r="AG22" s="38"/>
      <c r="AH22" s="23"/>
      <c r="AI22" s="23"/>
      <c r="AJ22" s="3"/>
      <c r="AK22" s="3"/>
      <c r="AL22" s="15"/>
      <c r="AM22" s="23"/>
      <c r="AN22" s="23"/>
      <c r="AO22" s="23"/>
      <c r="AP22" s="23"/>
      <c r="AQ22" s="23"/>
      <c r="AR22" s="23"/>
      <c r="AS22" s="3"/>
      <c r="AT22" s="3"/>
      <c r="AU22" s="38" t="e">
        <f t="shared" si="15"/>
        <v>#DIV/0!</v>
      </c>
      <c r="AV22" s="15"/>
      <c r="AW22" s="4"/>
      <c r="AX22" s="101"/>
      <c r="AZ22" s="19"/>
    </row>
    <row r="23" spans="1:52" ht="24" customHeight="1">
      <c r="A23" s="100">
        <v>16</v>
      </c>
      <c r="B23" s="16" t="s">
        <v>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3"/>
      <c r="N23" s="3"/>
      <c r="O23" s="15"/>
      <c r="P23" s="92"/>
      <c r="Q23" s="92"/>
      <c r="R23" s="92"/>
      <c r="S23" s="92"/>
      <c r="T23" s="92"/>
      <c r="U23" s="92"/>
      <c r="V23" s="92"/>
      <c r="W23" s="92"/>
      <c r="X23" s="92"/>
      <c r="Y23" s="3"/>
      <c r="Z23" s="3"/>
      <c r="AA23" s="15"/>
      <c r="AB23" s="92"/>
      <c r="AC23" s="92"/>
      <c r="AD23" s="92"/>
      <c r="AE23" s="92"/>
      <c r="AF23" s="92"/>
      <c r="AG23" s="92"/>
      <c r="AH23" s="92"/>
      <c r="AI23" s="92"/>
      <c r="AJ23" s="3"/>
      <c r="AK23" s="3"/>
      <c r="AL23" s="15"/>
      <c r="AM23" s="92"/>
      <c r="AN23" s="92"/>
      <c r="AO23" s="92"/>
      <c r="AP23" s="92"/>
      <c r="AQ23" s="92"/>
      <c r="AR23" s="92"/>
      <c r="AS23" s="3"/>
      <c r="AT23" s="3"/>
      <c r="AU23" s="92"/>
      <c r="AV23" s="15"/>
      <c r="AW23" s="4"/>
      <c r="AX23" s="101"/>
      <c r="AZ23" s="19"/>
    </row>
    <row r="24" spans="1:52" ht="36.75" customHeight="1">
      <c r="A24" s="100">
        <v>17</v>
      </c>
      <c r="B24" s="16" t="s">
        <v>24</v>
      </c>
      <c r="C24" s="2">
        <v>477.7</v>
      </c>
      <c r="D24" s="3">
        <v>169.7</v>
      </c>
      <c r="E24" s="3">
        <v>299.1</v>
      </c>
      <c r="F24" s="15">
        <f t="shared" si="0"/>
        <v>176.25220978196822</v>
      </c>
      <c r="G24" s="3">
        <v>156.9</v>
      </c>
      <c r="H24" s="3">
        <v>0</v>
      </c>
      <c r="I24" s="15">
        <f>H24/G24*100</f>
        <v>0</v>
      </c>
      <c r="J24" s="3">
        <v>89</v>
      </c>
      <c r="K24" s="3">
        <v>174.1</v>
      </c>
      <c r="L24" s="15">
        <f>K24/J24*100</f>
        <v>195.61797752808988</v>
      </c>
      <c r="M24" s="3">
        <f t="shared" si="6"/>
        <v>415.6</v>
      </c>
      <c r="N24" s="3">
        <f t="shared" si="7"/>
        <v>473.20000000000005</v>
      </c>
      <c r="O24" s="15">
        <f t="shared" si="4"/>
        <v>113.8594802694899</v>
      </c>
      <c r="P24" s="3">
        <v>1.7</v>
      </c>
      <c r="Q24" s="3">
        <v>0</v>
      </c>
      <c r="R24" s="15">
        <f>Q24/P24*100</f>
        <v>0</v>
      </c>
      <c r="S24" s="3">
        <v>-6</v>
      </c>
      <c r="T24" s="3">
        <v>0</v>
      </c>
      <c r="U24" s="15">
        <f>T24/S24*100</f>
        <v>0</v>
      </c>
      <c r="V24" s="3">
        <v>0</v>
      </c>
      <c r="W24" s="3">
        <v>257.9</v>
      </c>
      <c r="X24" s="30" t="e">
        <f>W24/V24*100</f>
        <v>#DIV/0!</v>
      </c>
      <c r="Y24" s="3">
        <f>P24+S24+V24</f>
        <v>-4.3</v>
      </c>
      <c r="Z24" s="3">
        <f>Q24+T24+W24</f>
        <v>257.9</v>
      </c>
      <c r="AA24" s="15">
        <f>Z24/Y24*100</f>
        <v>-5997.674418604651</v>
      </c>
      <c r="AB24" s="3">
        <v>0</v>
      </c>
      <c r="AC24" s="3">
        <v>0</v>
      </c>
      <c r="AD24" s="30" t="e">
        <f>AC24/AB24*100</f>
        <v>#DIV/0!</v>
      </c>
      <c r="AE24" s="3">
        <v>0</v>
      </c>
      <c r="AF24" s="3">
        <v>0</v>
      </c>
      <c r="AG24" s="15" t="e">
        <f>AF24/AE24*100</f>
        <v>#DIV/0!</v>
      </c>
      <c r="AH24" s="3">
        <v>0</v>
      </c>
      <c r="AI24" s="3">
        <v>157.9</v>
      </c>
      <c r="AJ24" s="3">
        <f t="shared" si="9"/>
        <v>0</v>
      </c>
      <c r="AK24" s="3">
        <f t="shared" si="10"/>
        <v>157.9</v>
      </c>
      <c r="AL24" s="15" t="e">
        <f>AK24/AJ24*100</f>
        <v>#DIV/0!</v>
      </c>
      <c r="AM24" s="3">
        <v>43.8</v>
      </c>
      <c r="AN24" s="3">
        <v>0</v>
      </c>
      <c r="AO24" s="3">
        <v>149.1</v>
      </c>
      <c r="AP24" s="3">
        <v>0</v>
      </c>
      <c r="AQ24" s="3">
        <v>158.7</v>
      </c>
      <c r="AR24" s="3">
        <v>43.8</v>
      </c>
      <c r="AS24" s="3">
        <f t="shared" si="11"/>
        <v>762.9000000000001</v>
      </c>
      <c r="AT24" s="3">
        <f t="shared" si="12"/>
        <v>932.8</v>
      </c>
      <c r="AU24" s="15">
        <f>AT24/AS24*100</f>
        <v>122.27028444094898</v>
      </c>
      <c r="AV24" s="15">
        <f t="shared" si="13"/>
        <v>-169.89999999999986</v>
      </c>
      <c r="AW24" s="4">
        <f t="shared" si="14"/>
        <v>307.8000000000002</v>
      </c>
      <c r="AX24" s="101"/>
      <c r="AZ24" s="19"/>
    </row>
    <row r="25" spans="1:52" ht="24" customHeight="1">
      <c r="A25" s="100">
        <v>18</v>
      </c>
      <c r="B25" s="1" t="s">
        <v>25</v>
      </c>
      <c r="C25" s="2"/>
      <c r="D25" s="23"/>
      <c r="E25" s="23"/>
      <c r="F25" s="38" t="e">
        <f t="shared" si="0"/>
        <v>#DIV/0!</v>
      </c>
      <c r="G25" s="23"/>
      <c r="H25" s="23"/>
      <c r="I25" s="38" t="e">
        <f>H25/G25*100</f>
        <v>#DIV/0!</v>
      </c>
      <c r="J25" s="23"/>
      <c r="K25" s="23"/>
      <c r="L25" s="38" t="e">
        <f>K25/J25*100</f>
        <v>#DIV/0!</v>
      </c>
      <c r="M25" s="3"/>
      <c r="N25" s="3"/>
      <c r="O25" s="15"/>
      <c r="P25" s="23"/>
      <c r="Q25" s="23"/>
      <c r="R25" s="38" t="e">
        <f>Q25/P25*100</f>
        <v>#DIV/0!</v>
      </c>
      <c r="S25" s="23"/>
      <c r="T25" s="23"/>
      <c r="U25" s="38" t="e">
        <f>T25/S25*100</f>
        <v>#DIV/0!</v>
      </c>
      <c r="V25" s="23"/>
      <c r="W25" s="23"/>
      <c r="X25" s="38" t="e">
        <f>W25/V25*100</f>
        <v>#DIV/0!</v>
      </c>
      <c r="Y25" s="3"/>
      <c r="Z25" s="3"/>
      <c r="AA25" s="15"/>
      <c r="AB25" s="23"/>
      <c r="AC25" s="23"/>
      <c r="AD25" s="38" t="e">
        <f>AC25/AB25*100</f>
        <v>#DIV/0!</v>
      </c>
      <c r="AE25" s="23"/>
      <c r="AF25" s="23"/>
      <c r="AG25" s="15"/>
      <c r="AH25" s="23"/>
      <c r="AI25" s="23"/>
      <c r="AJ25" s="3"/>
      <c r="AK25" s="3"/>
      <c r="AL25" s="15"/>
      <c r="AM25" s="23"/>
      <c r="AN25" s="23"/>
      <c r="AO25" s="23"/>
      <c r="AP25" s="23"/>
      <c r="AQ25" s="23"/>
      <c r="AR25" s="23"/>
      <c r="AS25" s="3"/>
      <c r="AT25" s="3"/>
      <c r="AU25" s="38"/>
      <c r="AV25" s="15"/>
      <c r="AW25" s="4"/>
      <c r="AX25" s="101"/>
      <c r="AZ25" s="19"/>
    </row>
    <row r="26" spans="1:52" ht="24" customHeight="1">
      <c r="A26" s="100">
        <v>19</v>
      </c>
      <c r="B26" s="16" t="s">
        <v>26</v>
      </c>
      <c r="C26" s="2">
        <v>139</v>
      </c>
      <c r="D26" s="3">
        <v>51.6</v>
      </c>
      <c r="E26" s="3">
        <v>40.4</v>
      </c>
      <c r="F26" s="15">
        <f t="shared" si="0"/>
        <v>78.29457364341084</v>
      </c>
      <c r="G26" s="3">
        <v>49.1</v>
      </c>
      <c r="H26" s="3">
        <v>0</v>
      </c>
      <c r="I26" s="15">
        <f>H26/G26*100</f>
        <v>0</v>
      </c>
      <c r="J26" s="3">
        <v>22.8</v>
      </c>
      <c r="K26" s="3">
        <v>0</v>
      </c>
      <c r="L26" s="15">
        <f>K26/J26*100</f>
        <v>0</v>
      </c>
      <c r="M26" s="3">
        <f t="shared" si="6"/>
        <v>123.5</v>
      </c>
      <c r="N26" s="3">
        <f t="shared" si="7"/>
        <v>40.4</v>
      </c>
      <c r="O26" s="15">
        <f t="shared" si="4"/>
        <v>32.71255060728745</v>
      </c>
      <c r="P26" s="3">
        <v>-2</v>
      </c>
      <c r="Q26" s="3">
        <v>115</v>
      </c>
      <c r="R26" s="15">
        <f>Q26/P26*100</f>
        <v>-5750</v>
      </c>
      <c r="S26" s="3">
        <v>1.1</v>
      </c>
      <c r="T26" s="3">
        <v>84.3</v>
      </c>
      <c r="U26" s="15">
        <f>T26/S26*100</f>
        <v>7663.636363636362</v>
      </c>
      <c r="V26" s="3">
        <v>0</v>
      </c>
      <c r="W26" s="3">
        <v>0</v>
      </c>
      <c r="X26" s="30" t="e">
        <f>W26/V26*100</f>
        <v>#DIV/0!</v>
      </c>
      <c r="Y26" s="3">
        <f>P26+S26+V26</f>
        <v>-0.8999999999999999</v>
      </c>
      <c r="Z26" s="3">
        <f>Q26+T26+W26</f>
        <v>199.3</v>
      </c>
      <c r="AA26" s="15">
        <f>Z26/Y26*100</f>
        <v>-22144.44444444445</v>
      </c>
      <c r="AB26" s="3">
        <v>0</v>
      </c>
      <c r="AC26" s="3">
        <v>0</v>
      </c>
      <c r="AD26" s="30" t="e">
        <f>AC26/AB26*100</f>
        <v>#DIV/0!</v>
      </c>
      <c r="AE26" s="3">
        <v>0</v>
      </c>
      <c r="AF26" s="3">
        <v>0</v>
      </c>
      <c r="AG26" s="30" t="e">
        <f>AF26/AE26*100</f>
        <v>#DIV/0!</v>
      </c>
      <c r="AH26" s="3">
        <v>0</v>
      </c>
      <c r="AI26" s="3">
        <v>0</v>
      </c>
      <c r="AJ26" s="3">
        <f t="shared" si="9"/>
        <v>0</v>
      </c>
      <c r="AK26" s="3">
        <f t="shared" si="10"/>
        <v>0</v>
      </c>
      <c r="AL26" s="15" t="e">
        <f>AK26/AJ26*100</f>
        <v>#DIV/0!</v>
      </c>
      <c r="AM26" s="3">
        <v>6.6</v>
      </c>
      <c r="AN26" s="3">
        <v>0</v>
      </c>
      <c r="AO26" s="3">
        <v>46.6</v>
      </c>
      <c r="AP26" s="3">
        <v>21.8</v>
      </c>
      <c r="AQ26" s="3">
        <v>45.8</v>
      </c>
      <c r="AR26" s="3">
        <v>6.6</v>
      </c>
      <c r="AS26" s="3">
        <f t="shared" si="11"/>
        <v>221.59999999999997</v>
      </c>
      <c r="AT26" s="3">
        <f t="shared" si="12"/>
        <v>268.1</v>
      </c>
      <c r="AU26" s="15">
        <f>AT26/AS26*100</f>
        <v>120.98375451263541</v>
      </c>
      <c r="AV26" s="15">
        <f t="shared" si="13"/>
        <v>-46.50000000000006</v>
      </c>
      <c r="AW26" s="4">
        <f t="shared" si="14"/>
        <v>92.49999999999994</v>
      </c>
      <c r="AX26" s="101"/>
      <c r="AZ26" s="19"/>
    </row>
    <row r="27" spans="1:52" ht="36.75" customHeight="1">
      <c r="A27" s="100">
        <v>20</v>
      </c>
      <c r="B27" s="16" t="s">
        <v>93</v>
      </c>
      <c r="C27" s="2">
        <v>173.3</v>
      </c>
      <c r="D27" s="3">
        <v>76.8</v>
      </c>
      <c r="E27" s="3">
        <v>173.3</v>
      </c>
      <c r="F27" s="15">
        <f t="shared" si="0"/>
        <v>225.65104166666669</v>
      </c>
      <c r="G27" s="3">
        <v>89.4</v>
      </c>
      <c r="H27" s="3">
        <v>0</v>
      </c>
      <c r="I27" s="15">
        <f>H27/G27*100</f>
        <v>0</v>
      </c>
      <c r="J27" s="3">
        <v>47.8</v>
      </c>
      <c r="K27" s="3">
        <v>166.2</v>
      </c>
      <c r="L27" s="15">
        <f>K27/J27*100</f>
        <v>347.69874476987445</v>
      </c>
      <c r="M27" s="3">
        <f t="shared" si="6"/>
        <v>214</v>
      </c>
      <c r="N27" s="3">
        <f t="shared" si="7"/>
        <v>339.5</v>
      </c>
      <c r="O27" s="15">
        <f t="shared" si="4"/>
        <v>158.6448598130841</v>
      </c>
      <c r="P27" s="3">
        <v>-1.1</v>
      </c>
      <c r="Q27" s="3">
        <v>44.7</v>
      </c>
      <c r="R27" s="15">
        <f>Q27/P27*100</f>
        <v>-4063.6363636363635</v>
      </c>
      <c r="S27" s="3">
        <v>0</v>
      </c>
      <c r="T27" s="3">
        <v>0</v>
      </c>
      <c r="U27" s="15"/>
      <c r="V27" s="3">
        <v>0</v>
      </c>
      <c r="W27" s="3">
        <v>0</v>
      </c>
      <c r="X27" s="15"/>
      <c r="Y27" s="3">
        <f>P27+S27+V27</f>
        <v>-1.1</v>
      </c>
      <c r="Z27" s="3">
        <f>Q27+T27+W27</f>
        <v>44.7</v>
      </c>
      <c r="AA27" s="15">
        <f>Z27/Y27*100</f>
        <v>-4063.6363636363635</v>
      </c>
      <c r="AB27" s="3">
        <v>0</v>
      </c>
      <c r="AC27" s="3">
        <v>0</v>
      </c>
      <c r="AD27" s="15"/>
      <c r="AE27" s="3">
        <v>0</v>
      </c>
      <c r="AF27" s="3">
        <v>2</v>
      </c>
      <c r="AG27" s="30" t="e">
        <f>AF27/AE27*100</f>
        <v>#DIV/0!</v>
      </c>
      <c r="AH27" s="3">
        <v>0</v>
      </c>
      <c r="AI27" s="3">
        <v>0</v>
      </c>
      <c r="AJ27" s="3">
        <f t="shared" si="9"/>
        <v>0</v>
      </c>
      <c r="AK27" s="3">
        <f t="shared" si="10"/>
        <v>2</v>
      </c>
      <c r="AL27" s="15" t="e">
        <f>AK27/AJ27*100</f>
        <v>#DIV/0!</v>
      </c>
      <c r="AM27" s="3">
        <v>21.9</v>
      </c>
      <c r="AN27" s="3">
        <v>0</v>
      </c>
      <c r="AO27" s="3">
        <v>60.9</v>
      </c>
      <c r="AP27" s="3">
        <v>0</v>
      </c>
      <c r="AQ27" s="3">
        <v>76.4</v>
      </c>
      <c r="AR27" s="3">
        <v>0</v>
      </c>
      <c r="AS27" s="3">
        <f t="shared" si="11"/>
        <v>372.1</v>
      </c>
      <c r="AT27" s="3">
        <f t="shared" si="12"/>
        <v>386.2</v>
      </c>
      <c r="AU27" s="15">
        <f>AT27/AS27*100</f>
        <v>103.78930395055093</v>
      </c>
      <c r="AV27" s="15">
        <f t="shared" si="13"/>
        <v>-14.099999999999966</v>
      </c>
      <c r="AW27" s="4">
        <f t="shared" si="14"/>
        <v>159.2000000000001</v>
      </c>
      <c r="AX27" s="101"/>
      <c r="AZ27" s="19"/>
    </row>
    <row r="28" spans="1:52" ht="36.75" customHeight="1">
      <c r="A28" s="100">
        <v>21</v>
      </c>
      <c r="B28" s="1" t="s">
        <v>27</v>
      </c>
      <c r="C28" s="2"/>
      <c r="D28" s="46"/>
      <c r="E28" s="46"/>
      <c r="F28" s="15"/>
      <c r="G28" s="23"/>
      <c r="H28" s="23"/>
      <c r="I28" s="38" t="e">
        <f>H28/G28*100</f>
        <v>#DIV/0!</v>
      </c>
      <c r="J28" s="23"/>
      <c r="K28" s="23"/>
      <c r="L28" s="38" t="e">
        <f>K28/J28*100</f>
        <v>#DIV/0!</v>
      </c>
      <c r="M28" s="3"/>
      <c r="N28" s="3"/>
      <c r="O28" s="15"/>
      <c r="P28" s="23"/>
      <c r="Q28" s="23"/>
      <c r="R28" s="38" t="e">
        <f>Q28/P28*100</f>
        <v>#DIV/0!</v>
      </c>
      <c r="S28" s="23"/>
      <c r="T28" s="23"/>
      <c r="U28" s="38" t="e">
        <f>T28/S28*100</f>
        <v>#DIV/0!</v>
      </c>
      <c r="V28" s="23"/>
      <c r="W28" s="23"/>
      <c r="X28" s="38" t="e">
        <f>W28/V28*100</f>
        <v>#DIV/0!</v>
      </c>
      <c r="Y28" s="3"/>
      <c r="Z28" s="3"/>
      <c r="AA28" s="15"/>
      <c r="AB28" s="23"/>
      <c r="AC28" s="23"/>
      <c r="AD28" s="38" t="e">
        <f>AC28/AB28*100</f>
        <v>#DIV/0!</v>
      </c>
      <c r="AE28" s="23"/>
      <c r="AF28" s="23"/>
      <c r="AG28" s="38"/>
      <c r="AH28" s="23"/>
      <c r="AI28" s="23"/>
      <c r="AJ28" s="3"/>
      <c r="AK28" s="3"/>
      <c r="AL28" s="15"/>
      <c r="AM28" s="23"/>
      <c r="AN28" s="23"/>
      <c r="AO28" s="23"/>
      <c r="AP28" s="23"/>
      <c r="AQ28" s="23"/>
      <c r="AR28" s="23"/>
      <c r="AS28" s="3"/>
      <c r="AT28" s="3"/>
      <c r="AU28" s="15"/>
      <c r="AV28" s="15"/>
      <c r="AW28" s="4"/>
      <c r="AX28" s="101"/>
      <c r="AZ28" s="19"/>
    </row>
    <row r="29" spans="1:52" ht="24" customHeight="1">
      <c r="A29" s="100">
        <v>22</v>
      </c>
      <c r="B29" s="1" t="s">
        <v>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"/>
      <c r="N29" s="3"/>
      <c r="O29" s="15"/>
      <c r="P29" s="38"/>
      <c r="Q29" s="38"/>
      <c r="R29" s="38"/>
      <c r="S29" s="38"/>
      <c r="T29" s="38"/>
      <c r="U29" s="38"/>
      <c r="V29" s="38"/>
      <c r="W29" s="38"/>
      <c r="X29" s="38"/>
      <c r="Y29" s="3"/>
      <c r="Z29" s="3"/>
      <c r="AA29" s="15"/>
      <c r="AB29" s="38"/>
      <c r="AC29" s="38"/>
      <c r="AD29" s="38"/>
      <c r="AE29" s="48"/>
      <c r="AF29" s="48"/>
      <c r="AG29" s="48"/>
      <c r="AH29" s="48"/>
      <c r="AI29" s="48"/>
      <c r="AJ29" s="3"/>
      <c r="AK29" s="3"/>
      <c r="AL29" s="15"/>
      <c r="AM29" s="48"/>
      <c r="AN29" s="48"/>
      <c r="AO29" s="48"/>
      <c r="AP29" s="48"/>
      <c r="AQ29" s="48"/>
      <c r="AR29" s="48"/>
      <c r="AS29" s="3"/>
      <c r="AT29" s="3"/>
      <c r="AU29" s="38"/>
      <c r="AV29" s="15"/>
      <c r="AW29" s="4"/>
      <c r="AX29" s="101"/>
      <c r="AZ29" s="19"/>
    </row>
    <row r="30" spans="1:52" ht="24" customHeight="1">
      <c r="A30" s="100">
        <v>23</v>
      </c>
      <c r="B30" s="16" t="s">
        <v>3</v>
      </c>
      <c r="C30" s="2"/>
      <c r="D30" s="23"/>
      <c r="E30" s="23"/>
      <c r="F30" s="38" t="e">
        <f t="shared" si="0"/>
        <v>#DIV/0!</v>
      </c>
      <c r="G30" s="23"/>
      <c r="H30" s="23"/>
      <c r="I30" s="38" t="e">
        <f>H30/G30*100</f>
        <v>#DIV/0!</v>
      </c>
      <c r="J30" s="23"/>
      <c r="K30" s="23"/>
      <c r="L30" s="38" t="e">
        <f>K30/J30*100</f>
        <v>#DIV/0!</v>
      </c>
      <c r="M30" s="3"/>
      <c r="N30" s="3"/>
      <c r="O30" s="15"/>
      <c r="P30" s="23"/>
      <c r="Q30" s="23"/>
      <c r="R30" s="38" t="e">
        <f>Q30/P30*100</f>
        <v>#DIV/0!</v>
      </c>
      <c r="S30" s="23"/>
      <c r="T30" s="23"/>
      <c r="U30" s="38" t="e">
        <f>T30/S30*100</f>
        <v>#DIV/0!</v>
      </c>
      <c r="V30" s="23"/>
      <c r="W30" s="23"/>
      <c r="X30" s="38" t="e">
        <f>W30/V30*100</f>
        <v>#DIV/0!</v>
      </c>
      <c r="Y30" s="3"/>
      <c r="Z30" s="3"/>
      <c r="AA30" s="15"/>
      <c r="AB30" s="23"/>
      <c r="AC30" s="23"/>
      <c r="AD30" s="38" t="e">
        <f>AC30/AB30*100</f>
        <v>#DIV/0!</v>
      </c>
      <c r="AE30" s="48"/>
      <c r="AF30" s="48"/>
      <c r="AG30" s="48"/>
      <c r="AH30" s="48"/>
      <c r="AI30" s="48"/>
      <c r="AJ30" s="3"/>
      <c r="AK30" s="3"/>
      <c r="AL30" s="15"/>
      <c r="AM30" s="48"/>
      <c r="AN30" s="48"/>
      <c r="AO30" s="48"/>
      <c r="AP30" s="48"/>
      <c r="AQ30" s="48"/>
      <c r="AR30" s="48"/>
      <c r="AS30" s="3"/>
      <c r="AT30" s="3"/>
      <c r="AU30" s="48"/>
      <c r="AV30" s="15"/>
      <c r="AW30" s="4"/>
      <c r="AX30" s="101"/>
      <c r="AZ30" s="19"/>
    </row>
    <row r="31" spans="1:52" ht="24" customHeight="1">
      <c r="A31" s="100">
        <v>24</v>
      </c>
      <c r="B31" s="16" t="s">
        <v>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"/>
      <c r="N31" s="3"/>
      <c r="O31" s="15"/>
      <c r="P31" s="38"/>
      <c r="Q31" s="38"/>
      <c r="R31" s="38"/>
      <c r="S31" s="38"/>
      <c r="T31" s="38"/>
      <c r="U31" s="38"/>
      <c r="V31" s="38"/>
      <c r="W31" s="38"/>
      <c r="X31" s="38"/>
      <c r="Y31" s="3"/>
      <c r="Z31" s="3"/>
      <c r="AA31" s="15"/>
      <c r="AB31" s="38"/>
      <c r="AC31" s="38"/>
      <c r="AD31" s="38"/>
      <c r="AE31" s="48"/>
      <c r="AF31" s="48"/>
      <c r="AG31" s="48"/>
      <c r="AH31" s="48"/>
      <c r="AI31" s="48"/>
      <c r="AJ31" s="3"/>
      <c r="AK31" s="3"/>
      <c r="AL31" s="15"/>
      <c r="AM31" s="48"/>
      <c r="AN31" s="48"/>
      <c r="AO31" s="48"/>
      <c r="AP31" s="48"/>
      <c r="AQ31" s="48"/>
      <c r="AR31" s="48"/>
      <c r="AS31" s="3"/>
      <c r="AT31" s="3"/>
      <c r="AU31" s="38"/>
      <c r="AV31" s="15"/>
      <c r="AW31" s="4"/>
      <c r="AX31" s="101"/>
      <c r="AZ31" s="19"/>
    </row>
    <row r="32" spans="1:52" ht="24" customHeight="1">
      <c r="A32" s="100">
        <v>25</v>
      </c>
      <c r="B32" s="16" t="s">
        <v>11</v>
      </c>
      <c r="C32" s="2"/>
      <c r="D32" s="23"/>
      <c r="E32" s="23"/>
      <c r="F32" s="38" t="e">
        <f t="shared" si="0"/>
        <v>#DIV/0!</v>
      </c>
      <c r="G32" s="23"/>
      <c r="H32" s="23"/>
      <c r="I32" s="38"/>
      <c r="J32" s="23"/>
      <c r="K32" s="23"/>
      <c r="L32" s="38"/>
      <c r="M32" s="3"/>
      <c r="N32" s="3"/>
      <c r="O32" s="15"/>
      <c r="P32" s="23"/>
      <c r="Q32" s="23"/>
      <c r="R32" s="38"/>
      <c r="S32" s="23"/>
      <c r="T32" s="23"/>
      <c r="U32" s="38"/>
      <c r="V32" s="23"/>
      <c r="W32" s="23"/>
      <c r="X32" s="38"/>
      <c r="Y32" s="3"/>
      <c r="Z32" s="3"/>
      <c r="AA32" s="15"/>
      <c r="AB32" s="23"/>
      <c r="AC32" s="23"/>
      <c r="AD32" s="38"/>
      <c r="AE32" s="23"/>
      <c r="AF32" s="23"/>
      <c r="AG32" s="38"/>
      <c r="AH32" s="23"/>
      <c r="AI32" s="23"/>
      <c r="AJ32" s="3"/>
      <c r="AK32" s="3"/>
      <c r="AL32" s="15"/>
      <c r="AM32" s="23"/>
      <c r="AN32" s="23"/>
      <c r="AO32" s="23"/>
      <c r="AP32" s="23"/>
      <c r="AQ32" s="23"/>
      <c r="AR32" s="23"/>
      <c r="AS32" s="3"/>
      <c r="AT32" s="3"/>
      <c r="AU32" s="38"/>
      <c r="AV32" s="15"/>
      <c r="AW32" s="4"/>
      <c r="AX32" s="101"/>
      <c r="AZ32" s="19"/>
    </row>
    <row r="33" spans="1:52" ht="24" customHeight="1">
      <c r="A33" s="100"/>
      <c r="B33" s="16" t="s">
        <v>105</v>
      </c>
      <c r="C33" s="2">
        <v>601.3</v>
      </c>
      <c r="D33" s="3">
        <v>340.4</v>
      </c>
      <c r="E33" s="3">
        <v>303.2</v>
      </c>
      <c r="F33" s="15">
        <f t="shared" si="0"/>
        <v>89.07168037602821</v>
      </c>
      <c r="G33" s="3">
        <v>272.5</v>
      </c>
      <c r="H33" s="3">
        <v>1.2</v>
      </c>
      <c r="I33" s="15">
        <f aca="true" t="shared" si="20" ref="I33:I45">H33/G33*100</f>
        <v>0.4403669724770642</v>
      </c>
      <c r="J33" s="3">
        <v>43.1</v>
      </c>
      <c r="K33" s="3">
        <v>290.6</v>
      </c>
      <c r="L33" s="15">
        <f aca="true" t="shared" si="21" ref="L33:L39">K33/J33*100</f>
        <v>674.245939675174</v>
      </c>
      <c r="M33" s="3">
        <f t="shared" si="6"/>
        <v>656</v>
      </c>
      <c r="N33" s="3">
        <f t="shared" si="7"/>
        <v>595</v>
      </c>
      <c r="O33" s="15">
        <f t="shared" si="4"/>
        <v>90.70121951219512</v>
      </c>
      <c r="P33" s="3">
        <v>0.9</v>
      </c>
      <c r="Q33" s="3">
        <v>281.4</v>
      </c>
      <c r="R33" s="15">
        <f aca="true" t="shared" si="22" ref="R33:R39">Q33/P33*100</f>
        <v>31266.666666666664</v>
      </c>
      <c r="S33" s="3">
        <v>-5.2</v>
      </c>
      <c r="T33" s="3">
        <v>0.3</v>
      </c>
      <c r="U33" s="15">
        <f aca="true" t="shared" si="23" ref="U33:U38">T33/S33*100</f>
        <v>-5.769230769230769</v>
      </c>
      <c r="V33" s="3">
        <v>-4.1</v>
      </c>
      <c r="W33" s="3">
        <v>371.8</v>
      </c>
      <c r="X33" s="15">
        <f aca="true" t="shared" si="24" ref="X33:X38">W33/V33*100</f>
        <v>-9068.292682926829</v>
      </c>
      <c r="Y33" s="3">
        <f>P33+S33+V33</f>
        <v>-8.399999999999999</v>
      </c>
      <c r="Z33" s="3">
        <f>Q33+T33+W33</f>
        <v>653.5</v>
      </c>
      <c r="AA33" s="15">
        <f>Z33/Y33*100</f>
        <v>-7779.761904761906</v>
      </c>
      <c r="AB33" s="3">
        <v>0.3</v>
      </c>
      <c r="AC33" s="3">
        <v>0</v>
      </c>
      <c r="AD33" s="15">
        <f aca="true" t="shared" si="25" ref="AD33:AD39">AC33/AB33*100</f>
        <v>0</v>
      </c>
      <c r="AE33" s="3">
        <v>-0.4</v>
      </c>
      <c r="AF33" s="3">
        <v>0</v>
      </c>
      <c r="AG33" s="15">
        <f>AF33/AE33*100</f>
        <v>0</v>
      </c>
      <c r="AH33" s="3">
        <v>0</v>
      </c>
      <c r="AI33" s="3">
        <v>0</v>
      </c>
      <c r="AJ33" s="3">
        <f t="shared" si="9"/>
        <v>-0.10000000000000003</v>
      </c>
      <c r="AK33" s="3">
        <f t="shared" si="10"/>
        <v>0</v>
      </c>
      <c r="AL33" s="15">
        <f>AK33/AJ33*100</f>
        <v>0</v>
      </c>
      <c r="AM33" s="3">
        <v>2.4</v>
      </c>
      <c r="AN33" s="3">
        <v>0</v>
      </c>
      <c r="AO33" s="3">
        <v>32.8</v>
      </c>
      <c r="AP33" s="3">
        <v>0.1</v>
      </c>
      <c r="AQ33" s="3">
        <v>-12</v>
      </c>
      <c r="AR33" s="3">
        <v>0.4</v>
      </c>
      <c r="AS33" s="3">
        <f t="shared" si="11"/>
        <v>670.6999999999999</v>
      </c>
      <c r="AT33" s="3">
        <f t="shared" si="12"/>
        <v>1249</v>
      </c>
      <c r="AU33" s="15">
        <f>AT33/AS33*100</f>
        <v>186.22334874012228</v>
      </c>
      <c r="AV33" s="15">
        <f t="shared" si="13"/>
        <v>-578.3000000000001</v>
      </c>
      <c r="AW33" s="4">
        <f t="shared" si="14"/>
        <v>23</v>
      </c>
      <c r="AX33" s="101"/>
      <c r="AZ33" s="19"/>
    </row>
    <row r="34" spans="1:52" ht="24.75" customHeight="1">
      <c r="A34" s="102"/>
      <c r="B34" s="16" t="s">
        <v>43</v>
      </c>
      <c r="C34" s="2"/>
      <c r="D34" s="23"/>
      <c r="E34" s="23"/>
      <c r="F34" s="38" t="e">
        <f t="shared" si="0"/>
        <v>#DIV/0!</v>
      </c>
      <c r="G34" s="3"/>
      <c r="H34" s="3"/>
      <c r="I34" s="38" t="e">
        <f t="shared" si="20"/>
        <v>#DIV/0!</v>
      </c>
      <c r="J34" s="3"/>
      <c r="K34" s="3"/>
      <c r="L34" s="38" t="e">
        <f t="shared" si="21"/>
        <v>#DIV/0!</v>
      </c>
      <c r="M34" s="3"/>
      <c r="N34" s="3"/>
      <c r="O34" s="15"/>
      <c r="P34" s="3"/>
      <c r="Q34" s="3"/>
      <c r="R34" s="38" t="e">
        <f t="shared" si="22"/>
        <v>#DIV/0!</v>
      </c>
      <c r="S34" s="3"/>
      <c r="T34" s="3"/>
      <c r="U34" s="38" t="e">
        <f t="shared" si="23"/>
        <v>#DIV/0!</v>
      </c>
      <c r="V34" s="3"/>
      <c r="W34" s="3"/>
      <c r="X34" s="38" t="e">
        <f t="shared" si="24"/>
        <v>#DIV/0!</v>
      </c>
      <c r="Y34" s="3"/>
      <c r="Z34" s="3"/>
      <c r="AA34" s="15"/>
      <c r="AB34" s="3"/>
      <c r="AC34" s="3"/>
      <c r="AD34" s="38" t="e">
        <f t="shared" si="25"/>
        <v>#DIV/0!</v>
      </c>
      <c r="AE34" s="3"/>
      <c r="AF34" s="3"/>
      <c r="AG34" s="38"/>
      <c r="AH34" s="3"/>
      <c r="AI34" s="3"/>
      <c r="AJ34" s="3"/>
      <c r="AK34" s="3"/>
      <c r="AL34" s="15"/>
      <c r="AM34" s="3"/>
      <c r="AN34" s="3"/>
      <c r="AO34" s="3"/>
      <c r="AP34" s="3"/>
      <c r="AQ34" s="3"/>
      <c r="AR34" s="3"/>
      <c r="AS34" s="3"/>
      <c r="AT34" s="3"/>
      <c r="AU34" s="15"/>
      <c r="AV34" s="15"/>
      <c r="AW34" s="4"/>
      <c r="AX34" s="101"/>
      <c r="AZ34" s="19"/>
    </row>
    <row r="35" spans="1:52" ht="35.25" customHeight="1">
      <c r="A35" s="100">
        <v>26</v>
      </c>
      <c r="B35" s="16" t="s">
        <v>94</v>
      </c>
      <c r="C35" s="2">
        <v>592.6</v>
      </c>
      <c r="D35" s="3">
        <f>91+142.7</f>
        <v>233.7</v>
      </c>
      <c r="E35" s="3">
        <f>78.1+101.1</f>
        <v>179.2</v>
      </c>
      <c r="F35" s="15">
        <f t="shared" si="0"/>
        <v>76.67950363714164</v>
      </c>
      <c r="G35" s="3">
        <f>113.9+106</f>
        <v>219.9</v>
      </c>
      <c r="H35" s="3">
        <f>0</f>
        <v>0</v>
      </c>
      <c r="I35" s="15">
        <f t="shared" si="20"/>
        <v>0</v>
      </c>
      <c r="J35" s="3">
        <v>163.8</v>
      </c>
      <c r="K35" s="3">
        <v>175.2</v>
      </c>
      <c r="L35" s="15">
        <f t="shared" si="21"/>
        <v>106.95970695970693</v>
      </c>
      <c r="M35" s="3">
        <f t="shared" si="6"/>
        <v>617.4000000000001</v>
      </c>
      <c r="N35" s="3">
        <f t="shared" si="7"/>
        <v>354.4</v>
      </c>
      <c r="O35" s="15">
        <f t="shared" si="4"/>
        <v>57.40200842241657</v>
      </c>
      <c r="P35" s="3">
        <v>-3.1</v>
      </c>
      <c r="Q35" s="3">
        <v>34.8</v>
      </c>
      <c r="R35" s="15">
        <f t="shared" si="22"/>
        <v>-1122.5806451612902</v>
      </c>
      <c r="S35" s="3">
        <v>-1.2</v>
      </c>
      <c r="T35" s="3">
        <v>205.1</v>
      </c>
      <c r="U35" s="15">
        <f t="shared" si="23"/>
        <v>-17091.666666666664</v>
      </c>
      <c r="V35" s="3">
        <v>-43.2</v>
      </c>
      <c r="W35" s="3">
        <v>0</v>
      </c>
      <c r="X35" s="15">
        <f t="shared" si="24"/>
        <v>0</v>
      </c>
      <c r="Y35" s="3">
        <f aca="true" t="shared" si="26" ref="Y35:Z39">P35+S35+V35</f>
        <v>-47.5</v>
      </c>
      <c r="Z35" s="3">
        <f t="shared" si="26"/>
        <v>239.89999999999998</v>
      </c>
      <c r="AA35" s="15">
        <f>Z35/Y35*100</f>
        <v>-505.05263157894734</v>
      </c>
      <c r="AB35" s="3">
        <v>0</v>
      </c>
      <c r="AC35" s="3">
        <v>0</v>
      </c>
      <c r="AD35" s="30" t="e">
        <f t="shared" si="25"/>
        <v>#DIV/0!</v>
      </c>
      <c r="AE35" s="3">
        <v>0</v>
      </c>
      <c r="AF35" s="3">
        <v>0</v>
      </c>
      <c r="AG35" s="15" t="e">
        <f>AF35/AE35*100</f>
        <v>#DIV/0!</v>
      </c>
      <c r="AH35" s="3">
        <v>0</v>
      </c>
      <c r="AI35" s="3">
        <v>0</v>
      </c>
      <c r="AJ35" s="3">
        <f t="shared" si="9"/>
        <v>0</v>
      </c>
      <c r="AK35" s="3">
        <f t="shared" si="10"/>
        <v>0</v>
      </c>
      <c r="AL35" s="15" t="e">
        <f>AK35/AJ35*100</f>
        <v>#DIV/0!</v>
      </c>
      <c r="AM35" s="3">
        <v>24.4</v>
      </c>
      <c r="AN35" s="3">
        <v>0</v>
      </c>
      <c r="AO35" s="3">
        <v>181.5</v>
      </c>
      <c r="AP35" s="3">
        <v>0</v>
      </c>
      <c r="AQ35" s="3">
        <v>194.5</v>
      </c>
      <c r="AR35" s="3">
        <v>245.1</v>
      </c>
      <c r="AS35" s="3">
        <f t="shared" si="11"/>
        <v>970.3000000000001</v>
      </c>
      <c r="AT35" s="3">
        <f t="shared" si="12"/>
        <v>839.4</v>
      </c>
      <c r="AU35" s="15">
        <f aca="true" t="shared" si="27" ref="AU35:AU44">AT35/AS35*100</f>
        <v>86.50932701226424</v>
      </c>
      <c r="AV35" s="15">
        <f t="shared" si="13"/>
        <v>130.9000000000001</v>
      </c>
      <c r="AW35" s="4">
        <f t="shared" si="14"/>
        <v>723.5000000000001</v>
      </c>
      <c r="AX35" s="101"/>
      <c r="AZ35" s="19"/>
    </row>
    <row r="36" spans="1:52" ht="24" customHeight="1">
      <c r="A36" s="100">
        <v>27</v>
      </c>
      <c r="B36" s="1" t="s">
        <v>28</v>
      </c>
      <c r="C36" s="2">
        <v>2.8</v>
      </c>
      <c r="D36" s="3">
        <v>1.3</v>
      </c>
      <c r="E36" s="3">
        <v>0</v>
      </c>
      <c r="F36" s="15">
        <f t="shared" si="0"/>
        <v>0</v>
      </c>
      <c r="G36" s="3">
        <v>1.3</v>
      </c>
      <c r="H36" s="3">
        <v>0</v>
      </c>
      <c r="I36" s="15">
        <f t="shared" si="20"/>
        <v>0</v>
      </c>
      <c r="J36" s="3">
        <v>0.9</v>
      </c>
      <c r="K36" s="3">
        <v>0</v>
      </c>
      <c r="L36" s="15">
        <f t="shared" si="21"/>
        <v>0</v>
      </c>
      <c r="M36" s="3">
        <f t="shared" si="6"/>
        <v>3.5</v>
      </c>
      <c r="N36" s="3">
        <f t="shared" si="7"/>
        <v>0</v>
      </c>
      <c r="O36" s="15">
        <f t="shared" si="4"/>
        <v>0</v>
      </c>
      <c r="P36" s="3">
        <v>0</v>
      </c>
      <c r="Q36" s="3">
        <v>0.4</v>
      </c>
      <c r="R36" s="30" t="e">
        <f t="shared" si="22"/>
        <v>#DIV/0!</v>
      </c>
      <c r="S36" s="3">
        <v>0</v>
      </c>
      <c r="T36" s="3">
        <v>2.3</v>
      </c>
      <c r="U36" s="30" t="e">
        <f t="shared" si="23"/>
        <v>#DIV/0!</v>
      </c>
      <c r="V36" s="3">
        <v>0</v>
      </c>
      <c r="W36" s="3">
        <v>3.5</v>
      </c>
      <c r="X36" s="30" t="e">
        <f t="shared" si="24"/>
        <v>#DIV/0!</v>
      </c>
      <c r="Y36" s="3">
        <f t="shared" si="26"/>
        <v>0</v>
      </c>
      <c r="Z36" s="3">
        <f t="shared" si="26"/>
        <v>6.199999999999999</v>
      </c>
      <c r="AA36" s="30" t="e">
        <f>Z36/Y36*100</f>
        <v>#DIV/0!</v>
      </c>
      <c r="AB36" s="3">
        <v>0</v>
      </c>
      <c r="AC36" s="3">
        <v>0</v>
      </c>
      <c r="AD36" s="30" t="e">
        <f t="shared" si="25"/>
        <v>#DIV/0!</v>
      </c>
      <c r="AE36" s="3">
        <v>0</v>
      </c>
      <c r="AF36" s="3">
        <v>0</v>
      </c>
      <c r="AG36" s="15">
        <v>0</v>
      </c>
      <c r="AH36" s="3">
        <v>0</v>
      </c>
      <c r="AI36" s="3">
        <v>0</v>
      </c>
      <c r="AJ36" s="3">
        <f t="shared" si="9"/>
        <v>0</v>
      </c>
      <c r="AK36" s="3">
        <f t="shared" si="10"/>
        <v>0</v>
      </c>
      <c r="AL36" s="30" t="e">
        <f>AK36/AJ36*100</f>
        <v>#DIV/0!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f t="shared" si="11"/>
        <v>3.5</v>
      </c>
      <c r="AT36" s="3">
        <f t="shared" si="12"/>
        <v>6.199999999999999</v>
      </c>
      <c r="AU36" s="15">
        <f t="shared" si="27"/>
        <v>177.1428571428571</v>
      </c>
      <c r="AV36" s="15">
        <f t="shared" si="13"/>
        <v>-2.6999999999999993</v>
      </c>
      <c r="AW36" s="4">
        <f t="shared" si="14"/>
        <v>0.10000000000000053</v>
      </c>
      <c r="AX36" s="101"/>
      <c r="AZ36" s="19"/>
    </row>
    <row r="37" spans="1:52" ht="24" customHeight="1">
      <c r="A37" s="100">
        <v>28</v>
      </c>
      <c r="B37" s="16" t="s">
        <v>29</v>
      </c>
      <c r="C37" s="2">
        <v>826.2</v>
      </c>
      <c r="D37" s="3">
        <v>289.4</v>
      </c>
      <c r="E37" s="3">
        <v>538.9</v>
      </c>
      <c r="F37" s="15">
        <f t="shared" si="0"/>
        <v>186.21285418106427</v>
      </c>
      <c r="G37" s="3">
        <v>274.7</v>
      </c>
      <c r="H37" s="3">
        <v>287.2</v>
      </c>
      <c r="I37" s="15">
        <f t="shared" si="20"/>
        <v>104.55041863851476</v>
      </c>
      <c r="J37" s="3">
        <v>179.9</v>
      </c>
      <c r="K37" s="3">
        <v>0</v>
      </c>
      <c r="L37" s="15">
        <f t="shared" si="21"/>
        <v>0</v>
      </c>
      <c r="M37" s="3">
        <f t="shared" si="6"/>
        <v>743.9999999999999</v>
      </c>
      <c r="N37" s="3">
        <f t="shared" si="7"/>
        <v>826.0999999999999</v>
      </c>
      <c r="O37" s="15">
        <f t="shared" si="4"/>
        <v>111.03494623655914</v>
      </c>
      <c r="P37" s="3">
        <v>22.8</v>
      </c>
      <c r="Q37" s="3">
        <v>289.4</v>
      </c>
      <c r="R37" s="15">
        <f t="shared" si="22"/>
        <v>1269.2982456140348</v>
      </c>
      <c r="S37" s="3">
        <v>0.3</v>
      </c>
      <c r="T37" s="3">
        <v>0</v>
      </c>
      <c r="U37" s="15">
        <f t="shared" si="23"/>
        <v>0</v>
      </c>
      <c r="V37" s="3">
        <v>0.1</v>
      </c>
      <c r="W37" s="3">
        <v>0</v>
      </c>
      <c r="X37" s="15">
        <f t="shared" si="24"/>
        <v>0</v>
      </c>
      <c r="Y37" s="3">
        <f t="shared" si="26"/>
        <v>23.200000000000003</v>
      </c>
      <c r="Z37" s="3">
        <f t="shared" si="26"/>
        <v>289.4</v>
      </c>
      <c r="AA37" s="15">
        <f>Z37/Y37*100</f>
        <v>1247.4137931034481</v>
      </c>
      <c r="AB37" s="3">
        <v>-4</v>
      </c>
      <c r="AC37" s="3">
        <v>0</v>
      </c>
      <c r="AD37" s="15">
        <f t="shared" si="25"/>
        <v>0</v>
      </c>
      <c r="AE37" s="3">
        <v>1.6</v>
      </c>
      <c r="AF37" s="3">
        <v>274.3</v>
      </c>
      <c r="AG37" s="15">
        <f aca="true" t="shared" si="28" ref="AG37:AG42">AF37/AE37*100</f>
        <v>17143.75</v>
      </c>
      <c r="AH37" s="3">
        <v>0</v>
      </c>
      <c r="AI37" s="3">
        <v>0</v>
      </c>
      <c r="AJ37" s="3">
        <f t="shared" si="9"/>
        <v>-2.4</v>
      </c>
      <c r="AK37" s="3">
        <f t="shared" si="10"/>
        <v>274.3</v>
      </c>
      <c r="AL37" s="15">
        <f>AK37/AJ37*100</f>
        <v>-11429.166666666668</v>
      </c>
      <c r="AM37" s="3">
        <v>109.7</v>
      </c>
      <c r="AN37" s="3">
        <v>0</v>
      </c>
      <c r="AO37" s="3">
        <v>249.7</v>
      </c>
      <c r="AP37" s="3">
        <v>0</v>
      </c>
      <c r="AQ37" s="3">
        <v>228.6</v>
      </c>
      <c r="AR37" s="3">
        <v>310.5</v>
      </c>
      <c r="AS37" s="3">
        <f t="shared" si="11"/>
        <v>1352.8</v>
      </c>
      <c r="AT37" s="3">
        <f t="shared" si="12"/>
        <v>1700.3</v>
      </c>
      <c r="AU37" s="15">
        <f t="shared" si="27"/>
        <v>125.68746303962153</v>
      </c>
      <c r="AV37" s="15">
        <f t="shared" si="13"/>
        <v>-347.5</v>
      </c>
      <c r="AW37" s="4">
        <f t="shared" si="14"/>
        <v>478.70000000000005</v>
      </c>
      <c r="AX37" s="101"/>
      <c r="AZ37" s="19"/>
    </row>
    <row r="38" spans="1:52" ht="24" customHeight="1">
      <c r="A38" s="100">
        <v>29</v>
      </c>
      <c r="B38" s="16" t="s">
        <v>30</v>
      </c>
      <c r="C38" s="2">
        <v>596.9</v>
      </c>
      <c r="D38" s="3">
        <v>342.4</v>
      </c>
      <c r="E38" s="3">
        <v>193.2</v>
      </c>
      <c r="F38" s="15">
        <f t="shared" si="0"/>
        <v>56.425233644859816</v>
      </c>
      <c r="G38" s="3">
        <v>308.8</v>
      </c>
      <c r="H38" s="3">
        <v>0</v>
      </c>
      <c r="I38" s="15">
        <f t="shared" si="20"/>
        <v>0</v>
      </c>
      <c r="J38" s="3">
        <v>191.3</v>
      </c>
      <c r="K38" s="3">
        <v>0</v>
      </c>
      <c r="L38" s="15">
        <f t="shared" si="21"/>
        <v>0</v>
      </c>
      <c r="M38" s="3">
        <f t="shared" si="6"/>
        <v>842.5</v>
      </c>
      <c r="N38" s="3">
        <f t="shared" si="7"/>
        <v>193.2</v>
      </c>
      <c r="O38" s="15">
        <f t="shared" si="4"/>
        <v>22.931750741839764</v>
      </c>
      <c r="P38" s="3">
        <v>9.4</v>
      </c>
      <c r="Q38" s="3">
        <v>58.4</v>
      </c>
      <c r="R38" s="15">
        <f t="shared" si="22"/>
        <v>621.2765957446808</v>
      </c>
      <c r="S38" s="3">
        <v>2</v>
      </c>
      <c r="T38" s="3">
        <v>344.7</v>
      </c>
      <c r="U38" s="15">
        <f t="shared" si="23"/>
        <v>17235</v>
      </c>
      <c r="V38" s="3">
        <v>0</v>
      </c>
      <c r="W38" s="3">
        <v>853.9</v>
      </c>
      <c r="X38" s="30" t="e">
        <f t="shared" si="24"/>
        <v>#DIV/0!</v>
      </c>
      <c r="Y38" s="3">
        <f t="shared" si="26"/>
        <v>11.4</v>
      </c>
      <c r="Z38" s="3">
        <f t="shared" si="26"/>
        <v>1257</v>
      </c>
      <c r="AA38" s="15">
        <f>Z38/Y38*100</f>
        <v>11026.315789473683</v>
      </c>
      <c r="AB38" s="3">
        <v>-4.8</v>
      </c>
      <c r="AC38" s="3">
        <v>0</v>
      </c>
      <c r="AD38" s="15">
        <f t="shared" si="25"/>
        <v>0</v>
      </c>
      <c r="AE38" s="3">
        <v>0</v>
      </c>
      <c r="AF38" s="3">
        <v>0</v>
      </c>
      <c r="AG38" s="15" t="e">
        <f t="shared" si="28"/>
        <v>#DIV/0!</v>
      </c>
      <c r="AH38" s="3">
        <v>0</v>
      </c>
      <c r="AI38" s="3">
        <v>0</v>
      </c>
      <c r="AJ38" s="3">
        <f t="shared" si="9"/>
        <v>-4.8</v>
      </c>
      <c r="AK38" s="3">
        <f t="shared" si="10"/>
        <v>0</v>
      </c>
      <c r="AL38" s="15">
        <f>AK38/AJ38*100</f>
        <v>0</v>
      </c>
      <c r="AM38" s="3">
        <v>49.8</v>
      </c>
      <c r="AN38" s="3">
        <v>0</v>
      </c>
      <c r="AO38" s="3">
        <v>303.2</v>
      </c>
      <c r="AP38" s="3">
        <v>0</v>
      </c>
      <c r="AQ38" s="3">
        <v>349.2</v>
      </c>
      <c r="AR38" s="3">
        <v>49.8</v>
      </c>
      <c r="AS38" s="3">
        <f t="shared" si="11"/>
        <v>1551.3</v>
      </c>
      <c r="AT38" s="3">
        <f t="shared" si="12"/>
        <v>1500</v>
      </c>
      <c r="AU38" s="15">
        <f t="shared" si="27"/>
        <v>96.69309611293754</v>
      </c>
      <c r="AV38" s="15">
        <f t="shared" si="13"/>
        <v>51.299999999999955</v>
      </c>
      <c r="AW38" s="4">
        <f t="shared" si="14"/>
        <v>648.1999999999998</v>
      </c>
      <c r="AX38" s="101"/>
      <c r="AZ38" s="19"/>
    </row>
    <row r="39" spans="1:52" ht="36.75" customHeight="1">
      <c r="A39" s="100">
        <v>30</v>
      </c>
      <c r="B39" s="16" t="s">
        <v>95</v>
      </c>
      <c r="C39" s="2">
        <v>1571</v>
      </c>
      <c r="D39" s="3">
        <v>712.4</v>
      </c>
      <c r="E39" s="3">
        <v>1571</v>
      </c>
      <c r="F39" s="15">
        <f t="shared" si="0"/>
        <v>220.52217855137565</v>
      </c>
      <c r="G39" s="3">
        <v>810.8</v>
      </c>
      <c r="H39" s="3">
        <v>0</v>
      </c>
      <c r="I39" s="15">
        <f t="shared" si="20"/>
        <v>0</v>
      </c>
      <c r="J39" s="3">
        <v>461</v>
      </c>
      <c r="K39" s="3">
        <v>524.2</v>
      </c>
      <c r="L39" s="15">
        <f t="shared" si="21"/>
        <v>113.70932754880695</v>
      </c>
      <c r="M39" s="3">
        <f t="shared" si="6"/>
        <v>1984.1999999999998</v>
      </c>
      <c r="N39" s="3">
        <f t="shared" si="7"/>
        <v>2095.2</v>
      </c>
      <c r="O39" s="15">
        <f t="shared" si="4"/>
        <v>105.59419413365588</v>
      </c>
      <c r="P39" s="3">
        <v>49</v>
      </c>
      <c r="Q39" s="3">
        <v>999.1</v>
      </c>
      <c r="R39" s="15">
        <f t="shared" si="22"/>
        <v>2038.9795918367347</v>
      </c>
      <c r="S39" s="3">
        <v>0</v>
      </c>
      <c r="T39" s="3">
        <v>0</v>
      </c>
      <c r="U39" s="15"/>
      <c r="V39" s="3">
        <v>0.1</v>
      </c>
      <c r="W39" s="3">
        <v>0</v>
      </c>
      <c r="X39" s="15"/>
      <c r="Y39" s="3">
        <f t="shared" si="26"/>
        <v>49.1</v>
      </c>
      <c r="Z39" s="3">
        <f t="shared" si="26"/>
        <v>999.1</v>
      </c>
      <c r="AA39" s="15">
        <f>Z39/Y39*100</f>
        <v>2034.826883910387</v>
      </c>
      <c r="AB39" s="3">
        <v>-0.3</v>
      </c>
      <c r="AC39" s="3">
        <v>0</v>
      </c>
      <c r="AD39" s="15">
        <f t="shared" si="25"/>
        <v>0</v>
      </c>
      <c r="AE39" s="3">
        <v>-4.2</v>
      </c>
      <c r="AF39" s="3">
        <v>505.6</v>
      </c>
      <c r="AG39" s="15">
        <f t="shared" si="28"/>
        <v>-12038.095238095239</v>
      </c>
      <c r="AH39" s="3">
        <v>0</v>
      </c>
      <c r="AI39" s="3">
        <v>0</v>
      </c>
      <c r="AJ39" s="3">
        <f t="shared" si="9"/>
        <v>-4.5</v>
      </c>
      <c r="AK39" s="3">
        <f t="shared" si="10"/>
        <v>505.6</v>
      </c>
      <c r="AL39" s="15">
        <f>AK39/AJ39*100</f>
        <v>-11235.555555555555</v>
      </c>
      <c r="AM39" s="3">
        <v>111.5</v>
      </c>
      <c r="AN39" s="3">
        <v>0</v>
      </c>
      <c r="AO39" s="3">
        <v>774.1</v>
      </c>
      <c r="AP39" s="3">
        <v>0</v>
      </c>
      <c r="AQ39" s="3">
        <v>643.4</v>
      </c>
      <c r="AR39" s="3">
        <v>0</v>
      </c>
      <c r="AS39" s="3">
        <f t="shared" si="11"/>
        <v>3557.7999999999997</v>
      </c>
      <c r="AT39" s="3">
        <f t="shared" si="12"/>
        <v>3599.8999999999996</v>
      </c>
      <c r="AU39" s="15">
        <f t="shared" si="27"/>
        <v>101.18331553207038</v>
      </c>
      <c r="AV39" s="15">
        <f t="shared" si="13"/>
        <v>-42.09999999999991</v>
      </c>
      <c r="AW39" s="4">
        <f t="shared" si="14"/>
        <v>1528.8999999999996</v>
      </c>
      <c r="AX39" s="101"/>
      <c r="AZ39" s="19"/>
    </row>
    <row r="40" spans="1:52" ht="24" customHeight="1">
      <c r="A40" s="100">
        <v>31</v>
      </c>
      <c r="B40" s="16" t="s">
        <v>31</v>
      </c>
      <c r="C40" s="2"/>
      <c r="D40" s="3"/>
      <c r="E40" s="3"/>
      <c r="F40" s="30"/>
      <c r="G40" s="3"/>
      <c r="H40" s="3"/>
      <c r="I40" s="30"/>
      <c r="J40" s="3"/>
      <c r="K40" s="3"/>
      <c r="L40" s="30"/>
      <c r="M40" s="3"/>
      <c r="N40" s="3"/>
      <c r="O40" s="15"/>
      <c r="P40" s="3"/>
      <c r="Q40" s="3"/>
      <c r="R40" s="30"/>
      <c r="S40" s="3"/>
      <c r="T40" s="3"/>
      <c r="U40" s="30"/>
      <c r="V40" s="3"/>
      <c r="W40" s="3"/>
      <c r="X40" s="30"/>
      <c r="Y40" s="3"/>
      <c r="Z40" s="3"/>
      <c r="AA40" s="15"/>
      <c r="AB40" s="3"/>
      <c r="AC40" s="3"/>
      <c r="AD40" s="30"/>
      <c r="AE40" s="3"/>
      <c r="AF40" s="3"/>
      <c r="AG40" s="30" t="e">
        <f t="shared" si="28"/>
        <v>#DIV/0!</v>
      </c>
      <c r="AH40" s="3"/>
      <c r="AI40" s="3"/>
      <c r="AJ40" s="3"/>
      <c r="AK40" s="3"/>
      <c r="AL40" s="15"/>
      <c r="AM40" s="3"/>
      <c r="AN40" s="3"/>
      <c r="AO40" s="3"/>
      <c r="AP40" s="3"/>
      <c r="AQ40" s="3"/>
      <c r="AR40" s="3"/>
      <c r="AS40" s="3"/>
      <c r="AT40" s="3"/>
      <c r="AU40" s="30"/>
      <c r="AV40" s="15"/>
      <c r="AW40" s="4"/>
      <c r="AX40" s="101"/>
      <c r="AZ40" s="19"/>
    </row>
    <row r="41" spans="1:52" ht="37.5">
      <c r="A41" s="10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5">
        <f t="shared" si="0"/>
        <v>240.33591042388696</v>
      </c>
      <c r="G41" s="3">
        <v>341.6</v>
      </c>
      <c r="H41" s="3">
        <v>356.3</v>
      </c>
      <c r="I41" s="15">
        <f t="shared" si="20"/>
        <v>104.30327868852459</v>
      </c>
      <c r="J41" s="3">
        <v>212.9</v>
      </c>
      <c r="K41" s="3">
        <v>0</v>
      </c>
      <c r="L41" s="15">
        <f>K41/J41*100</f>
        <v>0</v>
      </c>
      <c r="M41" s="3">
        <f t="shared" si="6"/>
        <v>929.6</v>
      </c>
      <c r="N41" s="3">
        <f t="shared" si="7"/>
        <v>1257.8</v>
      </c>
      <c r="O41" s="15">
        <f t="shared" si="4"/>
        <v>135.30550774526677</v>
      </c>
      <c r="P41" s="3">
        <v>-1.2</v>
      </c>
      <c r="Q41" s="3">
        <v>568.3</v>
      </c>
      <c r="R41" s="15">
        <f aca="true" t="shared" si="29" ref="R41:R46">Q41/P41*100</f>
        <v>-47358.33333333333</v>
      </c>
      <c r="S41" s="3">
        <v>0</v>
      </c>
      <c r="T41" s="3">
        <v>0</v>
      </c>
      <c r="U41" s="15"/>
      <c r="V41" s="3">
        <v>0</v>
      </c>
      <c r="W41" s="3">
        <v>0</v>
      </c>
      <c r="X41" s="15"/>
      <c r="Y41" s="3">
        <f>P41+S41+V41</f>
        <v>-1.2</v>
      </c>
      <c r="Z41" s="3">
        <f>Q41+T41+W41</f>
        <v>568.3</v>
      </c>
      <c r="AA41" s="15">
        <f>Z41/Y41*100</f>
        <v>-47358.33333333333</v>
      </c>
      <c r="AB41" s="3">
        <v>0</v>
      </c>
      <c r="AC41" s="3">
        <v>0</v>
      </c>
      <c r="AD41" s="15">
        <v>0</v>
      </c>
      <c r="AE41" s="3">
        <v>0</v>
      </c>
      <c r="AF41" s="3">
        <v>0</v>
      </c>
      <c r="AG41" s="30" t="e">
        <f t="shared" si="28"/>
        <v>#DIV/0!</v>
      </c>
      <c r="AH41" s="3">
        <v>0</v>
      </c>
      <c r="AI41" s="3">
        <v>0</v>
      </c>
      <c r="AJ41" s="3">
        <f t="shared" si="9"/>
        <v>0</v>
      </c>
      <c r="AK41" s="3">
        <f t="shared" si="10"/>
        <v>0</v>
      </c>
      <c r="AL41" s="15" t="e">
        <f>AK41/AJ41*100</f>
        <v>#DIV/0!</v>
      </c>
      <c r="AM41" s="3">
        <v>111.6</v>
      </c>
      <c r="AN41" s="3">
        <v>113.2</v>
      </c>
      <c r="AO41" s="3">
        <v>284.9</v>
      </c>
      <c r="AP41" s="3">
        <v>178.3</v>
      </c>
      <c r="AQ41" s="3">
        <v>300.9</v>
      </c>
      <c r="AR41" s="3">
        <v>0</v>
      </c>
      <c r="AS41" s="3">
        <f t="shared" si="11"/>
        <v>1625.8000000000002</v>
      </c>
      <c r="AT41" s="3">
        <f t="shared" si="12"/>
        <v>2117.6</v>
      </c>
      <c r="AU41" s="15">
        <f t="shared" si="27"/>
        <v>130.24972321318734</v>
      </c>
      <c r="AV41" s="15">
        <f t="shared" si="13"/>
        <v>-491.7999999999997</v>
      </c>
      <c r="AW41" s="4">
        <f t="shared" si="14"/>
        <v>405.9000000000001</v>
      </c>
      <c r="AX41" s="101"/>
      <c r="AZ41" s="19"/>
    </row>
    <row r="42" spans="1:52" ht="24" customHeight="1">
      <c r="A42" s="100">
        <v>33</v>
      </c>
      <c r="B42" s="16" t="s">
        <v>33</v>
      </c>
      <c r="C42" s="2">
        <v>2434.8</v>
      </c>
      <c r="D42" s="3">
        <v>967.6</v>
      </c>
      <c r="E42" s="3">
        <v>1432.3</v>
      </c>
      <c r="F42" s="15">
        <f t="shared" si="0"/>
        <v>148.02604381976025</v>
      </c>
      <c r="G42" s="3">
        <v>957.6</v>
      </c>
      <c r="H42" s="3">
        <v>969.3</v>
      </c>
      <c r="I42" s="15">
        <f t="shared" si="20"/>
        <v>101.22180451127818</v>
      </c>
      <c r="J42" s="3">
        <v>599.7</v>
      </c>
      <c r="K42" s="3">
        <v>0</v>
      </c>
      <c r="L42" s="15">
        <f>K42/J42*100</f>
        <v>0</v>
      </c>
      <c r="M42" s="3">
        <f t="shared" si="6"/>
        <v>2524.9</v>
      </c>
      <c r="N42" s="3">
        <f t="shared" si="7"/>
        <v>2401.6</v>
      </c>
      <c r="O42" s="15">
        <f t="shared" si="4"/>
        <v>95.11663828270426</v>
      </c>
      <c r="P42" s="3">
        <v>34.7</v>
      </c>
      <c r="Q42" s="3">
        <v>0</v>
      </c>
      <c r="R42" s="15">
        <f t="shared" si="29"/>
        <v>0</v>
      </c>
      <c r="S42" s="3">
        <v>0</v>
      </c>
      <c r="T42" s="3">
        <v>0</v>
      </c>
      <c r="U42" s="15"/>
      <c r="V42" s="3">
        <v>0</v>
      </c>
      <c r="W42" s="3">
        <v>0</v>
      </c>
      <c r="X42" s="15"/>
      <c r="Y42" s="3">
        <f>P42+S42+V42</f>
        <v>34.7</v>
      </c>
      <c r="Z42" s="3">
        <f>Q42+T42+W42</f>
        <v>0</v>
      </c>
      <c r="AA42" s="15">
        <f>Z42/Y42*100</f>
        <v>0</v>
      </c>
      <c r="AB42" s="3">
        <v>0</v>
      </c>
      <c r="AC42" s="3">
        <v>0</v>
      </c>
      <c r="AD42" s="15">
        <v>0</v>
      </c>
      <c r="AE42" s="3">
        <v>0</v>
      </c>
      <c r="AF42" s="3">
        <v>2559.6</v>
      </c>
      <c r="AG42" s="30" t="e">
        <f t="shared" si="28"/>
        <v>#DIV/0!</v>
      </c>
      <c r="AH42" s="3">
        <v>0</v>
      </c>
      <c r="AI42" s="3">
        <v>0</v>
      </c>
      <c r="AJ42" s="3">
        <f t="shared" si="9"/>
        <v>0</v>
      </c>
      <c r="AK42" s="3">
        <f t="shared" si="10"/>
        <v>2559.6</v>
      </c>
      <c r="AL42" s="15" t="e">
        <f>AK42/AJ42*100</f>
        <v>#DIV/0!</v>
      </c>
      <c r="AM42" s="3">
        <v>309</v>
      </c>
      <c r="AN42" s="3">
        <v>0</v>
      </c>
      <c r="AO42" s="3">
        <v>824.5</v>
      </c>
      <c r="AP42" s="3">
        <v>0</v>
      </c>
      <c r="AQ42" s="3">
        <v>856.8</v>
      </c>
      <c r="AR42" s="3">
        <v>309</v>
      </c>
      <c r="AS42" s="3">
        <f t="shared" si="11"/>
        <v>4549.9</v>
      </c>
      <c r="AT42" s="3">
        <f t="shared" si="12"/>
        <v>5270.2</v>
      </c>
      <c r="AU42" s="15">
        <f t="shared" si="27"/>
        <v>115.83111716741028</v>
      </c>
      <c r="AV42" s="15">
        <f t="shared" si="13"/>
        <v>-720.3000000000002</v>
      </c>
      <c r="AW42" s="4">
        <f t="shared" si="14"/>
        <v>1714.5</v>
      </c>
      <c r="AX42" s="101"/>
      <c r="AZ42" s="19"/>
    </row>
    <row r="43" spans="1:59" s="8" customFormat="1" ht="24.75" customHeight="1">
      <c r="A43" s="17">
        <v>34</v>
      </c>
      <c r="B43" s="17" t="s">
        <v>5</v>
      </c>
      <c r="C43" s="50">
        <f>C44</f>
        <v>81181</v>
      </c>
      <c r="D43" s="4">
        <f>D44+D45</f>
        <v>17376</v>
      </c>
      <c r="E43" s="4">
        <f>E44+E45</f>
        <v>62502</v>
      </c>
      <c r="F43" s="15">
        <f>E43/D43*100</f>
        <v>359.70303867403317</v>
      </c>
      <c r="G43" s="4">
        <f>G44</f>
        <v>28467</v>
      </c>
      <c r="H43" s="4">
        <f>H44</f>
        <v>1137</v>
      </c>
      <c r="I43" s="15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5">
        <f t="shared" si="4"/>
        <v>103.18524340067496</v>
      </c>
      <c r="P43" s="4">
        <f>P44</f>
        <v>6496</v>
      </c>
      <c r="Q43" s="4">
        <f>Q44</f>
        <v>3285</v>
      </c>
      <c r="R43" s="15">
        <f t="shared" si="29"/>
        <v>50.56958128078818</v>
      </c>
      <c r="S43" s="4">
        <f>S44</f>
        <v>2770</v>
      </c>
      <c r="T43" s="4">
        <f>T44</f>
        <v>814</v>
      </c>
      <c r="U43" s="15">
        <f>T43/S43*100</f>
        <v>29.386281588447655</v>
      </c>
      <c r="V43" s="4">
        <f>V44</f>
        <v>2588</v>
      </c>
      <c r="W43" s="4">
        <f>W44</f>
        <v>583</v>
      </c>
      <c r="X43" s="15">
        <f>W43/V43*100</f>
        <v>22.527047913446676</v>
      </c>
      <c r="Y43" s="4">
        <f>Y44</f>
        <v>11854</v>
      </c>
      <c r="Z43" s="4">
        <f>Z44</f>
        <v>4682</v>
      </c>
      <c r="AA43" s="15">
        <f>Z43/Y43*100</f>
        <v>39.497216129576515</v>
      </c>
      <c r="AB43" s="4">
        <f>AB44</f>
        <v>1567</v>
      </c>
      <c r="AC43" s="4">
        <f>AC44</f>
        <v>346</v>
      </c>
      <c r="AD43" s="15">
        <f>AC43/AB43*100</f>
        <v>22.08040842373963</v>
      </c>
      <c r="AE43" s="50">
        <f>AE44</f>
        <v>1880</v>
      </c>
      <c r="AF43" s="50">
        <f>AF44</f>
        <v>0</v>
      </c>
      <c r="AG43" s="15">
        <f>AF43/AE43*100</f>
        <v>0</v>
      </c>
      <c r="AH43" s="50">
        <f>AH44</f>
        <v>2043</v>
      </c>
      <c r="AI43" s="50">
        <f>AI44</f>
        <v>39563</v>
      </c>
      <c r="AJ43" s="4">
        <f>AJ44</f>
        <v>5490</v>
      </c>
      <c r="AK43" s="4">
        <f>AK44</f>
        <v>39909</v>
      </c>
      <c r="AL43" s="15">
        <f>AK43/AJ43*100</f>
        <v>726.9398907103824</v>
      </c>
      <c r="AM43" s="50">
        <f aca="true" t="shared" si="30" ref="AM43:AT43">AM44</f>
        <v>8677</v>
      </c>
      <c r="AN43" s="50">
        <f t="shared" si="30"/>
        <v>124</v>
      </c>
      <c r="AO43" s="50">
        <f t="shared" si="30"/>
        <v>25123</v>
      </c>
      <c r="AP43" s="50">
        <f t="shared" si="30"/>
        <v>468</v>
      </c>
      <c r="AQ43" s="50">
        <f t="shared" si="30"/>
        <v>32979</v>
      </c>
      <c r="AR43" s="50">
        <f t="shared" si="30"/>
        <v>4349</v>
      </c>
      <c r="AS43" s="116">
        <f t="shared" si="30"/>
        <v>149016</v>
      </c>
      <c r="AT43" s="116">
        <f t="shared" si="30"/>
        <v>116492</v>
      </c>
      <c r="AU43" s="15">
        <f t="shared" si="27"/>
        <v>78.17415579535083</v>
      </c>
      <c r="AV43" s="51">
        <f>AV44</f>
        <v>32524</v>
      </c>
      <c r="AW43" s="51">
        <f>AW44</f>
        <v>113705</v>
      </c>
      <c r="AX43" s="99"/>
      <c r="AY43" s="82"/>
      <c r="AZ43" s="19"/>
      <c r="BA43" s="82"/>
      <c r="BB43" s="82"/>
      <c r="BC43" s="82"/>
      <c r="BD43" s="82"/>
      <c r="BE43" s="82"/>
      <c r="BF43" s="82"/>
      <c r="BG43" s="82"/>
    </row>
    <row r="44" spans="1:59" s="8" customFormat="1" ht="24.75" customHeight="1">
      <c r="A44" s="17"/>
      <c r="B44" s="1" t="s">
        <v>34</v>
      </c>
      <c r="C44" s="2">
        <v>81181</v>
      </c>
      <c r="D44" s="3">
        <v>17376</v>
      </c>
      <c r="E44" s="3">
        <v>62502</v>
      </c>
      <c r="F44" s="15">
        <f t="shared" si="0"/>
        <v>359.70303867403317</v>
      </c>
      <c r="G44" s="3">
        <v>28467</v>
      </c>
      <c r="H44" s="3">
        <v>1137</v>
      </c>
      <c r="I44" s="15">
        <f t="shared" si="20"/>
        <v>3.9940984297607756</v>
      </c>
      <c r="J44" s="3">
        <v>19050</v>
      </c>
      <c r="K44" s="3">
        <v>3321</v>
      </c>
      <c r="L44" s="15">
        <f>K44/J44*100</f>
        <v>17.43307086614173</v>
      </c>
      <c r="M44" s="3">
        <f>D44+G44+J44</f>
        <v>64893</v>
      </c>
      <c r="N44" s="3">
        <f>E44+H44+K44</f>
        <v>66960</v>
      </c>
      <c r="O44" s="15">
        <f t="shared" si="4"/>
        <v>103.18524340067496</v>
      </c>
      <c r="P44" s="3">
        <v>6496</v>
      </c>
      <c r="Q44" s="3">
        <v>3285</v>
      </c>
      <c r="R44" s="15">
        <f t="shared" si="29"/>
        <v>50.56958128078818</v>
      </c>
      <c r="S44" s="3">
        <v>2770</v>
      </c>
      <c r="T44" s="3">
        <v>814</v>
      </c>
      <c r="U44" s="15">
        <f>T44/S44*100</f>
        <v>29.386281588447655</v>
      </c>
      <c r="V44" s="3">
        <v>2588</v>
      </c>
      <c r="W44" s="3">
        <v>583</v>
      </c>
      <c r="X44" s="15">
        <f>W44/V44*100</f>
        <v>22.527047913446676</v>
      </c>
      <c r="Y44" s="3">
        <f>P44+S44+V44</f>
        <v>11854</v>
      </c>
      <c r="Z44" s="3">
        <f>Q44+T44+W44</f>
        <v>4682</v>
      </c>
      <c r="AA44" s="15">
        <f>Z44/Y44*100</f>
        <v>39.497216129576515</v>
      </c>
      <c r="AB44" s="3">
        <v>1567</v>
      </c>
      <c r="AC44" s="3">
        <v>346</v>
      </c>
      <c r="AD44" s="15">
        <f>AC44/AB44*100</f>
        <v>22.08040842373963</v>
      </c>
      <c r="AE44" s="3">
        <v>1880</v>
      </c>
      <c r="AF44" s="3">
        <v>0</v>
      </c>
      <c r="AG44" s="15">
        <f>AF44/AE44*100</f>
        <v>0</v>
      </c>
      <c r="AH44" s="3">
        <v>2043</v>
      </c>
      <c r="AI44" s="3">
        <v>39563</v>
      </c>
      <c r="AJ44" s="3">
        <f>AB44+AE44+AH44</f>
        <v>5490</v>
      </c>
      <c r="AK44" s="3">
        <f>AC44+AF44+AI44</f>
        <v>39909</v>
      </c>
      <c r="AL44" s="15">
        <f>AK44/AJ44*100</f>
        <v>726.9398907103824</v>
      </c>
      <c r="AM44" s="3">
        <v>8677</v>
      </c>
      <c r="AN44" s="3">
        <v>124</v>
      </c>
      <c r="AO44" s="3">
        <v>25123</v>
      </c>
      <c r="AP44" s="3">
        <v>468</v>
      </c>
      <c r="AQ44" s="3">
        <v>32979</v>
      </c>
      <c r="AR44" s="3">
        <v>4349</v>
      </c>
      <c r="AS44" s="3">
        <f>M44+Y44+AJ44+AM44+AO44+AQ44</f>
        <v>149016</v>
      </c>
      <c r="AT44" s="3">
        <f>N44+Z44+AK44+AN44+AP44+AR44</f>
        <v>116492</v>
      </c>
      <c r="AU44" s="15">
        <f t="shared" si="27"/>
        <v>78.17415579535083</v>
      </c>
      <c r="AV44" s="15">
        <f>AS44-AT44</f>
        <v>32524</v>
      </c>
      <c r="AW44" s="4">
        <f>C44+AS44-AT44</f>
        <v>113705</v>
      </c>
      <c r="AX44" s="101"/>
      <c r="AY44" s="82"/>
      <c r="AZ44" s="19"/>
      <c r="BA44" s="82"/>
      <c r="BB44" s="82"/>
      <c r="BC44" s="82"/>
      <c r="BD44" s="82"/>
      <c r="BE44" s="82"/>
      <c r="BF44" s="82"/>
      <c r="BG44" s="82"/>
    </row>
    <row r="45" spans="1:59" s="8" customFormat="1" ht="24.75" customHeight="1">
      <c r="A45" s="17"/>
      <c r="B45" s="1" t="s">
        <v>43</v>
      </c>
      <c r="C45" s="2"/>
      <c r="D45" s="23"/>
      <c r="E45" s="23"/>
      <c r="F45" s="38" t="e">
        <f>E45/D45*100</f>
        <v>#DIV/0!</v>
      </c>
      <c r="G45" s="23"/>
      <c r="H45" s="23"/>
      <c r="I45" s="38" t="e">
        <f t="shared" si="20"/>
        <v>#DIV/0!</v>
      </c>
      <c r="J45" s="23"/>
      <c r="K45" s="23"/>
      <c r="L45" s="38" t="e">
        <f>K45/J45*100</f>
        <v>#DIV/0!</v>
      </c>
      <c r="M45" s="38"/>
      <c r="N45" s="38"/>
      <c r="O45" s="15"/>
      <c r="P45" s="23"/>
      <c r="Q45" s="23"/>
      <c r="R45" s="38" t="e">
        <f t="shared" si="29"/>
        <v>#DIV/0!</v>
      </c>
      <c r="S45" s="23"/>
      <c r="T45" s="23"/>
      <c r="U45" s="38" t="e">
        <f>T45/S45*100</f>
        <v>#DIV/0!</v>
      </c>
      <c r="V45" s="23"/>
      <c r="W45" s="23"/>
      <c r="X45" s="38" t="e">
        <f>W45/V45*100</f>
        <v>#DIV/0!</v>
      </c>
      <c r="Y45" s="38"/>
      <c r="Z45" s="38"/>
      <c r="AA45" s="15"/>
      <c r="AB45" s="23"/>
      <c r="AC45" s="23"/>
      <c r="AD45" s="38" t="e">
        <f>AC45/AB45*100</f>
        <v>#DIV/0!</v>
      </c>
      <c r="AE45" s="23"/>
      <c r="AF45" s="23"/>
      <c r="AG45" s="38" t="e">
        <f>AF45/AE45*100</f>
        <v>#DIV/0!</v>
      </c>
      <c r="AH45" s="23"/>
      <c r="AI45" s="23"/>
      <c r="AJ45" s="38"/>
      <c r="AK45" s="38"/>
      <c r="AL45" s="15"/>
      <c r="AM45" s="23"/>
      <c r="AN45" s="23"/>
      <c r="AO45" s="23"/>
      <c r="AP45" s="23"/>
      <c r="AQ45" s="23"/>
      <c r="AR45" s="23"/>
      <c r="AS45" s="23"/>
      <c r="AT45" s="23"/>
      <c r="AU45" s="38" t="e">
        <f>AT45/AS45*100</f>
        <v>#DIV/0!</v>
      </c>
      <c r="AV45" s="38"/>
      <c r="AW45" s="71">
        <f>C45+D45-E45</f>
        <v>0</v>
      </c>
      <c r="AX45" s="101"/>
      <c r="AY45" s="82"/>
      <c r="AZ45" s="19"/>
      <c r="BA45" s="82"/>
      <c r="BB45" s="82"/>
      <c r="BC45" s="82"/>
      <c r="BD45" s="82"/>
      <c r="BE45" s="82"/>
      <c r="BF45" s="82"/>
      <c r="BG45" s="82"/>
    </row>
    <row r="46" spans="1:59" s="8" customFormat="1" ht="24.75" customHeight="1">
      <c r="A46" s="17"/>
      <c r="B46" s="17" t="s">
        <v>7</v>
      </c>
      <c r="C46" s="50">
        <f>C7+C43</f>
        <v>91023.9</v>
      </c>
      <c r="D46" s="4">
        <f>D7+D43</f>
        <v>21544</v>
      </c>
      <c r="E46" s="4">
        <f>E7+E43</f>
        <v>68872.5</v>
      </c>
      <c r="F46" s="15">
        <f>E46/D46*100</f>
        <v>319.6829743780171</v>
      </c>
      <c r="G46" s="4">
        <f>G7+G43</f>
        <v>32606</v>
      </c>
      <c r="H46" s="4">
        <f>H7+H43</f>
        <v>2751</v>
      </c>
      <c r="I46" s="15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5">
        <f t="shared" si="4"/>
        <v>101.71214171126886</v>
      </c>
      <c r="P46" s="4">
        <f>P7+P43</f>
        <v>6633.3</v>
      </c>
      <c r="Q46" s="4">
        <f>Q7+Q43</f>
        <v>5862</v>
      </c>
      <c r="R46" s="15">
        <f t="shared" si="29"/>
        <v>88.37230337840893</v>
      </c>
      <c r="S46" s="4">
        <f>S7+S43</f>
        <v>2755.2</v>
      </c>
      <c r="T46" s="4">
        <f>T7+T43</f>
        <v>1578.7</v>
      </c>
      <c r="U46" s="15">
        <f>T46/S46*100</f>
        <v>57.298925667828115</v>
      </c>
      <c r="V46" s="4">
        <f>V7+V43</f>
        <v>2541.2</v>
      </c>
      <c r="W46" s="4">
        <f>W7+W43</f>
        <v>3332.7999999999997</v>
      </c>
      <c r="X46" s="15">
        <f>W46/V46*100</f>
        <v>131.15063749409728</v>
      </c>
      <c r="Y46" s="4">
        <f>Y7+Y43</f>
        <v>11929.7</v>
      </c>
      <c r="Z46" s="4">
        <f>Z7+Z43</f>
        <v>10773.5</v>
      </c>
      <c r="AA46" s="15">
        <f>Z46/Y46*100</f>
        <v>90.30822233585086</v>
      </c>
      <c r="AB46" s="4">
        <f>AB7+AB43</f>
        <v>1558.2</v>
      </c>
      <c r="AC46" s="4">
        <f>AC7+AC43</f>
        <v>346</v>
      </c>
      <c r="AD46" s="15">
        <f>AC46/AB46*100</f>
        <v>22.205108458477728</v>
      </c>
      <c r="AE46" s="4">
        <f>AE7+AE43</f>
        <v>1877</v>
      </c>
      <c r="AF46" s="4">
        <f>AF7+AF43</f>
        <v>4137.9</v>
      </c>
      <c r="AG46" s="15">
        <f>AF46/AE46*100</f>
        <v>220.45285029302076</v>
      </c>
      <c r="AH46" s="4">
        <f>AH7+AH43</f>
        <v>2043.7</v>
      </c>
      <c r="AI46" s="4">
        <f>AI7+AI43</f>
        <v>39876.1</v>
      </c>
      <c r="AJ46" s="4">
        <f>AJ7+AJ43</f>
        <v>5478.9</v>
      </c>
      <c r="AK46" s="4">
        <f>AK7+AK43</f>
        <v>44360</v>
      </c>
      <c r="AL46" s="15">
        <f>AK46/AJ46*100</f>
        <v>809.651572395919</v>
      </c>
      <c r="AM46" s="4">
        <f aca="true" t="shared" si="31" ref="AM46:AT46">AM7+AM43</f>
        <v>9666</v>
      </c>
      <c r="AN46" s="4">
        <f t="shared" si="31"/>
        <v>237.2</v>
      </c>
      <c r="AO46" s="4">
        <f t="shared" si="31"/>
        <v>28668.7</v>
      </c>
      <c r="AP46" s="4">
        <f t="shared" si="31"/>
        <v>668.2</v>
      </c>
      <c r="AQ46" s="4">
        <f>AQ7+AQ43</f>
        <v>36519.9</v>
      </c>
      <c r="AR46" s="4">
        <f>AR7+AR43</f>
        <v>5383.7</v>
      </c>
      <c r="AS46" s="4">
        <f t="shared" si="31"/>
        <v>167876.1</v>
      </c>
      <c r="AT46" s="4">
        <f t="shared" si="31"/>
        <v>138330.1</v>
      </c>
      <c r="AU46" s="15">
        <f>AT46/AS46*100</f>
        <v>82.40011532314607</v>
      </c>
      <c r="AV46" s="51">
        <f>AV7+AV43</f>
        <v>29546</v>
      </c>
      <c r="AW46" s="51">
        <f>AW7+AW43</f>
        <v>120569.9</v>
      </c>
      <c r="AX46" s="99">
        <f>AS46-AT46</f>
        <v>29546</v>
      </c>
      <c r="AY46" s="19">
        <f>C46+AS46-AT46</f>
        <v>120569.9</v>
      </c>
      <c r="AZ46" s="19"/>
      <c r="BA46" s="82"/>
      <c r="BB46" s="82"/>
      <c r="BC46" s="82"/>
      <c r="BD46" s="82"/>
      <c r="BE46" s="82"/>
      <c r="BF46" s="82"/>
      <c r="BG46" s="82"/>
    </row>
    <row r="47" spans="1:59" s="8" customFormat="1" ht="24.75" customHeight="1">
      <c r="A47" s="82"/>
      <c r="B47" s="82"/>
      <c r="C47" s="8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77"/>
      <c r="AT47" s="18"/>
      <c r="AU47" s="18"/>
      <c r="AV47" s="18"/>
      <c r="AW47" s="33"/>
      <c r="AX47" s="81"/>
      <c r="AY47" s="82"/>
      <c r="AZ47" s="82"/>
      <c r="BA47" s="82"/>
      <c r="BB47" s="82"/>
      <c r="BC47" s="82"/>
      <c r="BD47" s="82"/>
      <c r="BE47" s="82"/>
      <c r="BF47" s="82"/>
      <c r="BG47" s="82"/>
    </row>
    <row r="48" spans="1:59" s="8" customFormat="1" ht="18.75" customHeight="1" hidden="1">
      <c r="A48" s="17"/>
      <c r="B48" s="8" t="s">
        <v>44</v>
      </c>
      <c r="C48" s="8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9"/>
      <c r="AX48" s="81"/>
      <c r="AY48" s="82"/>
      <c r="AZ48" s="82"/>
      <c r="BA48" s="82"/>
      <c r="BB48" s="82"/>
      <c r="BC48" s="82"/>
      <c r="BD48" s="82"/>
      <c r="BE48" s="82"/>
      <c r="BF48" s="82"/>
      <c r="BG48" s="82"/>
    </row>
    <row r="49" spans="1:59" s="8" customFormat="1" ht="6.75" customHeight="1" hidden="1">
      <c r="A49" s="82"/>
      <c r="C49" s="8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9"/>
      <c r="AX49" s="81"/>
      <c r="AY49" s="82"/>
      <c r="AZ49" s="82"/>
      <c r="BA49" s="82"/>
      <c r="BB49" s="82"/>
      <c r="BC49" s="82"/>
      <c r="BD49" s="82"/>
      <c r="BE49" s="82"/>
      <c r="BF49" s="82"/>
      <c r="BG49" s="82"/>
    </row>
    <row r="50" spans="1:59" s="8" customFormat="1" ht="18.75" customHeight="1" hidden="1">
      <c r="A50" s="17"/>
      <c r="B50" s="8" t="s">
        <v>45</v>
      </c>
      <c r="C50" s="8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9"/>
      <c r="AX50" s="81"/>
      <c r="AY50" s="82"/>
      <c r="AZ50" s="82"/>
      <c r="BA50" s="82"/>
      <c r="BB50" s="82"/>
      <c r="BC50" s="82"/>
      <c r="BD50" s="82"/>
      <c r="BE50" s="82"/>
      <c r="BF50" s="82"/>
      <c r="BG50" s="82"/>
    </row>
    <row r="51" spans="3:49" ht="24.75" customHeight="1">
      <c r="C51" s="68"/>
      <c r="D51" s="33"/>
      <c r="E51" s="33"/>
      <c r="F51" s="57"/>
      <c r="G51" s="33"/>
      <c r="H51" s="33"/>
      <c r="I51" s="57"/>
      <c r="J51" s="33"/>
      <c r="K51" s="33"/>
      <c r="L51" s="57"/>
      <c r="M51" s="57"/>
      <c r="N51" s="57"/>
      <c r="O51" s="57"/>
      <c r="P51" s="33"/>
      <c r="Q51" s="33"/>
      <c r="R51" s="57"/>
      <c r="S51" s="33"/>
      <c r="T51" s="33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8"/>
      <c r="AT51" s="58"/>
      <c r="AU51" s="57"/>
      <c r="AV51" s="33"/>
      <c r="AW51" s="59"/>
    </row>
    <row r="52" spans="1:59" ht="73.5" customHeight="1" hidden="1">
      <c r="A52" s="58" t="s">
        <v>99</v>
      </c>
      <c r="B52" s="58"/>
      <c r="C52" s="58"/>
      <c r="D52" s="58"/>
      <c r="E52" s="58"/>
      <c r="F52" s="57"/>
      <c r="G52" s="33"/>
      <c r="H52" s="33"/>
      <c r="I52" s="57"/>
      <c r="J52" s="33"/>
      <c r="K52" s="33"/>
      <c r="L52" s="57"/>
      <c r="M52" s="57"/>
      <c r="N52" s="57"/>
      <c r="O52" s="57"/>
      <c r="P52" s="33"/>
      <c r="Q52" s="33"/>
      <c r="R52" s="57"/>
      <c r="S52" s="33"/>
      <c r="T52" s="33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33"/>
      <c r="AT52" s="33"/>
      <c r="AU52" s="57"/>
      <c r="AV52" s="33"/>
      <c r="AW52" s="33"/>
      <c r="AX52" s="33"/>
      <c r="AY52" s="33"/>
      <c r="AZ52" s="57"/>
      <c r="BA52" s="59" t="s">
        <v>97</v>
      </c>
      <c r="BB52" s="5"/>
      <c r="BC52" s="5"/>
      <c r="BD52" s="5"/>
      <c r="BE52" s="5"/>
      <c r="BF52" s="5"/>
      <c r="BG52" s="5"/>
    </row>
    <row r="53" spans="1:49" s="66" customFormat="1" ht="42" customHeight="1">
      <c r="A53" s="61"/>
      <c r="B53" s="129" t="s">
        <v>101</v>
      </c>
      <c r="C53" s="129"/>
      <c r="D53" s="62"/>
      <c r="E53" s="62"/>
      <c r="F53" s="63"/>
      <c r="G53" s="64"/>
      <c r="H53" s="64"/>
      <c r="I53" s="63"/>
      <c r="J53" s="64"/>
      <c r="K53" s="64"/>
      <c r="L53" s="63"/>
      <c r="M53" s="63"/>
      <c r="N53" s="63"/>
      <c r="O53" s="63"/>
      <c r="P53" s="64"/>
      <c r="Q53" s="64"/>
      <c r="R53" s="63"/>
      <c r="S53" s="64"/>
      <c r="T53" s="64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2"/>
      <c r="AT53" s="62"/>
      <c r="AU53" s="63"/>
      <c r="AV53" s="64"/>
      <c r="AW53" s="65" t="s">
        <v>100</v>
      </c>
    </row>
    <row r="54" spans="3:49" ht="40.5" customHeight="1">
      <c r="C54" s="93"/>
      <c r="D54" s="29"/>
      <c r="E54" s="29"/>
      <c r="F54" s="67"/>
      <c r="G54" s="29"/>
      <c r="H54" s="29"/>
      <c r="I54" s="67"/>
      <c r="J54" s="29"/>
      <c r="K54" s="29"/>
      <c r="L54" s="67"/>
      <c r="M54" s="67"/>
      <c r="N54" s="67"/>
      <c r="O54" s="67"/>
      <c r="P54" s="29"/>
      <c r="Q54" s="29"/>
      <c r="R54" s="67"/>
      <c r="S54" s="29"/>
      <c r="T54" s="29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29"/>
      <c r="AT54" s="29"/>
      <c r="AU54" s="67"/>
      <c r="AV54" s="29"/>
      <c r="AW54" s="29"/>
    </row>
    <row r="55" spans="3:49" ht="18.75">
      <c r="C55" s="93"/>
      <c r="D55" s="29"/>
      <c r="E55" s="29"/>
      <c r="F55" s="67"/>
      <c r="G55" s="3">
        <v>142.7</v>
      </c>
      <c r="H55" s="3">
        <v>103.3</v>
      </c>
      <c r="I55" s="15"/>
      <c r="J55" s="3">
        <v>142.7</v>
      </c>
      <c r="K55" s="3">
        <v>103.3</v>
      </c>
      <c r="L55" s="15"/>
      <c r="M55" s="15"/>
      <c r="N55" s="15"/>
      <c r="O55" s="15"/>
      <c r="P55" s="3">
        <v>142.7</v>
      </c>
      <c r="Q55" s="3">
        <v>103.3</v>
      </c>
      <c r="R55" s="15"/>
      <c r="S55" s="3">
        <v>142.7</v>
      </c>
      <c r="T55" s="3">
        <v>103.3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3">
        <v>1154.2</v>
      </c>
      <c r="AT55" s="3">
        <v>1213.3</v>
      </c>
      <c r="AU55" s="15"/>
      <c r="AV55" s="3"/>
      <c r="AW55" s="4">
        <f>C55+D55-E55</f>
        <v>0</v>
      </c>
    </row>
    <row r="56" spans="2:49" ht="18.75">
      <c r="B56" s="5" t="s">
        <v>39</v>
      </c>
      <c r="C56" s="79">
        <v>27</v>
      </c>
      <c r="D56" s="103">
        <v>97.6</v>
      </c>
      <c r="E56" s="103">
        <v>107.2</v>
      </c>
      <c r="F56" s="104"/>
      <c r="G56" s="29"/>
      <c r="H56" s="29"/>
      <c r="I56" s="67"/>
      <c r="J56" s="29"/>
      <c r="K56" s="29"/>
      <c r="L56" s="67"/>
      <c r="M56" s="67"/>
      <c r="N56" s="67"/>
      <c r="O56" s="67"/>
      <c r="P56" s="29"/>
      <c r="Q56" s="29"/>
      <c r="R56" s="67"/>
      <c r="S56" s="29"/>
      <c r="T56" s="29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29">
        <v>1415.7</v>
      </c>
      <c r="AT56" s="29">
        <v>1436.1</v>
      </c>
      <c r="AU56" s="67"/>
      <c r="AV56" s="29"/>
      <c r="AW56" s="4">
        <f>C56+D56-E56</f>
        <v>17.39999999999999</v>
      </c>
    </row>
    <row r="57" spans="2:49" ht="18.75">
      <c r="B57" s="5" t="s">
        <v>40</v>
      </c>
      <c r="C57" s="68">
        <v>52.2</v>
      </c>
      <c r="D57" s="33">
        <v>256.6</v>
      </c>
      <c r="E57" s="33">
        <v>288.5</v>
      </c>
      <c r="F57" s="57"/>
      <c r="G57" s="29"/>
      <c r="H57" s="29"/>
      <c r="I57" s="67"/>
      <c r="J57" s="29"/>
      <c r="K57" s="29"/>
      <c r="L57" s="67"/>
      <c r="M57" s="67"/>
      <c r="N57" s="67"/>
      <c r="O57" s="67"/>
      <c r="P57" s="29"/>
      <c r="Q57" s="29"/>
      <c r="R57" s="67"/>
      <c r="S57" s="29"/>
      <c r="T57" s="29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29"/>
      <c r="AT57" s="29"/>
      <c r="AU57" s="67"/>
      <c r="AV57" s="29"/>
      <c r="AW57" s="29"/>
    </row>
    <row r="58" spans="3:49" ht="18.75">
      <c r="C58" s="68"/>
      <c r="D58" s="33"/>
      <c r="E58" s="33"/>
      <c r="F58" s="57"/>
      <c r="G58" s="29"/>
      <c r="H58" s="29"/>
      <c r="I58" s="67"/>
      <c r="J58" s="29"/>
      <c r="K58" s="29"/>
      <c r="L58" s="67"/>
      <c r="M58" s="67"/>
      <c r="N58" s="67"/>
      <c r="O58" s="67"/>
      <c r="P58" s="29"/>
      <c r="Q58" s="29"/>
      <c r="R58" s="67"/>
      <c r="S58" s="29"/>
      <c r="T58" s="29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29"/>
      <c r="AT58" s="29"/>
      <c r="AU58" s="67"/>
      <c r="AV58" s="29"/>
      <c r="AW58" s="29"/>
    </row>
    <row r="59" spans="3:49" ht="18.75">
      <c r="C59" s="68"/>
      <c r="D59" s="33"/>
      <c r="E59" s="33"/>
      <c r="F59" s="57"/>
      <c r="G59" s="29"/>
      <c r="H59" s="29"/>
      <c r="I59" s="67"/>
      <c r="J59" s="29"/>
      <c r="K59" s="29"/>
      <c r="L59" s="67"/>
      <c r="M59" s="67"/>
      <c r="N59" s="67"/>
      <c r="O59" s="67"/>
      <c r="P59" s="29"/>
      <c r="Q59" s="29"/>
      <c r="R59" s="67"/>
      <c r="S59" s="29"/>
      <c r="T59" s="29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29"/>
      <c r="AT59" s="29"/>
      <c r="AU59" s="67"/>
      <c r="AV59" s="29"/>
      <c r="AW59" s="29">
        <f>AW9+AW17+AW20+AW26+AW36+AW38+AW40</f>
        <v>902.6999999999997</v>
      </c>
    </row>
    <row r="60" spans="2:49" ht="18.75">
      <c r="B60" s="5" t="s">
        <v>41</v>
      </c>
      <c r="C60" s="68">
        <f>C9+C17+C20+C26+C36+C38+C40</f>
        <v>961.3</v>
      </c>
      <c r="D60" s="33"/>
      <c r="E60" s="33"/>
      <c r="F60" s="57"/>
      <c r="G60" s="29"/>
      <c r="H60" s="29"/>
      <c r="I60" s="67"/>
      <c r="J60" s="29"/>
      <c r="K60" s="29"/>
      <c r="L60" s="67"/>
      <c r="M60" s="67"/>
      <c r="N60" s="67"/>
      <c r="O60" s="67"/>
      <c r="P60" s="29"/>
      <c r="Q60" s="29"/>
      <c r="R60" s="67"/>
      <c r="S60" s="29"/>
      <c r="T60" s="29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29"/>
      <c r="AT60" s="29"/>
      <c r="AU60" s="67"/>
      <c r="AV60" s="29"/>
      <c r="AW60" s="29">
        <f>AW11+AW13+AW14+AW16+AW18+AW19+AW25</f>
        <v>133.80000000000004</v>
      </c>
    </row>
    <row r="61" spans="2:49" ht="18.75">
      <c r="B61" s="5" t="s">
        <v>42</v>
      </c>
      <c r="C61" s="68">
        <f>C11+C13+C14+C16+C18+C19+C25</f>
        <v>92.8</v>
      </c>
      <c r="D61" s="33"/>
      <c r="E61" s="33"/>
      <c r="F61" s="57"/>
      <c r="G61" s="29"/>
      <c r="H61" s="29"/>
      <c r="I61" s="67"/>
      <c r="J61" s="29"/>
      <c r="K61" s="29"/>
      <c r="L61" s="67"/>
      <c r="M61" s="67"/>
      <c r="N61" s="67"/>
      <c r="O61" s="67"/>
      <c r="P61" s="29"/>
      <c r="Q61" s="29"/>
      <c r="R61" s="67"/>
      <c r="S61" s="29"/>
      <c r="T61" s="29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29"/>
      <c r="AT61" s="29"/>
      <c r="AU61" s="67"/>
      <c r="AV61" s="29"/>
      <c r="AW61" s="29"/>
    </row>
    <row r="62" spans="3:49" ht="18.75">
      <c r="C62" s="93"/>
      <c r="D62" s="29"/>
      <c r="E62" s="29"/>
      <c r="F62" s="67"/>
      <c r="G62" s="29"/>
      <c r="H62" s="29"/>
      <c r="I62" s="67"/>
      <c r="J62" s="29"/>
      <c r="K62" s="29"/>
      <c r="L62" s="67"/>
      <c r="M62" s="67"/>
      <c r="N62" s="67"/>
      <c r="O62" s="67"/>
      <c r="P62" s="29"/>
      <c r="Q62" s="29"/>
      <c r="R62" s="67"/>
      <c r="S62" s="29"/>
      <c r="T62" s="29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29"/>
      <c r="AT62" s="29"/>
      <c r="AU62" s="67"/>
      <c r="AV62" s="29"/>
      <c r="AW62" s="29"/>
    </row>
    <row r="63" spans="3:49" ht="18.75">
      <c r="C63" s="93"/>
      <c r="D63" s="29"/>
      <c r="E63" s="29"/>
      <c r="F63" s="67"/>
      <c r="G63" s="29"/>
      <c r="H63" s="29"/>
      <c r="I63" s="67"/>
      <c r="J63" s="29"/>
      <c r="K63" s="29"/>
      <c r="L63" s="67"/>
      <c r="M63" s="67"/>
      <c r="N63" s="67"/>
      <c r="O63" s="67"/>
      <c r="P63" s="29"/>
      <c r="Q63" s="29"/>
      <c r="R63" s="67"/>
      <c r="S63" s="29"/>
      <c r="T63" s="29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29"/>
      <c r="AT63" s="29"/>
      <c r="AU63" s="67"/>
      <c r="AV63" s="29"/>
      <c r="AW63" s="29"/>
    </row>
    <row r="64" spans="3:49" ht="18.75">
      <c r="C64" s="93"/>
      <c r="D64" s="29"/>
      <c r="E64" s="29"/>
      <c r="F64" s="67"/>
      <c r="G64" s="29"/>
      <c r="H64" s="29"/>
      <c r="I64" s="67"/>
      <c r="J64" s="29"/>
      <c r="K64" s="29"/>
      <c r="L64" s="67"/>
      <c r="M64" s="67"/>
      <c r="N64" s="67"/>
      <c r="O64" s="67"/>
      <c r="P64" s="29"/>
      <c r="Q64" s="29"/>
      <c r="R64" s="67"/>
      <c r="S64" s="29"/>
      <c r="T64" s="29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9"/>
      <c r="AT64" s="29"/>
      <c r="AU64" s="67"/>
      <c r="AV64" s="29"/>
      <c r="AW64" s="29"/>
    </row>
    <row r="65" spans="3:49" ht="18.75">
      <c r="C65" s="93"/>
      <c r="D65" s="29"/>
      <c r="E65" s="29"/>
      <c r="F65" s="67"/>
      <c r="G65" s="29"/>
      <c r="H65" s="29"/>
      <c r="I65" s="67"/>
      <c r="J65" s="29"/>
      <c r="K65" s="29"/>
      <c r="L65" s="67"/>
      <c r="M65" s="67"/>
      <c r="N65" s="67"/>
      <c r="O65" s="67"/>
      <c r="P65" s="29"/>
      <c r="Q65" s="29"/>
      <c r="R65" s="67"/>
      <c r="S65" s="29"/>
      <c r="T65" s="2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9"/>
      <c r="AT65" s="29"/>
      <c r="AU65" s="67"/>
      <c r="AV65" s="29"/>
      <c r="AW65" s="29"/>
    </row>
    <row r="66" spans="3:49" ht="18.75">
      <c r="C66" s="93"/>
      <c r="D66" s="29"/>
      <c r="E66" s="29"/>
      <c r="F66" s="67"/>
      <c r="G66" s="29"/>
      <c r="H66" s="29"/>
      <c r="I66" s="67"/>
      <c r="J66" s="29"/>
      <c r="K66" s="29"/>
      <c r="L66" s="67"/>
      <c r="M66" s="67"/>
      <c r="N66" s="67"/>
      <c r="O66" s="67"/>
      <c r="P66" s="29"/>
      <c r="Q66" s="29"/>
      <c r="R66" s="67"/>
      <c r="S66" s="29"/>
      <c r="T66" s="2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29"/>
      <c r="AT66" s="29"/>
      <c r="AU66" s="67"/>
      <c r="AV66" s="29"/>
      <c r="AW66" s="29"/>
    </row>
    <row r="67" spans="3:49" ht="18.75">
      <c r="C67" s="93"/>
      <c r="D67" s="29"/>
      <c r="E67" s="29"/>
      <c r="F67" s="67"/>
      <c r="G67" s="29"/>
      <c r="H67" s="29"/>
      <c r="I67" s="67"/>
      <c r="J67" s="29"/>
      <c r="K67" s="29"/>
      <c r="L67" s="67"/>
      <c r="M67" s="67"/>
      <c r="N67" s="67"/>
      <c r="O67" s="67"/>
      <c r="P67" s="29"/>
      <c r="Q67" s="29"/>
      <c r="R67" s="67"/>
      <c r="S67" s="29"/>
      <c r="T67" s="29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29"/>
      <c r="AT67" s="29"/>
      <c r="AU67" s="67"/>
      <c r="AV67" s="29"/>
      <c r="AW67" s="29"/>
    </row>
    <row r="68" spans="3:49" ht="18.75">
      <c r="C68" s="93"/>
      <c r="D68" s="29"/>
      <c r="E68" s="29"/>
      <c r="F68" s="67"/>
      <c r="G68" s="29"/>
      <c r="H68" s="29"/>
      <c r="I68" s="67"/>
      <c r="J68" s="29"/>
      <c r="K68" s="29"/>
      <c r="L68" s="67"/>
      <c r="M68" s="67"/>
      <c r="N68" s="67"/>
      <c r="O68" s="67"/>
      <c r="P68" s="29"/>
      <c r="Q68" s="29"/>
      <c r="R68" s="67"/>
      <c r="S68" s="29"/>
      <c r="T68" s="29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29"/>
      <c r="AT68" s="29"/>
      <c r="AU68" s="67"/>
      <c r="AV68" s="29"/>
      <c r="AW68" s="29"/>
    </row>
    <row r="69" spans="3:49" ht="18.75">
      <c r="C69" s="93"/>
      <c r="D69" s="29"/>
      <c r="E69" s="29"/>
      <c r="F69" s="67"/>
      <c r="G69" s="29"/>
      <c r="H69" s="29"/>
      <c r="I69" s="67"/>
      <c r="J69" s="29"/>
      <c r="K69" s="29"/>
      <c r="L69" s="67"/>
      <c r="M69" s="67"/>
      <c r="N69" s="67"/>
      <c r="O69" s="67"/>
      <c r="P69" s="29"/>
      <c r="Q69" s="29"/>
      <c r="R69" s="67"/>
      <c r="S69" s="29"/>
      <c r="T69" s="29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29"/>
      <c r="AT69" s="29"/>
      <c r="AU69" s="67"/>
      <c r="AV69" s="29"/>
      <c r="AW69" s="29"/>
    </row>
    <row r="70" spans="3:49" ht="18.75">
      <c r="C70" s="93"/>
      <c r="D70" s="29"/>
      <c r="E70" s="29"/>
      <c r="F70" s="67"/>
      <c r="G70" s="29"/>
      <c r="H70" s="29"/>
      <c r="I70" s="67"/>
      <c r="J70" s="29"/>
      <c r="K70" s="29"/>
      <c r="L70" s="67"/>
      <c r="M70" s="67"/>
      <c r="N70" s="67"/>
      <c r="O70" s="67"/>
      <c r="P70" s="29"/>
      <c r="Q70" s="29"/>
      <c r="R70" s="67"/>
      <c r="S70" s="29"/>
      <c r="T70" s="29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29"/>
      <c r="AT70" s="29"/>
      <c r="AU70" s="67"/>
      <c r="AV70" s="29"/>
      <c r="AW70" s="29"/>
    </row>
    <row r="71" spans="3:49" ht="18.75">
      <c r="C71" s="93"/>
      <c r="D71" s="29"/>
      <c r="E71" s="29"/>
      <c r="F71" s="67"/>
      <c r="G71" s="29"/>
      <c r="H71" s="29"/>
      <c r="I71" s="67"/>
      <c r="J71" s="29"/>
      <c r="K71" s="29"/>
      <c r="L71" s="67"/>
      <c r="M71" s="67"/>
      <c r="N71" s="67"/>
      <c r="O71" s="67"/>
      <c r="P71" s="29"/>
      <c r="Q71" s="29"/>
      <c r="R71" s="67"/>
      <c r="S71" s="29"/>
      <c r="T71" s="29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29"/>
      <c r="AT71" s="29"/>
      <c r="AU71" s="67"/>
      <c r="AV71" s="29"/>
      <c r="AW71" s="29"/>
    </row>
    <row r="72" spans="3:49" ht="18.75">
      <c r="C72" s="93"/>
      <c r="D72" s="29"/>
      <c r="E72" s="29"/>
      <c r="F72" s="67"/>
      <c r="G72" s="29"/>
      <c r="H72" s="29"/>
      <c r="I72" s="67"/>
      <c r="J72" s="29"/>
      <c r="K72" s="29"/>
      <c r="L72" s="67"/>
      <c r="M72" s="67"/>
      <c r="N72" s="67"/>
      <c r="O72" s="67"/>
      <c r="P72" s="29"/>
      <c r="Q72" s="29"/>
      <c r="R72" s="67"/>
      <c r="S72" s="29"/>
      <c r="T72" s="29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29"/>
      <c r="AT72" s="29"/>
      <c r="AU72" s="67"/>
      <c r="AV72" s="29"/>
      <c r="AW72" s="29"/>
    </row>
    <row r="73" spans="3:49" ht="18.75">
      <c r="C73" s="93"/>
      <c r="D73" s="29"/>
      <c r="E73" s="29"/>
      <c r="F73" s="67"/>
      <c r="G73" s="29"/>
      <c r="H73" s="29"/>
      <c r="I73" s="67"/>
      <c r="J73" s="29"/>
      <c r="K73" s="29"/>
      <c r="L73" s="67"/>
      <c r="M73" s="67"/>
      <c r="N73" s="67"/>
      <c r="O73" s="67"/>
      <c r="P73" s="29"/>
      <c r="Q73" s="29"/>
      <c r="R73" s="67"/>
      <c r="S73" s="29"/>
      <c r="T73" s="29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29"/>
      <c r="AT73" s="29"/>
      <c r="AU73" s="67"/>
      <c r="AV73" s="29"/>
      <c r="AW73" s="29"/>
    </row>
    <row r="74" spans="3:49" ht="18.75">
      <c r="C74" s="93"/>
      <c r="D74" s="29"/>
      <c r="E74" s="29"/>
      <c r="F74" s="67"/>
      <c r="G74" s="29"/>
      <c r="H74" s="29"/>
      <c r="I74" s="67"/>
      <c r="J74" s="29"/>
      <c r="K74" s="29"/>
      <c r="L74" s="67"/>
      <c r="M74" s="67"/>
      <c r="N74" s="67"/>
      <c r="O74" s="67"/>
      <c r="P74" s="29"/>
      <c r="Q74" s="29"/>
      <c r="R74" s="67"/>
      <c r="S74" s="29"/>
      <c r="T74" s="29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29"/>
      <c r="AT74" s="29"/>
      <c r="AU74" s="67"/>
      <c r="AV74" s="29"/>
      <c r="AW74" s="29"/>
    </row>
    <row r="75" spans="3:49" ht="18.75">
      <c r="C75" s="93"/>
      <c r="D75" s="29"/>
      <c r="E75" s="29"/>
      <c r="F75" s="67"/>
      <c r="G75" s="29"/>
      <c r="H75" s="29"/>
      <c r="I75" s="67"/>
      <c r="J75" s="29"/>
      <c r="K75" s="29"/>
      <c r="L75" s="67"/>
      <c r="M75" s="67"/>
      <c r="N75" s="67"/>
      <c r="O75" s="67"/>
      <c r="P75" s="29"/>
      <c r="Q75" s="29"/>
      <c r="R75" s="67"/>
      <c r="S75" s="29"/>
      <c r="T75" s="29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29"/>
      <c r="AT75" s="29"/>
      <c r="AU75" s="67"/>
      <c r="AV75" s="29"/>
      <c r="AW75" s="29"/>
    </row>
    <row r="76" spans="3:49" ht="18.75">
      <c r="C76" s="93"/>
      <c r="D76" s="29"/>
      <c r="E76" s="29"/>
      <c r="F76" s="67"/>
      <c r="G76" s="29"/>
      <c r="H76" s="29"/>
      <c r="I76" s="67"/>
      <c r="J76" s="29"/>
      <c r="K76" s="29"/>
      <c r="L76" s="67"/>
      <c r="M76" s="67"/>
      <c r="N76" s="67"/>
      <c r="O76" s="67"/>
      <c r="P76" s="29"/>
      <c r="Q76" s="29"/>
      <c r="R76" s="67"/>
      <c r="S76" s="29"/>
      <c r="T76" s="29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29"/>
      <c r="AT76" s="29"/>
      <c r="AU76" s="67"/>
      <c r="AV76" s="29"/>
      <c r="AW76" s="29"/>
    </row>
    <row r="77" spans="3:49" ht="18.75">
      <c r="C77" s="93"/>
      <c r="D77" s="29"/>
      <c r="E77" s="29"/>
      <c r="F77" s="67"/>
      <c r="G77" s="29"/>
      <c r="H77" s="29"/>
      <c r="I77" s="67"/>
      <c r="J77" s="29"/>
      <c r="K77" s="29"/>
      <c r="L77" s="67"/>
      <c r="M77" s="67"/>
      <c r="N77" s="67"/>
      <c r="O77" s="67"/>
      <c r="P77" s="29"/>
      <c r="Q77" s="29"/>
      <c r="R77" s="67"/>
      <c r="S77" s="29"/>
      <c r="T77" s="2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29"/>
      <c r="AT77" s="29"/>
      <c r="AU77" s="67"/>
      <c r="AV77" s="29"/>
      <c r="AW77" s="29"/>
    </row>
    <row r="78" spans="3:49" ht="18.75">
      <c r="C78" s="93"/>
      <c r="D78" s="29"/>
      <c r="E78" s="29"/>
      <c r="F78" s="67"/>
      <c r="G78" s="29"/>
      <c r="H78" s="29"/>
      <c r="I78" s="67"/>
      <c r="J78" s="29"/>
      <c r="K78" s="29"/>
      <c r="L78" s="67"/>
      <c r="M78" s="67"/>
      <c r="N78" s="67"/>
      <c r="O78" s="67"/>
      <c r="P78" s="29"/>
      <c r="Q78" s="29"/>
      <c r="R78" s="67"/>
      <c r="S78" s="29"/>
      <c r="T78" s="2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29"/>
      <c r="AT78" s="29"/>
      <c r="AU78" s="67"/>
      <c r="AV78" s="29"/>
      <c r="AW78" s="29"/>
    </row>
    <row r="79" spans="3:49" ht="18.75">
      <c r="C79" s="93"/>
      <c r="D79" s="29"/>
      <c r="E79" s="29"/>
      <c r="F79" s="67"/>
      <c r="G79" s="29"/>
      <c r="H79" s="29"/>
      <c r="I79" s="67"/>
      <c r="J79" s="29"/>
      <c r="K79" s="29"/>
      <c r="L79" s="67"/>
      <c r="M79" s="67"/>
      <c r="N79" s="67"/>
      <c r="O79" s="67"/>
      <c r="P79" s="29"/>
      <c r="Q79" s="29"/>
      <c r="R79" s="67"/>
      <c r="S79" s="29"/>
      <c r="T79" s="29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29"/>
      <c r="AT79" s="29"/>
      <c r="AU79" s="67"/>
      <c r="AV79" s="29"/>
      <c r="AW79" s="29"/>
    </row>
    <row r="80" spans="3:49" ht="18.75">
      <c r="C80" s="93"/>
      <c r="D80" s="29"/>
      <c r="E80" s="29"/>
      <c r="F80" s="67"/>
      <c r="G80" s="29"/>
      <c r="H80" s="29"/>
      <c r="I80" s="67"/>
      <c r="J80" s="29"/>
      <c r="K80" s="29"/>
      <c r="L80" s="67"/>
      <c r="M80" s="67"/>
      <c r="N80" s="67"/>
      <c r="O80" s="67"/>
      <c r="P80" s="29"/>
      <c r="Q80" s="29"/>
      <c r="R80" s="67"/>
      <c r="S80" s="29"/>
      <c r="T80" s="29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29"/>
      <c r="AT80" s="29"/>
      <c r="AU80" s="67"/>
      <c r="AV80" s="29"/>
      <c r="AW80" s="29"/>
    </row>
    <row r="81" spans="3:49" ht="18.75">
      <c r="C81" s="93"/>
      <c r="D81" s="29"/>
      <c r="E81" s="29"/>
      <c r="F81" s="67"/>
      <c r="G81" s="29"/>
      <c r="H81" s="29"/>
      <c r="I81" s="67"/>
      <c r="J81" s="29"/>
      <c r="K81" s="29"/>
      <c r="L81" s="67"/>
      <c r="M81" s="67"/>
      <c r="N81" s="67"/>
      <c r="O81" s="67"/>
      <c r="P81" s="29"/>
      <c r="Q81" s="29"/>
      <c r="R81" s="67"/>
      <c r="S81" s="29"/>
      <c r="T81" s="29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29"/>
      <c r="AT81" s="29"/>
      <c r="AU81" s="67"/>
      <c r="AV81" s="29"/>
      <c r="AW81" s="29"/>
    </row>
    <row r="82" spans="3:49" ht="18.75">
      <c r="C82" s="93"/>
      <c r="D82" s="29"/>
      <c r="E82" s="29"/>
      <c r="F82" s="67"/>
      <c r="G82" s="29"/>
      <c r="H82" s="29"/>
      <c r="I82" s="67"/>
      <c r="J82" s="29"/>
      <c r="K82" s="29"/>
      <c r="L82" s="67"/>
      <c r="M82" s="67"/>
      <c r="N82" s="67"/>
      <c r="O82" s="67"/>
      <c r="P82" s="29"/>
      <c r="Q82" s="29"/>
      <c r="R82" s="67"/>
      <c r="S82" s="29"/>
      <c r="T82" s="29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29"/>
      <c r="AT82" s="29"/>
      <c r="AU82" s="67"/>
      <c r="AV82" s="29"/>
      <c r="AW82" s="29"/>
    </row>
    <row r="83" spans="3:49" ht="18.75">
      <c r="C83" s="93"/>
      <c r="D83" s="29"/>
      <c r="E83" s="29"/>
      <c r="F83" s="67"/>
      <c r="G83" s="29"/>
      <c r="H83" s="29"/>
      <c r="I83" s="67"/>
      <c r="J83" s="29"/>
      <c r="K83" s="29"/>
      <c r="L83" s="67"/>
      <c r="M83" s="67"/>
      <c r="N83" s="67"/>
      <c r="O83" s="67"/>
      <c r="P83" s="29"/>
      <c r="Q83" s="29"/>
      <c r="R83" s="67"/>
      <c r="S83" s="29"/>
      <c r="T83" s="29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29"/>
      <c r="AT83" s="29"/>
      <c r="AU83" s="67"/>
      <c r="AV83" s="29"/>
      <c r="AW83" s="29"/>
    </row>
    <row r="84" spans="3:49" ht="18.75">
      <c r="C84" s="93"/>
      <c r="D84" s="29"/>
      <c r="E84" s="29"/>
      <c r="F84" s="67"/>
      <c r="G84" s="29"/>
      <c r="H84" s="29"/>
      <c r="I84" s="67"/>
      <c r="J84" s="29"/>
      <c r="K84" s="29"/>
      <c r="L84" s="67"/>
      <c r="M84" s="67"/>
      <c r="N84" s="67"/>
      <c r="O84" s="67"/>
      <c r="P84" s="29"/>
      <c r="Q84" s="29"/>
      <c r="R84" s="67"/>
      <c r="S84" s="29"/>
      <c r="T84" s="29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29"/>
      <c r="AT84" s="29"/>
      <c r="AU84" s="67"/>
      <c r="AV84" s="29"/>
      <c r="AW84" s="29"/>
    </row>
    <row r="85" spans="3:49" ht="18.75">
      <c r="C85" s="93"/>
      <c r="D85" s="29"/>
      <c r="E85" s="29"/>
      <c r="F85" s="67"/>
      <c r="G85" s="29"/>
      <c r="H85" s="29"/>
      <c r="I85" s="67"/>
      <c r="J85" s="29"/>
      <c r="K85" s="29"/>
      <c r="L85" s="67"/>
      <c r="M85" s="67"/>
      <c r="N85" s="67"/>
      <c r="O85" s="67"/>
      <c r="P85" s="29"/>
      <c r="Q85" s="29"/>
      <c r="R85" s="67"/>
      <c r="S85" s="29"/>
      <c r="T85" s="29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29"/>
      <c r="AT85" s="29"/>
      <c r="AU85" s="67"/>
      <c r="AV85" s="29"/>
      <c r="AW85" s="29"/>
    </row>
    <row r="86" spans="3:49" ht="18.75">
      <c r="C86" s="93"/>
      <c r="D86" s="29"/>
      <c r="E86" s="29"/>
      <c r="F86" s="67"/>
      <c r="G86" s="29"/>
      <c r="H86" s="29"/>
      <c r="I86" s="67"/>
      <c r="J86" s="29"/>
      <c r="K86" s="29"/>
      <c r="L86" s="67"/>
      <c r="M86" s="67"/>
      <c r="N86" s="67"/>
      <c r="O86" s="67"/>
      <c r="P86" s="29"/>
      <c r="Q86" s="29"/>
      <c r="R86" s="67"/>
      <c r="S86" s="29"/>
      <c r="T86" s="29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29"/>
      <c r="AT86" s="29"/>
      <c r="AU86" s="67"/>
      <c r="AV86" s="29"/>
      <c r="AW86" s="29"/>
    </row>
    <row r="87" spans="3:49" ht="18.75">
      <c r="C87" s="93"/>
      <c r="D87" s="29"/>
      <c r="E87" s="29"/>
      <c r="F87" s="67"/>
      <c r="G87" s="29"/>
      <c r="H87" s="29"/>
      <c r="I87" s="67"/>
      <c r="J87" s="29"/>
      <c r="K87" s="29"/>
      <c r="L87" s="67"/>
      <c r="M87" s="67"/>
      <c r="N87" s="67"/>
      <c r="O87" s="67"/>
      <c r="P87" s="29"/>
      <c r="Q87" s="29"/>
      <c r="R87" s="67"/>
      <c r="S87" s="29"/>
      <c r="T87" s="29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29"/>
      <c r="AT87" s="29"/>
      <c r="AU87" s="67"/>
      <c r="AV87" s="29"/>
      <c r="AW87" s="29"/>
    </row>
    <row r="88" spans="3:49" ht="18.75">
      <c r="C88" s="93"/>
      <c r="D88" s="29"/>
      <c r="E88" s="29"/>
      <c r="F88" s="67"/>
      <c r="G88" s="29"/>
      <c r="H88" s="29"/>
      <c r="I88" s="67"/>
      <c r="J88" s="29"/>
      <c r="K88" s="29"/>
      <c r="L88" s="67"/>
      <c r="M88" s="67"/>
      <c r="N88" s="67"/>
      <c r="O88" s="67"/>
      <c r="P88" s="29"/>
      <c r="Q88" s="29"/>
      <c r="R88" s="67"/>
      <c r="S88" s="29"/>
      <c r="T88" s="2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29"/>
      <c r="AT88" s="29"/>
      <c r="AU88" s="67"/>
      <c r="AV88" s="29"/>
      <c r="AW88" s="29"/>
    </row>
    <row r="89" spans="3:49" ht="18.75">
      <c r="C89" s="93"/>
      <c r="D89" s="29"/>
      <c r="E89" s="29"/>
      <c r="F89" s="67"/>
      <c r="G89" s="29"/>
      <c r="H89" s="29"/>
      <c r="I89" s="67"/>
      <c r="J89" s="29"/>
      <c r="K89" s="29"/>
      <c r="L89" s="67"/>
      <c r="M89" s="67"/>
      <c r="N89" s="67"/>
      <c r="O89" s="67"/>
      <c r="P89" s="29"/>
      <c r="Q89" s="29"/>
      <c r="R89" s="67"/>
      <c r="S89" s="29"/>
      <c r="T89" s="29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29"/>
      <c r="AT89" s="29"/>
      <c r="AU89" s="67"/>
      <c r="AV89" s="29"/>
      <c r="AW89" s="29"/>
    </row>
    <row r="90" spans="3:49" ht="18.75">
      <c r="C90" s="93"/>
      <c r="D90" s="29"/>
      <c r="E90" s="29"/>
      <c r="F90" s="67"/>
      <c r="G90" s="29"/>
      <c r="H90" s="29"/>
      <c r="I90" s="67"/>
      <c r="J90" s="29"/>
      <c r="K90" s="29"/>
      <c r="L90" s="67"/>
      <c r="M90" s="67"/>
      <c r="N90" s="67"/>
      <c r="O90" s="67"/>
      <c r="P90" s="29"/>
      <c r="Q90" s="29"/>
      <c r="R90" s="67"/>
      <c r="S90" s="29"/>
      <c r="T90" s="29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29"/>
      <c r="AT90" s="29"/>
      <c r="AU90" s="67"/>
      <c r="AV90" s="29"/>
      <c r="AW90" s="29"/>
    </row>
    <row r="91" spans="3:49" ht="18.75">
      <c r="C91" s="93"/>
      <c r="D91" s="29"/>
      <c r="E91" s="29"/>
      <c r="F91" s="67"/>
      <c r="G91" s="29"/>
      <c r="H91" s="29"/>
      <c r="I91" s="67"/>
      <c r="J91" s="29"/>
      <c r="K91" s="29"/>
      <c r="L91" s="67"/>
      <c r="M91" s="67"/>
      <c r="N91" s="67"/>
      <c r="O91" s="67"/>
      <c r="P91" s="29"/>
      <c r="Q91" s="29"/>
      <c r="R91" s="67"/>
      <c r="S91" s="29"/>
      <c r="T91" s="29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29"/>
      <c r="AT91" s="29"/>
      <c r="AU91" s="67"/>
      <c r="AV91" s="29"/>
      <c r="AW91" s="29"/>
    </row>
    <row r="92" spans="3:49" ht="18.75">
      <c r="C92" s="93"/>
      <c r="D92" s="29"/>
      <c r="E92" s="29"/>
      <c r="F92" s="67"/>
      <c r="G92" s="29"/>
      <c r="H92" s="29"/>
      <c r="I92" s="67"/>
      <c r="J92" s="29"/>
      <c r="K92" s="29"/>
      <c r="L92" s="67"/>
      <c r="M92" s="67"/>
      <c r="N92" s="67"/>
      <c r="O92" s="67"/>
      <c r="P92" s="29"/>
      <c r="Q92" s="29"/>
      <c r="R92" s="67"/>
      <c r="S92" s="29"/>
      <c r="T92" s="29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29"/>
      <c r="AT92" s="29"/>
      <c r="AU92" s="67"/>
      <c r="AV92" s="29"/>
      <c r="AW92" s="29"/>
    </row>
    <row r="93" spans="3:49" ht="18.75">
      <c r="C93" s="93"/>
      <c r="D93" s="29"/>
      <c r="E93" s="29"/>
      <c r="F93" s="67"/>
      <c r="G93" s="29"/>
      <c r="H93" s="29"/>
      <c r="I93" s="67"/>
      <c r="J93" s="29"/>
      <c r="K93" s="29"/>
      <c r="L93" s="67"/>
      <c r="M93" s="67"/>
      <c r="N93" s="67"/>
      <c r="O93" s="67"/>
      <c r="P93" s="29"/>
      <c r="Q93" s="29"/>
      <c r="R93" s="67"/>
      <c r="S93" s="29"/>
      <c r="T93" s="29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29"/>
      <c r="AT93" s="29"/>
      <c r="AU93" s="67"/>
      <c r="AV93" s="29"/>
      <c r="AW93" s="29"/>
    </row>
    <row r="94" spans="3:49" ht="18.75">
      <c r="C94" s="93"/>
      <c r="D94" s="29"/>
      <c r="E94" s="29"/>
      <c r="F94" s="67"/>
      <c r="G94" s="29"/>
      <c r="H94" s="29"/>
      <c r="I94" s="67"/>
      <c r="J94" s="29"/>
      <c r="K94" s="29"/>
      <c r="L94" s="67"/>
      <c r="M94" s="67"/>
      <c r="N94" s="67"/>
      <c r="O94" s="67"/>
      <c r="P94" s="29"/>
      <c r="Q94" s="29"/>
      <c r="R94" s="67"/>
      <c r="S94" s="29"/>
      <c r="T94" s="29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29"/>
      <c r="AT94" s="29"/>
      <c r="AU94" s="67"/>
      <c r="AV94" s="29"/>
      <c r="AW94" s="29"/>
    </row>
    <row r="95" spans="3:49" ht="18.75">
      <c r="C95" s="93"/>
      <c r="D95" s="29"/>
      <c r="E95" s="29"/>
      <c r="F95" s="67"/>
      <c r="G95" s="29"/>
      <c r="H95" s="29"/>
      <c r="I95" s="67"/>
      <c r="J95" s="29"/>
      <c r="K95" s="29"/>
      <c r="L95" s="67"/>
      <c r="M95" s="67"/>
      <c r="N95" s="67"/>
      <c r="O95" s="67"/>
      <c r="P95" s="29"/>
      <c r="Q95" s="29"/>
      <c r="R95" s="67"/>
      <c r="S95" s="29"/>
      <c r="T95" s="29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29"/>
      <c r="AT95" s="29"/>
      <c r="AU95" s="67"/>
      <c r="AV95" s="29"/>
      <c r="AW95" s="29"/>
    </row>
    <row r="96" spans="3:49" ht="18.75">
      <c r="C96" s="93"/>
      <c r="D96" s="29"/>
      <c r="E96" s="29"/>
      <c r="F96" s="67"/>
      <c r="G96" s="29"/>
      <c r="H96" s="29"/>
      <c r="I96" s="67"/>
      <c r="J96" s="29"/>
      <c r="K96" s="29"/>
      <c r="L96" s="67"/>
      <c r="M96" s="67"/>
      <c r="N96" s="67"/>
      <c r="O96" s="67"/>
      <c r="P96" s="29"/>
      <c r="Q96" s="29"/>
      <c r="R96" s="67"/>
      <c r="S96" s="29"/>
      <c r="T96" s="29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29"/>
      <c r="AT96" s="29"/>
      <c r="AU96" s="67"/>
      <c r="AV96" s="29"/>
      <c r="AW96" s="29"/>
    </row>
    <row r="97" spans="3:49" ht="18.75">
      <c r="C97" s="93"/>
      <c r="D97" s="29"/>
      <c r="E97" s="29"/>
      <c r="F97" s="67"/>
      <c r="G97" s="29"/>
      <c r="H97" s="29"/>
      <c r="I97" s="67"/>
      <c r="J97" s="29"/>
      <c r="K97" s="29"/>
      <c r="L97" s="67"/>
      <c r="M97" s="67"/>
      <c r="N97" s="67"/>
      <c r="O97" s="67"/>
      <c r="P97" s="29"/>
      <c r="Q97" s="29"/>
      <c r="R97" s="67"/>
      <c r="S97" s="29"/>
      <c r="T97" s="29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29"/>
      <c r="AT97" s="29"/>
      <c r="AU97" s="67"/>
      <c r="AV97" s="29"/>
      <c r="AW97" s="29"/>
    </row>
    <row r="98" spans="3:49" ht="18.75">
      <c r="C98" s="93"/>
      <c r="D98" s="29"/>
      <c r="E98" s="29"/>
      <c r="F98" s="67"/>
      <c r="G98" s="29"/>
      <c r="H98" s="29"/>
      <c r="I98" s="67"/>
      <c r="J98" s="29"/>
      <c r="K98" s="29"/>
      <c r="L98" s="67"/>
      <c r="M98" s="67"/>
      <c r="N98" s="67"/>
      <c r="O98" s="67"/>
      <c r="P98" s="29"/>
      <c r="Q98" s="29"/>
      <c r="R98" s="67"/>
      <c r="S98" s="29"/>
      <c r="T98" s="29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29"/>
      <c r="AT98" s="29"/>
      <c r="AU98" s="67"/>
      <c r="AV98" s="29"/>
      <c r="AW98" s="29"/>
    </row>
    <row r="99" spans="3:49" ht="18.75">
      <c r="C99" s="93"/>
      <c r="D99" s="29"/>
      <c r="E99" s="29"/>
      <c r="F99" s="67"/>
      <c r="G99" s="29"/>
      <c r="H99" s="29"/>
      <c r="I99" s="67"/>
      <c r="J99" s="29"/>
      <c r="K99" s="29"/>
      <c r="L99" s="67"/>
      <c r="M99" s="67"/>
      <c r="N99" s="67"/>
      <c r="O99" s="67"/>
      <c r="P99" s="29"/>
      <c r="Q99" s="29"/>
      <c r="R99" s="67"/>
      <c r="S99" s="29"/>
      <c r="T99" s="29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29"/>
      <c r="AT99" s="29"/>
      <c r="AU99" s="67"/>
      <c r="AV99" s="29"/>
      <c r="AW99" s="29"/>
    </row>
    <row r="100" spans="3:49" ht="18.75">
      <c r="C100" s="93"/>
      <c r="D100" s="29"/>
      <c r="E100" s="29"/>
      <c r="F100" s="67"/>
      <c r="G100" s="29"/>
      <c r="H100" s="29"/>
      <c r="I100" s="67"/>
      <c r="J100" s="29"/>
      <c r="K100" s="29"/>
      <c r="L100" s="67"/>
      <c r="M100" s="67"/>
      <c r="N100" s="67"/>
      <c r="O100" s="67"/>
      <c r="P100" s="29"/>
      <c r="Q100" s="29"/>
      <c r="R100" s="67"/>
      <c r="S100" s="29"/>
      <c r="T100" s="29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29"/>
      <c r="AT100" s="29"/>
      <c r="AU100" s="67"/>
      <c r="AV100" s="29"/>
      <c r="AW100" s="29"/>
    </row>
    <row r="101" spans="3:49" ht="18.75">
      <c r="C101" s="93"/>
      <c r="D101" s="29"/>
      <c r="E101" s="29"/>
      <c r="F101" s="67"/>
      <c r="G101" s="29"/>
      <c r="H101" s="29"/>
      <c r="I101" s="67"/>
      <c r="J101" s="29"/>
      <c r="K101" s="29"/>
      <c r="L101" s="67"/>
      <c r="M101" s="67"/>
      <c r="N101" s="67"/>
      <c r="O101" s="67"/>
      <c r="P101" s="29"/>
      <c r="Q101" s="29"/>
      <c r="R101" s="67"/>
      <c r="S101" s="29"/>
      <c r="T101" s="29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29"/>
      <c r="AT101" s="29"/>
      <c r="AU101" s="67"/>
      <c r="AV101" s="29"/>
      <c r="AW101" s="29"/>
    </row>
    <row r="102" spans="3:49" ht="18.75">
      <c r="C102" s="93"/>
      <c r="D102" s="29"/>
      <c r="E102" s="29"/>
      <c r="F102" s="67"/>
      <c r="G102" s="29"/>
      <c r="H102" s="29"/>
      <c r="I102" s="67"/>
      <c r="J102" s="29"/>
      <c r="K102" s="29"/>
      <c r="L102" s="67"/>
      <c r="M102" s="67"/>
      <c r="N102" s="67"/>
      <c r="O102" s="67"/>
      <c r="P102" s="29"/>
      <c r="Q102" s="29"/>
      <c r="R102" s="67"/>
      <c r="S102" s="29"/>
      <c r="T102" s="29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29"/>
      <c r="AT102" s="29"/>
      <c r="AU102" s="67"/>
      <c r="AV102" s="29"/>
      <c r="AW102" s="29"/>
    </row>
  </sheetData>
  <sheetProtection/>
  <mergeCells count="23">
    <mergeCell ref="J5:L5"/>
    <mergeCell ref="S5:U5"/>
    <mergeCell ref="AM5:AN5"/>
    <mergeCell ref="D1:AW1"/>
    <mergeCell ref="B2:AW2"/>
    <mergeCell ref="B3:AW3"/>
    <mergeCell ref="B4:C4"/>
    <mergeCell ref="D5:F5"/>
    <mergeCell ref="G5:I5"/>
    <mergeCell ref="AV5:AV6"/>
    <mergeCell ref="V5:X5"/>
    <mergeCell ref="AJ5:AL5"/>
    <mergeCell ref="AB5:AD5"/>
    <mergeCell ref="AW5:AW6"/>
    <mergeCell ref="AS5:AU5"/>
    <mergeCell ref="AO5:AP5"/>
    <mergeCell ref="M5:O5"/>
    <mergeCell ref="B53:C53"/>
    <mergeCell ref="P5:R5"/>
    <mergeCell ref="Y5:AA5"/>
    <mergeCell ref="AE5:AG5"/>
    <mergeCell ref="AH5:AI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3"/>
  <sheetViews>
    <sheetView view="pageBreakPreview" zoomScale="73" zoomScaleNormal="75" zoomScaleSheetLayoutView="73" zoomScalePageLayoutView="0" workbookViewId="0" topLeftCell="A2">
      <pane xSplit="2" ySplit="6" topLeftCell="AK17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S24" sqref="AS24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41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customWidth="1"/>
    <col min="37" max="37" width="12.625" style="8" customWidth="1"/>
    <col min="38" max="38" width="13.125" style="8" hidden="1" customWidth="1"/>
    <col min="39" max="39" width="14.875" style="8" customWidth="1"/>
    <col min="40" max="40" width="13.625" style="8" customWidth="1"/>
    <col min="41" max="41" width="14.875" style="8" customWidth="1"/>
    <col min="42" max="42" width="13.625" style="8" customWidth="1"/>
    <col min="43" max="43" width="14.875" style="8" customWidth="1"/>
    <col min="44" max="44" width="13.625" style="8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2:49" s="32" customFormat="1" ht="42" customHeight="1">
      <c r="B2" s="122" t="s">
        <v>92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</row>
    <row r="3" spans="1:49" s="32" customFormat="1" ht="42" customHeight="1">
      <c r="A3" s="31"/>
      <c r="B3" s="122" t="s">
        <v>130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</row>
    <row r="4" spans="2:49" ht="18.75">
      <c r="B4" s="123"/>
      <c r="C4" s="123"/>
      <c r="AW4" s="11" t="s">
        <v>48</v>
      </c>
    </row>
    <row r="5" spans="1:49" ht="36.75" customHeight="1">
      <c r="A5" s="24" t="s">
        <v>36</v>
      </c>
      <c r="B5" s="25"/>
      <c r="C5" s="26" t="s">
        <v>1</v>
      </c>
      <c r="D5" s="124" t="s">
        <v>111</v>
      </c>
      <c r="E5" s="125"/>
      <c r="F5" s="126"/>
      <c r="G5" s="119" t="s">
        <v>113</v>
      </c>
      <c r="H5" s="120"/>
      <c r="I5" s="121"/>
      <c r="J5" s="119" t="s">
        <v>116</v>
      </c>
      <c r="K5" s="120"/>
      <c r="L5" s="121"/>
      <c r="M5" s="119" t="s">
        <v>118</v>
      </c>
      <c r="N5" s="120"/>
      <c r="O5" s="121"/>
      <c r="P5" s="119" t="s">
        <v>117</v>
      </c>
      <c r="Q5" s="120"/>
      <c r="R5" s="121"/>
      <c r="S5" s="119" t="s">
        <v>119</v>
      </c>
      <c r="T5" s="120"/>
      <c r="U5" s="121"/>
      <c r="V5" s="119" t="s">
        <v>120</v>
      </c>
      <c r="W5" s="120"/>
      <c r="X5" s="121"/>
      <c r="Y5" s="119" t="s">
        <v>121</v>
      </c>
      <c r="Z5" s="120"/>
      <c r="AA5" s="121"/>
      <c r="AB5" s="119" t="s">
        <v>122</v>
      </c>
      <c r="AC5" s="120"/>
      <c r="AD5" s="121"/>
      <c r="AE5" s="119" t="s">
        <v>123</v>
      </c>
      <c r="AF5" s="120"/>
      <c r="AG5" s="121"/>
      <c r="AH5" s="119" t="s">
        <v>124</v>
      </c>
      <c r="AI5" s="121"/>
      <c r="AJ5" s="119" t="s">
        <v>126</v>
      </c>
      <c r="AK5" s="120"/>
      <c r="AL5" s="121"/>
      <c r="AM5" s="119" t="s">
        <v>125</v>
      </c>
      <c r="AN5" s="121"/>
      <c r="AO5" s="119" t="s">
        <v>127</v>
      </c>
      <c r="AP5" s="121"/>
      <c r="AQ5" s="119" t="s">
        <v>128</v>
      </c>
      <c r="AR5" s="121"/>
      <c r="AS5" s="124" t="s">
        <v>114</v>
      </c>
      <c r="AT5" s="125"/>
      <c r="AU5" s="126"/>
      <c r="AV5" s="127" t="s">
        <v>131</v>
      </c>
      <c r="AW5" s="127" t="s">
        <v>132</v>
      </c>
    </row>
    <row r="6" spans="1:49" ht="55.5" customHeight="1">
      <c r="A6" s="27" t="s">
        <v>9</v>
      </c>
      <c r="B6" s="42" t="s">
        <v>46</v>
      </c>
      <c r="C6" s="12" t="s">
        <v>106</v>
      </c>
      <c r="D6" s="28" t="s">
        <v>112</v>
      </c>
      <c r="E6" s="28" t="s">
        <v>47</v>
      </c>
      <c r="F6" s="13" t="s">
        <v>0</v>
      </c>
      <c r="G6" s="28" t="s">
        <v>112</v>
      </c>
      <c r="H6" s="28" t="s">
        <v>47</v>
      </c>
      <c r="I6" s="13" t="s">
        <v>0</v>
      </c>
      <c r="J6" s="28" t="s">
        <v>112</v>
      </c>
      <c r="K6" s="28" t="s">
        <v>47</v>
      </c>
      <c r="L6" s="13" t="s">
        <v>0</v>
      </c>
      <c r="M6" s="28" t="s">
        <v>112</v>
      </c>
      <c r="N6" s="28" t="s">
        <v>47</v>
      </c>
      <c r="O6" s="13" t="s">
        <v>0</v>
      </c>
      <c r="P6" s="28" t="s">
        <v>112</v>
      </c>
      <c r="Q6" s="28" t="s">
        <v>47</v>
      </c>
      <c r="R6" s="13" t="s">
        <v>0</v>
      </c>
      <c r="S6" s="28" t="s">
        <v>112</v>
      </c>
      <c r="T6" s="28" t="s">
        <v>47</v>
      </c>
      <c r="U6" s="13" t="s">
        <v>0</v>
      </c>
      <c r="V6" s="28" t="s">
        <v>112</v>
      </c>
      <c r="W6" s="28" t="s">
        <v>47</v>
      </c>
      <c r="X6" s="13" t="s">
        <v>0</v>
      </c>
      <c r="Y6" s="28" t="s">
        <v>112</v>
      </c>
      <c r="Z6" s="28" t="s">
        <v>47</v>
      </c>
      <c r="AA6" s="13" t="s">
        <v>0</v>
      </c>
      <c r="AB6" s="28" t="s">
        <v>112</v>
      </c>
      <c r="AC6" s="28" t="s">
        <v>47</v>
      </c>
      <c r="AD6" s="13" t="s">
        <v>0</v>
      </c>
      <c r="AE6" s="28" t="s">
        <v>112</v>
      </c>
      <c r="AF6" s="28" t="s">
        <v>47</v>
      </c>
      <c r="AG6" s="13" t="s">
        <v>0</v>
      </c>
      <c r="AH6" s="28" t="s">
        <v>112</v>
      </c>
      <c r="AI6" s="28" t="s">
        <v>47</v>
      </c>
      <c r="AJ6" s="28" t="s">
        <v>112</v>
      </c>
      <c r="AK6" s="28" t="s">
        <v>47</v>
      </c>
      <c r="AL6" s="13" t="s">
        <v>0</v>
      </c>
      <c r="AM6" s="28" t="s">
        <v>112</v>
      </c>
      <c r="AN6" s="28" t="s">
        <v>47</v>
      </c>
      <c r="AO6" s="28" t="s">
        <v>112</v>
      </c>
      <c r="AP6" s="28" t="s">
        <v>47</v>
      </c>
      <c r="AQ6" s="28" t="s">
        <v>112</v>
      </c>
      <c r="AR6" s="28" t="s">
        <v>47</v>
      </c>
      <c r="AS6" s="28" t="s">
        <v>112</v>
      </c>
      <c r="AT6" s="28" t="s">
        <v>47</v>
      </c>
      <c r="AU6" s="13" t="s">
        <v>0</v>
      </c>
      <c r="AV6" s="128"/>
      <c r="AW6" s="128"/>
    </row>
    <row r="7" spans="1:51" s="8" customFormat="1" ht="36" customHeight="1">
      <c r="A7" s="97"/>
      <c r="B7" s="98" t="s">
        <v>6</v>
      </c>
      <c r="C7" s="43">
        <f>SUM(C8:C42)</f>
        <v>126797.3</v>
      </c>
      <c r="D7" s="15">
        <f>SUM(D8:D42)</f>
        <v>76957.49999999999</v>
      </c>
      <c r="E7" s="15">
        <f>SUM(E8:E42)</f>
        <v>104261.10000000002</v>
      </c>
      <c r="F7" s="15">
        <f aca="true" t="shared" si="0" ref="F7:F46">E7/D7*100</f>
        <v>135.47880323555214</v>
      </c>
      <c r="G7" s="15">
        <f>SUM(G8:G42)</f>
        <v>79072.09999999999</v>
      </c>
      <c r="H7" s="15">
        <f>SUM(H8:H42)</f>
        <v>54823.600000000006</v>
      </c>
      <c r="I7" s="15">
        <f aca="true" t="shared" si="1" ref="I7:I44">H7/G7*100</f>
        <v>69.33368406808471</v>
      </c>
      <c r="J7" s="15">
        <f>SUM(J8:J42)</f>
        <v>77551.8</v>
      </c>
      <c r="K7" s="15">
        <f>SUM(K8:K42)</f>
        <v>21618.7</v>
      </c>
      <c r="L7" s="15">
        <f aca="true" t="shared" si="2" ref="L7:L35">K7/J7*100</f>
        <v>27.876464505014713</v>
      </c>
      <c r="M7" s="15">
        <f>SUM(M8:M42)</f>
        <v>233581.4</v>
      </c>
      <c r="N7" s="15">
        <f>SUM(N8:N42)</f>
        <v>180703.40000000002</v>
      </c>
      <c r="O7" s="15">
        <f>N7/M7*100</f>
        <v>77.36206735639055</v>
      </c>
      <c r="P7" s="15">
        <f>SUM(P8:P42)</f>
        <v>-101.80000000000003</v>
      </c>
      <c r="Q7" s="15">
        <f>SUM(Q8:Q42)</f>
        <v>20930.8</v>
      </c>
      <c r="R7" s="15">
        <f aca="true" t="shared" si="3" ref="R7:R35">Q7/P7*100</f>
        <v>-20560.7072691552</v>
      </c>
      <c r="S7" s="15">
        <f>SUM(S8:S42)</f>
        <v>-27441.2</v>
      </c>
      <c r="T7" s="15">
        <f>SUM(T8:T42)</f>
        <v>24234.999999999996</v>
      </c>
      <c r="U7" s="15">
        <f aca="true" t="shared" si="4" ref="U7:U35">T7/S7*100</f>
        <v>-88.31610862498724</v>
      </c>
      <c r="V7" s="15">
        <f>SUM(V8:V42)</f>
        <v>313.2</v>
      </c>
      <c r="W7" s="15">
        <f>SUM(W8:W42)</f>
        <v>8648.300000000001</v>
      </c>
      <c r="X7" s="15">
        <f aca="true" t="shared" si="5" ref="X7:X35">W7/V7*100</f>
        <v>2761.2707535121335</v>
      </c>
      <c r="Y7" s="15">
        <f>SUM(Y8:Y42)</f>
        <v>-27229.8</v>
      </c>
      <c r="Z7" s="15">
        <f>SUM(Z8:Z42)</f>
        <v>53814.10000000001</v>
      </c>
      <c r="AA7" s="15">
        <f>Z7/Y7*100</f>
        <v>-197.62943539798314</v>
      </c>
      <c r="AB7" s="15">
        <f>SUM(AB8:AB42)</f>
        <v>382.2</v>
      </c>
      <c r="AC7" s="15">
        <f>SUM(AC8:AC42)</f>
        <v>540</v>
      </c>
      <c r="AD7" s="15">
        <f aca="true" t="shared" si="6" ref="AD7:AD34">AC7/AB7*100</f>
        <v>141.28728414442702</v>
      </c>
      <c r="AE7" s="15">
        <f>SUM(AE8:AE42)</f>
        <v>-31.1</v>
      </c>
      <c r="AF7" s="15">
        <f>SUM(AF8:AF42)</f>
        <v>59767.700000000004</v>
      </c>
      <c r="AG7" s="15">
        <f>AF7/AE7*100</f>
        <v>-192179.0996784566</v>
      </c>
      <c r="AH7" s="15">
        <f>SUM(AH8:AH42)</f>
        <v>4.299999999999999</v>
      </c>
      <c r="AI7" s="15">
        <f>SUM(AI8:AI42)</f>
        <v>15002.8</v>
      </c>
      <c r="AJ7" s="15">
        <f>SUM(AJ8:AJ42)</f>
        <v>355.40000000000003</v>
      </c>
      <c r="AK7" s="15">
        <f>SUM(AK8:AK42)</f>
        <v>75310.5</v>
      </c>
      <c r="AL7" s="15">
        <f>AK7/AJ7*100</f>
        <v>21190.348902644906</v>
      </c>
      <c r="AM7" s="15">
        <f aca="true" t="shared" si="7" ref="AM7:AT7">SUM(AM8:AM42)</f>
        <v>20794.2</v>
      </c>
      <c r="AN7" s="15">
        <f t="shared" si="7"/>
        <v>-1.2</v>
      </c>
      <c r="AO7" s="15">
        <f t="shared" si="7"/>
        <v>59534.39</v>
      </c>
      <c r="AP7" s="15">
        <f t="shared" si="7"/>
        <v>803.4</v>
      </c>
      <c r="AQ7" s="15">
        <f>SUM(AQ8:AQ42)</f>
        <v>67102.8</v>
      </c>
      <c r="AR7" s="15">
        <f>SUM(AR8:AR42)</f>
        <v>67669.20000000001</v>
      </c>
      <c r="AS7" s="15">
        <f t="shared" si="7"/>
        <v>354138.38999999996</v>
      </c>
      <c r="AT7" s="15">
        <f t="shared" si="7"/>
        <v>378299.39999999997</v>
      </c>
      <c r="AU7" s="15">
        <f>AT7/AS7*100</f>
        <v>106.82247694185317</v>
      </c>
      <c r="AV7" s="44">
        <f>SUM(AV8:AV42)</f>
        <v>-24161.010000000006</v>
      </c>
      <c r="AW7" s="44">
        <f>SUM(AW8:AW42)</f>
        <v>102636.29000000001</v>
      </c>
      <c r="AX7" s="22">
        <f>AS7-AT7</f>
        <v>-24161.01000000001</v>
      </c>
      <c r="AY7" s="22">
        <f>C7+AS7-AT7</f>
        <v>102636.28999999998</v>
      </c>
    </row>
    <row r="8" spans="1:49" ht="36.75" customHeight="1">
      <c r="A8" s="100">
        <v>1</v>
      </c>
      <c r="B8" s="1" t="s">
        <v>12</v>
      </c>
      <c r="C8" s="2">
        <v>7132</v>
      </c>
      <c r="D8" s="3">
        <v>7233.4</v>
      </c>
      <c r="E8" s="3">
        <v>6396.5</v>
      </c>
      <c r="F8" s="15">
        <f t="shared" si="0"/>
        <v>88.43006055243731</v>
      </c>
      <c r="G8" s="3">
        <v>6914</v>
      </c>
      <c r="H8" s="3">
        <v>735.6</v>
      </c>
      <c r="I8" s="15">
        <f t="shared" si="1"/>
        <v>10.63928261498409</v>
      </c>
      <c r="J8" s="3">
        <v>6896.8</v>
      </c>
      <c r="K8" s="3">
        <v>7233.3</v>
      </c>
      <c r="L8" s="15">
        <f t="shared" si="2"/>
        <v>104.87907435332329</v>
      </c>
      <c r="M8" s="3">
        <f>D8+G8+J8</f>
        <v>21044.2</v>
      </c>
      <c r="N8" s="3">
        <f>E8+H8+K8</f>
        <v>14365.400000000001</v>
      </c>
      <c r="O8" s="15">
        <f aca="true" t="shared" si="8" ref="O8:O50">N8/M8*100</f>
        <v>68.26298932722555</v>
      </c>
      <c r="P8" s="3">
        <v>704.6</v>
      </c>
      <c r="Q8" s="3">
        <v>0</v>
      </c>
      <c r="R8" s="15">
        <f t="shared" si="3"/>
        <v>0</v>
      </c>
      <c r="S8" s="3">
        <v>-899.3</v>
      </c>
      <c r="T8" s="3">
        <v>702.9</v>
      </c>
      <c r="U8" s="15">
        <f t="shared" si="4"/>
        <v>-78.16079172689871</v>
      </c>
      <c r="V8" s="3">
        <v>1.5</v>
      </c>
      <c r="W8" s="3">
        <v>2391.7</v>
      </c>
      <c r="X8" s="15">
        <f t="shared" si="5"/>
        <v>159446.66666666666</v>
      </c>
      <c r="Y8" s="3">
        <f>P8+S8+V8</f>
        <v>-193.19999999999993</v>
      </c>
      <c r="Z8" s="3">
        <f>Q8+T8+W8</f>
        <v>3094.6</v>
      </c>
      <c r="AA8" s="15">
        <f>Z8/Y8*100</f>
        <v>-1601.7598343685304</v>
      </c>
      <c r="AB8" s="3">
        <v>7.5</v>
      </c>
      <c r="AC8" s="3">
        <v>0</v>
      </c>
      <c r="AD8" s="15">
        <f t="shared" si="6"/>
        <v>0</v>
      </c>
      <c r="AE8" s="3">
        <v>1.1</v>
      </c>
      <c r="AF8" s="3">
        <v>13107.9</v>
      </c>
      <c r="AG8" s="15">
        <f>AF8/AE8*100</f>
        <v>1191627.2727272727</v>
      </c>
      <c r="AH8" s="3">
        <v>1.2</v>
      </c>
      <c r="AI8" s="3">
        <v>0</v>
      </c>
      <c r="AJ8" s="3">
        <f>AB8+AE8+AH8</f>
        <v>9.799999999999999</v>
      </c>
      <c r="AK8" s="3">
        <f>AC8+AF8+AI8</f>
        <v>13107.9</v>
      </c>
      <c r="AL8" s="15">
        <f>AK8/AJ8*100</f>
        <v>133754.08163265308</v>
      </c>
      <c r="AM8" s="3">
        <v>1954.7</v>
      </c>
      <c r="AN8" s="3">
        <v>0</v>
      </c>
      <c r="AO8" s="3">
        <v>5579.39</v>
      </c>
      <c r="AP8" s="3">
        <v>0</v>
      </c>
      <c r="AQ8" s="3">
        <v>7587</v>
      </c>
      <c r="AR8" s="3">
        <v>4959.6</v>
      </c>
      <c r="AS8" s="3">
        <f>M8+Y8+AJ8+AM8+AO8+AQ8</f>
        <v>35981.89</v>
      </c>
      <c r="AT8" s="3">
        <f>N8+Z8+AK8+AN8+AP8+AR8</f>
        <v>35527.5</v>
      </c>
      <c r="AU8" s="15">
        <f>AT8/AS8*100</f>
        <v>98.73717028205023</v>
      </c>
      <c r="AV8" s="3">
        <f>AS8-AT8</f>
        <v>454.3899999999994</v>
      </c>
      <c r="AW8" s="105">
        <f>C8+AS8-AT8</f>
        <v>7586.389999999999</v>
      </c>
    </row>
    <row r="9" spans="1:49" ht="41.25" customHeight="1">
      <c r="A9" s="100">
        <v>2</v>
      </c>
      <c r="B9" s="34" t="s">
        <v>35</v>
      </c>
      <c r="C9" s="2">
        <v>198.1</v>
      </c>
      <c r="D9" s="3">
        <v>98.9</v>
      </c>
      <c r="E9" s="3">
        <v>99.1</v>
      </c>
      <c r="F9" s="15">
        <f t="shared" si="0"/>
        <v>100.20222446916077</v>
      </c>
      <c r="G9" s="3">
        <v>96.8</v>
      </c>
      <c r="H9" s="3">
        <v>0</v>
      </c>
      <c r="I9" s="15">
        <f t="shared" si="1"/>
        <v>0</v>
      </c>
      <c r="J9" s="3">
        <v>103.3</v>
      </c>
      <c r="K9" s="3">
        <v>0</v>
      </c>
      <c r="L9" s="15">
        <f t="shared" si="2"/>
        <v>0</v>
      </c>
      <c r="M9" s="3">
        <f aca="true" t="shared" si="9" ref="M9:M42">D9+G9+J9</f>
        <v>299</v>
      </c>
      <c r="N9" s="3">
        <f aca="true" t="shared" si="10" ref="N9:N42">E9+H9+K9</f>
        <v>99.1</v>
      </c>
      <c r="O9" s="15">
        <f t="shared" si="8"/>
        <v>33.143812709030094</v>
      </c>
      <c r="P9" s="3">
        <v>4.5</v>
      </c>
      <c r="Q9" s="3">
        <v>28.7</v>
      </c>
      <c r="R9" s="15">
        <f t="shared" si="3"/>
        <v>637.7777777777777</v>
      </c>
      <c r="S9" s="3">
        <v>-52</v>
      </c>
      <c r="T9" s="3">
        <v>169.2</v>
      </c>
      <c r="U9" s="15">
        <f t="shared" si="4"/>
        <v>-325.38461538461536</v>
      </c>
      <c r="V9" s="3">
        <v>46.2</v>
      </c>
      <c r="W9" s="3">
        <v>152.6</v>
      </c>
      <c r="X9" s="15">
        <f t="shared" si="5"/>
        <v>330.30303030303025</v>
      </c>
      <c r="Y9" s="3">
        <f>P9+S9+V9</f>
        <v>-1.2999999999999972</v>
      </c>
      <c r="Z9" s="3">
        <f>Q9+T9+W9</f>
        <v>350.5</v>
      </c>
      <c r="AA9" s="15">
        <f>Z9/Y9*100</f>
        <v>-26961.53846153852</v>
      </c>
      <c r="AB9" s="3">
        <v>0</v>
      </c>
      <c r="AC9" s="3">
        <v>0</v>
      </c>
      <c r="AD9" s="30" t="e">
        <f t="shared" si="6"/>
        <v>#DIV/0!</v>
      </c>
      <c r="AE9" s="3">
        <v>0</v>
      </c>
      <c r="AF9" s="3">
        <v>0</v>
      </c>
      <c r="AG9" s="30" t="e">
        <f aca="true" t="shared" si="11" ref="AG9:AG15">AF9/AE9*100</f>
        <v>#DIV/0!</v>
      </c>
      <c r="AH9" s="3">
        <v>0</v>
      </c>
      <c r="AI9" s="3">
        <v>0</v>
      </c>
      <c r="AJ9" s="3">
        <f aca="true" t="shared" si="12" ref="AJ9:AJ42">AB9+AE9+AH9</f>
        <v>0</v>
      </c>
      <c r="AK9" s="3">
        <f aca="true" t="shared" si="13" ref="AK9:AK42">AC9+AF9+AI9</f>
        <v>0</v>
      </c>
      <c r="AL9" s="15" t="e">
        <f>AK9/AJ9*100</f>
        <v>#DIV/0!</v>
      </c>
      <c r="AM9" s="3">
        <v>41.2</v>
      </c>
      <c r="AN9" s="3">
        <v>0</v>
      </c>
      <c r="AO9" s="3">
        <v>154</v>
      </c>
      <c r="AP9" s="3">
        <v>0</v>
      </c>
      <c r="AQ9" s="3">
        <v>197.1</v>
      </c>
      <c r="AR9" s="3">
        <v>195.2</v>
      </c>
      <c r="AS9" s="3">
        <f aca="true" t="shared" si="14" ref="AS9:AS42">M9+Y9+AJ9+AM9+AO9+AQ9</f>
        <v>690</v>
      </c>
      <c r="AT9" s="3">
        <f aca="true" t="shared" si="15" ref="AT9:AT42">N9+Z9+AK9+AN9+AP9+AR9</f>
        <v>644.8</v>
      </c>
      <c r="AU9" s="15">
        <f>AT9/AS9*100</f>
        <v>93.44927536231883</v>
      </c>
      <c r="AV9" s="3">
        <f>AS9-AT9</f>
        <v>45.200000000000045</v>
      </c>
      <c r="AW9" s="105">
        <f>C9+AS9-AT9</f>
        <v>243.30000000000007</v>
      </c>
    </row>
    <row r="10" spans="1:49" ht="35.25" customHeight="1">
      <c r="A10" s="100">
        <v>3</v>
      </c>
      <c r="B10" s="16" t="s">
        <v>96</v>
      </c>
      <c r="C10" s="2"/>
      <c r="D10" s="23"/>
      <c r="E10" s="23"/>
      <c r="F10" s="38" t="e">
        <f t="shared" si="0"/>
        <v>#DIV/0!</v>
      </c>
      <c r="G10" s="23"/>
      <c r="H10" s="23"/>
      <c r="I10" s="38" t="e">
        <f t="shared" si="1"/>
        <v>#DIV/0!</v>
      </c>
      <c r="J10" s="23"/>
      <c r="K10" s="23"/>
      <c r="L10" s="38" t="e">
        <f t="shared" si="2"/>
        <v>#DIV/0!</v>
      </c>
      <c r="M10" s="3"/>
      <c r="N10" s="3"/>
      <c r="O10" s="15"/>
      <c r="P10" s="23"/>
      <c r="Q10" s="23"/>
      <c r="R10" s="38" t="e">
        <f t="shared" si="3"/>
        <v>#DIV/0!</v>
      </c>
      <c r="S10" s="23"/>
      <c r="T10" s="23"/>
      <c r="U10" s="38" t="e">
        <f t="shared" si="4"/>
        <v>#DIV/0!</v>
      </c>
      <c r="V10" s="23"/>
      <c r="W10" s="23"/>
      <c r="X10" s="38" t="e">
        <f t="shared" si="5"/>
        <v>#DIV/0!</v>
      </c>
      <c r="Y10" s="3"/>
      <c r="Z10" s="3"/>
      <c r="AA10" s="15"/>
      <c r="AB10" s="23"/>
      <c r="AC10" s="23"/>
      <c r="AD10" s="38" t="e">
        <f t="shared" si="6"/>
        <v>#DIV/0!</v>
      </c>
      <c r="AE10" s="23"/>
      <c r="AF10" s="23"/>
      <c r="AG10" s="38" t="e">
        <f t="shared" si="11"/>
        <v>#DIV/0!</v>
      </c>
      <c r="AH10" s="23"/>
      <c r="AI10" s="23"/>
      <c r="AJ10" s="3"/>
      <c r="AK10" s="3"/>
      <c r="AL10" s="15"/>
      <c r="AM10" s="23"/>
      <c r="AN10" s="23"/>
      <c r="AO10" s="23"/>
      <c r="AP10" s="23"/>
      <c r="AQ10" s="23"/>
      <c r="AR10" s="23"/>
      <c r="AS10" s="3"/>
      <c r="AT10" s="3"/>
      <c r="AU10" s="15"/>
      <c r="AV10" s="3"/>
      <c r="AW10" s="105"/>
    </row>
    <row r="11" spans="1:49" ht="24" customHeight="1">
      <c r="A11" s="100">
        <v>4</v>
      </c>
      <c r="B11" s="1" t="s">
        <v>108</v>
      </c>
      <c r="C11" s="2"/>
      <c r="D11" s="3"/>
      <c r="E11" s="3"/>
      <c r="F11" s="15"/>
      <c r="G11" s="3"/>
      <c r="H11" s="3"/>
      <c r="I11" s="38" t="e">
        <f t="shared" si="1"/>
        <v>#DIV/0!</v>
      </c>
      <c r="J11" s="3"/>
      <c r="K11" s="3"/>
      <c r="L11" s="38" t="e">
        <f t="shared" si="2"/>
        <v>#DIV/0!</v>
      </c>
      <c r="M11" s="3"/>
      <c r="N11" s="3"/>
      <c r="O11" s="15"/>
      <c r="P11" s="3"/>
      <c r="Q11" s="3"/>
      <c r="R11" s="38" t="e">
        <f t="shared" si="3"/>
        <v>#DIV/0!</v>
      </c>
      <c r="S11" s="3"/>
      <c r="T11" s="3"/>
      <c r="U11" s="38" t="e">
        <f t="shared" si="4"/>
        <v>#DIV/0!</v>
      </c>
      <c r="V11" s="3"/>
      <c r="W11" s="3"/>
      <c r="X11" s="38" t="e">
        <f t="shared" si="5"/>
        <v>#DIV/0!</v>
      </c>
      <c r="Y11" s="3"/>
      <c r="Z11" s="3"/>
      <c r="AA11" s="15"/>
      <c r="AB11" s="3"/>
      <c r="AC11" s="3"/>
      <c r="AD11" s="38" t="e">
        <f t="shared" si="6"/>
        <v>#DIV/0!</v>
      </c>
      <c r="AE11" s="3"/>
      <c r="AF11" s="3"/>
      <c r="AG11" s="38" t="e">
        <f t="shared" si="11"/>
        <v>#DIV/0!</v>
      </c>
      <c r="AH11" s="3"/>
      <c r="AI11" s="3"/>
      <c r="AJ11" s="3"/>
      <c r="AK11" s="3"/>
      <c r="AL11" s="15"/>
      <c r="AM11" s="3"/>
      <c r="AN11" s="3"/>
      <c r="AO11" s="3"/>
      <c r="AP11" s="3"/>
      <c r="AQ11" s="3"/>
      <c r="AR11" s="3"/>
      <c r="AS11" s="3"/>
      <c r="AT11" s="3"/>
      <c r="AU11" s="15"/>
      <c r="AV11" s="3"/>
      <c r="AW11" s="105"/>
    </row>
    <row r="12" spans="1:49" ht="24" customHeight="1">
      <c r="A12" s="10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5">
        <f t="shared" si="0"/>
        <v>148.60733521415747</v>
      </c>
      <c r="G12" s="3">
        <v>1898.8</v>
      </c>
      <c r="H12" s="3">
        <v>377.2</v>
      </c>
      <c r="I12" s="15">
        <f t="shared" si="1"/>
        <v>19.865178007162417</v>
      </c>
      <c r="J12" s="3">
        <v>1542.3</v>
      </c>
      <c r="K12" s="3">
        <v>1879.6</v>
      </c>
      <c r="L12" s="15">
        <f t="shared" si="2"/>
        <v>121.8699345133891</v>
      </c>
      <c r="M12" s="3">
        <f t="shared" si="9"/>
        <v>5390.6</v>
      </c>
      <c r="N12" s="3">
        <f t="shared" si="10"/>
        <v>5153.9</v>
      </c>
      <c r="O12" s="15">
        <f t="shared" si="8"/>
        <v>95.60902311431008</v>
      </c>
      <c r="P12" s="3">
        <v>95.9</v>
      </c>
      <c r="Q12" s="3">
        <v>1248.8</v>
      </c>
      <c r="R12" s="15">
        <f t="shared" si="3"/>
        <v>1302.1897810218977</v>
      </c>
      <c r="S12" s="3">
        <v>-1429.1</v>
      </c>
      <c r="T12" s="3">
        <v>304.8</v>
      </c>
      <c r="U12" s="15">
        <f t="shared" si="4"/>
        <v>-21.32810859981807</v>
      </c>
      <c r="V12" s="3">
        <v>-15.8</v>
      </c>
      <c r="W12" s="3">
        <v>0</v>
      </c>
      <c r="X12" s="15">
        <f t="shared" si="5"/>
        <v>0</v>
      </c>
      <c r="Y12" s="3">
        <f>P12+S12+V12</f>
        <v>-1348.9999999999998</v>
      </c>
      <c r="Z12" s="3">
        <f>Q12+T12+W12</f>
        <v>1553.6</v>
      </c>
      <c r="AA12" s="15">
        <f>Z12/Y12*100</f>
        <v>-115.16679021497407</v>
      </c>
      <c r="AB12" s="3">
        <v>0</v>
      </c>
      <c r="AC12" s="3">
        <v>0</v>
      </c>
      <c r="AD12" s="30" t="e">
        <f t="shared" si="6"/>
        <v>#DIV/0!</v>
      </c>
      <c r="AE12" s="3">
        <v>0</v>
      </c>
      <c r="AF12" s="3">
        <v>933.6</v>
      </c>
      <c r="AG12" s="30" t="e">
        <f t="shared" si="11"/>
        <v>#DIV/0!</v>
      </c>
      <c r="AH12" s="3">
        <v>0</v>
      </c>
      <c r="AI12" s="3">
        <v>0</v>
      </c>
      <c r="AJ12" s="3">
        <f t="shared" si="12"/>
        <v>0</v>
      </c>
      <c r="AK12" s="3">
        <f t="shared" si="13"/>
        <v>933.6</v>
      </c>
      <c r="AL12" s="15" t="e">
        <f>AK12/AJ12*100</f>
        <v>#DIV/0!</v>
      </c>
      <c r="AM12" s="3">
        <v>520.2</v>
      </c>
      <c r="AN12" s="3">
        <v>0</v>
      </c>
      <c r="AO12" s="3">
        <v>1235.7</v>
      </c>
      <c r="AP12" s="3">
        <v>0</v>
      </c>
      <c r="AQ12" s="3">
        <v>1440.5</v>
      </c>
      <c r="AR12" s="3">
        <v>1664.9</v>
      </c>
      <c r="AS12" s="3">
        <f t="shared" si="14"/>
        <v>7238</v>
      </c>
      <c r="AT12" s="3">
        <f t="shared" si="15"/>
        <v>9306</v>
      </c>
      <c r="AU12" s="15">
        <f>AT12/AS12*100</f>
        <v>128.57142857142858</v>
      </c>
      <c r="AV12" s="3">
        <f>AS12-AT12</f>
        <v>-2068</v>
      </c>
      <c r="AW12" s="105">
        <f>C12+AS12-AT12</f>
        <v>1531.5</v>
      </c>
    </row>
    <row r="13" spans="1:49" ht="24" customHeight="1">
      <c r="A13" s="100">
        <v>66.8</v>
      </c>
      <c r="B13" s="1" t="s">
        <v>14</v>
      </c>
      <c r="C13" s="2">
        <v>20</v>
      </c>
      <c r="D13" s="3">
        <v>18.3</v>
      </c>
      <c r="E13" s="3">
        <v>20.3</v>
      </c>
      <c r="F13" s="15">
        <f t="shared" si="0"/>
        <v>110.92896174863387</v>
      </c>
      <c r="G13" s="3">
        <v>18.3</v>
      </c>
      <c r="H13" s="3">
        <v>0</v>
      </c>
      <c r="I13" s="15">
        <f t="shared" si="1"/>
        <v>0</v>
      </c>
      <c r="J13" s="3">
        <v>18.3</v>
      </c>
      <c r="K13" s="3">
        <v>18.3</v>
      </c>
      <c r="L13" s="15">
        <f t="shared" si="2"/>
        <v>100</v>
      </c>
      <c r="M13" s="3">
        <f t="shared" si="9"/>
        <v>54.900000000000006</v>
      </c>
      <c r="N13" s="3">
        <f t="shared" si="10"/>
        <v>38.6</v>
      </c>
      <c r="O13" s="15">
        <f t="shared" si="8"/>
        <v>70.30965391621129</v>
      </c>
      <c r="P13" s="3">
        <v>0.8</v>
      </c>
      <c r="Q13" s="3">
        <v>18.3</v>
      </c>
      <c r="R13" s="15">
        <f t="shared" si="3"/>
        <v>2287.5</v>
      </c>
      <c r="S13" s="3">
        <v>-11.4</v>
      </c>
      <c r="T13" s="3">
        <v>0</v>
      </c>
      <c r="U13" s="15">
        <f t="shared" si="4"/>
        <v>0</v>
      </c>
      <c r="V13" s="3">
        <v>0</v>
      </c>
      <c r="W13" s="3">
        <v>0</v>
      </c>
      <c r="X13" s="30" t="e">
        <f t="shared" si="5"/>
        <v>#DIV/0!</v>
      </c>
      <c r="Y13" s="3">
        <f>P13+S13+V13</f>
        <v>-10.6</v>
      </c>
      <c r="Z13" s="3">
        <f>Q13+T13+W13</f>
        <v>18.3</v>
      </c>
      <c r="AA13" s="15">
        <f>Z13/Y13*100</f>
        <v>-172.64150943396228</v>
      </c>
      <c r="AB13" s="3">
        <v>0</v>
      </c>
      <c r="AC13" s="3">
        <v>0</v>
      </c>
      <c r="AD13" s="30" t="e">
        <f t="shared" si="6"/>
        <v>#DIV/0!</v>
      </c>
      <c r="AE13" s="3">
        <v>0</v>
      </c>
      <c r="AF13" s="3">
        <v>0</v>
      </c>
      <c r="AG13" s="30" t="e">
        <f t="shared" si="11"/>
        <v>#DIV/0!</v>
      </c>
      <c r="AH13" s="3">
        <v>0</v>
      </c>
      <c r="AI13" s="3">
        <v>0</v>
      </c>
      <c r="AJ13" s="3">
        <f t="shared" si="12"/>
        <v>0</v>
      </c>
      <c r="AK13" s="3">
        <f t="shared" si="13"/>
        <v>0</v>
      </c>
      <c r="AL13" s="15" t="e">
        <f>AK13/AJ13*100</f>
        <v>#DIV/0!</v>
      </c>
      <c r="AM13" s="3">
        <v>37</v>
      </c>
      <c r="AN13" s="3">
        <v>0</v>
      </c>
      <c r="AO13" s="3">
        <v>70.2</v>
      </c>
      <c r="AP13" s="3">
        <v>0</v>
      </c>
      <c r="AQ13" s="3">
        <v>49.5</v>
      </c>
      <c r="AR13" s="3">
        <v>114.8</v>
      </c>
      <c r="AS13" s="3">
        <f t="shared" si="14"/>
        <v>201</v>
      </c>
      <c r="AT13" s="3">
        <f t="shared" si="15"/>
        <v>171.7</v>
      </c>
      <c r="AU13" s="15">
        <f>AT13/AS13*100</f>
        <v>85.4228855721393</v>
      </c>
      <c r="AV13" s="3">
        <f>AS13-AT13</f>
        <v>29.30000000000001</v>
      </c>
      <c r="AW13" s="105">
        <f>C13+AS13-AT13</f>
        <v>49.30000000000001</v>
      </c>
    </row>
    <row r="14" spans="1:49" ht="24" customHeight="1">
      <c r="A14" s="100">
        <v>7</v>
      </c>
      <c r="B14" s="1" t="s">
        <v>15</v>
      </c>
      <c r="C14" s="2"/>
      <c r="D14" s="23"/>
      <c r="E14" s="23"/>
      <c r="F14" s="15"/>
      <c r="G14" s="23"/>
      <c r="H14" s="23"/>
      <c r="I14" s="38" t="e">
        <f t="shared" si="1"/>
        <v>#DIV/0!</v>
      </c>
      <c r="J14" s="23"/>
      <c r="K14" s="23"/>
      <c r="L14" s="38" t="e">
        <f t="shared" si="2"/>
        <v>#DIV/0!</v>
      </c>
      <c r="M14" s="3"/>
      <c r="N14" s="3"/>
      <c r="O14" s="15"/>
      <c r="P14" s="23"/>
      <c r="Q14" s="23"/>
      <c r="R14" s="38" t="e">
        <f t="shared" si="3"/>
        <v>#DIV/0!</v>
      </c>
      <c r="S14" s="23"/>
      <c r="T14" s="23"/>
      <c r="U14" s="38" t="e">
        <f t="shared" si="4"/>
        <v>#DIV/0!</v>
      </c>
      <c r="V14" s="23"/>
      <c r="W14" s="23"/>
      <c r="X14" s="38" t="e">
        <f t="shared" si="5"/>
        <v>#DIV/0!</v>
      </c>
      <c r="Y14" s="3"/>
      <c r="Z14" s="3"/>
      <c r="AA14" s="15"/>
      <c r="AB14" s="23"/>
      <c r="AC14" s="23"/>
      <c r="AD14" s="38" t="e">
        <f t="shared" si="6"/>
        <v>#DIV/0!</v>
      </c>
      <c r="AE14" s="23"/>
      <c r="AF14" s="23"/>
      <c r="AG14" s="38" t="e">
        <f t="shared" si="11"/>
        <v>#DIV/0!</v>
      </c>
      <c r="AH14" s="23"/>
      <c r="AI14" s="23"/>
      <c r="AJ14" s="3"/>
      <c r="AK14" s="3"/>
      <c r="AL14" s="15"/>
      <c r="AM14" s="23"/>
      <c r="AN14" s="23"/>
      <c r="AO14" s="23"/>
      <c r="AP14" s="23"/>
      <c r="AQ14" s="23"/>
      <c r="AR14" s="23"/>
      <c r="AS14" s="3"/>
      <c r="AT14" s="3"/>
      <c r="AU14" s="15"/>
      <c r="AV14" s="3"/>
      <c r="AW14" s="105"/>
    </row>
    <row r="15" spans="1:49" ht="24" customHeight="1">
      <c r="A15" s="100">
        <v>8</v>
      </c>
      <c r="B15" s="1" t="s">
        <v>16</v>
      </c>
      <c r="C15" s="2">
        <v>1612</v>
      </c>
      <c r="D15" s="3">
        <v>1775.6</v>
      </c>
      <c r="E15" s="3">
        <v>1012</v>
      </c>
      <c r="F15" s="15">
        <f t="shared" si="0"/>
        <v>56.994818652849744</v>
      </c>
      <c r="G15" s="3">
        <v>1758.1</v>
      </c>
      <c r="H15" s="3">
        <v>600</v>
      </c>
      <c r="I15" s="15">
        <f t="shared" si="1"/>
        <v>34.127751549968714</v>
      </c>
      <c r="J15" s="3">
        <v>1524.4</v>
      </c>
      <c r="K15" s="3">
        <v>1775.6</v>
      </c>
      <c r="L15" s="15">
        <f t="shared" si="2"/>
        <v>116.47861453686694</v>
      </c>
      <c r="M15" s="3">
        <f t="shared" si="9"/>
        <v>5058.1</v>
      </c>
      <c r="N15" s="3">
        <f t="shared" si="10"/>
        <v>3387.6</v>
      </c>
      <c r="O15" s="15">
        <f t="shared" si="8"/>
        <v>66.97376485241493</v>
      </c>
      <c r="P15" s="3">
        <v>128.4</v>
      </c>
      <c r="Q15" s="3">
        <v>829.1</v>
      </c>
      <c r="R15" s="15">
        <f t="shared" si="3"/>
        <v>645.7165109034268</v>
      </c>
      <c r="S15" s="3">
        <v>-415.1</v>
      </c>
      <c r="T15" s="3">
        <v>0</v>
      </c>
      <c r="U15" s="15">
        <f t="shared" si="4"/>
        <v>0</v>
      </c>
      <c r="V15" s="3">
        <v>-5.2</v>
      </c>
      <c r="W15" s="3">
        <v>217.3</v>
      </c>
      <c r="X15" s="15">
        <f t="shared" si="5"/>
        <v>-4178.846153846154</v>
      </c>
      <c r="Y15" s="3">
        <f>P15+S15+V15</f>
        <v>-291.90000000000003</v>
      </c>
      <c r="Z15" s="3">
        <f>Q15+T15+W15</f>
        <v>1046.4</v>
      </c>
      <c r="AA15" s="15">
        <f>Z15/Y15*100</f>
        <v>-358.47893114080165</v>
      </c>
      <c r="AB15" s="3">
        <v>13.1</v>
      </c>
      <c r="AC15" s="3">
        <v>0</v>
      </c>
      <c r="AD15" s="15">
        <f t="shared" si="6"/>
        <v>0</v>
      </c>
      <c r="AE15" s="3">
        <v>1.7</v>
      </c>
      <c r="AF15" s="3">
        <v>1957.3</v>
      </c>
      <c r="AG15" s="15">
        <f t="shared" si="11"/>
        <v>115135.29411764705</v>
      </c>
      <c r="AH15" s="3">
        <v>0</v>
      </c>
      <c r="AI15" s="3">
        <v>0</v>
      </c>
      <c r="AJ15" s="3">
        <f t="shared" si="12"/>
        <v>14.799999999999999</v>
      </c>
      <c r="AK15" s="3">
        <f t="shared" si="13"/>
        <v>1957.3</v>
      </c>
      <c r="AL15" s="15">
        <f>AK15/AJ15*100</f>
        <v>13225</v>
      </c>
      <c r="AM15" s="3">
        <v>477.1</v>
      </c>
      <c r="AN15" s="3">
        <v>0</v>
      </c>
      <c r="AO15" s="3">
        <v>1178.1</v>
      </c>
      <c r="AP15" s="3">
        <v>0</v>
      </c>
      <c r="AQ15" s="3">
        <v>1501</v>
      </c>
      <c r="AR15" s="3">
        <v>1656.4</v>
      </c>
      <c r="AS15" s="3">
        <f t="shared" si="14"/>
        <v>7937.200000000001</v>
      </c>
      <c r="AT15" s="3">
        <f t="shared" si="15"/>
        <v>8047.700000000001</v>
      </c>
      <c r="AU15" s="15">
        <f>AT15/AS15*100</f>
        <v>101.3921786020259</v>
      </c>
      <c r="AV15" s="3">
        <f>AS15-AT15</f>
        <v>-110.5</v>
      </c>
      <c r="AW15" s="105">
        <f>C15+AS15-AT15</f>
        <v>1501.5</v>
      </c>
    </row>
    <row r="16" spans="1:49" ht="24" customHeight="1">
      <c r="A16" s="100">
        <v>9</v>
      </c>
      <c r="B16" s="1" t="s">
        <v>17</v>
      </c>
      <c r="C16" s="2"/>
      <c r="D16" s="23"/>
      <c r="E16" s="23"/>
      <c r="F16" s="38" t="e">
        <f t="shared" si="0"/>
        <v>#DIV/0!</v>
      </c>
      <c r="G16" s="23"/>
      <c r="H16" s="23"/>
      <c r="I16" s="38" t="e">
        <f t="shared" si="1"/>
        <v>#DIV/0!</v>
      </c>
      <c r="J16" s="23"/>
      <c r="K16" s="23"/>
      <c r="L16" s="38" t="e">
        <f t="shared" si="2"/>
        <v>#DIV/0!</v>
      </c>
      <c r="M16" s="3"/>
      <c r="N16" s="3"/>
      <c r="O16" s="15"/>
      <c r="P16" s="23"/>
      <c r="Q16" s="23"/>
      <c r="R16" s="38" t="e">
        <f t="shared" si="3"/>
        <v>#DIV/0!</v>
      </c>
      <c r="S16" s="23"/>
      <c r="T16" s="23"/>
      <c r="U16" s="38" t="e">
        <f t="shared" si="4"/>
        <v>#DIV/0!</v>
      </c>
      <c r="V16" s="23"/>
      <c r="W16" s="23"/>
      <c r="X16" s="38" t="e">
        <f t="shared" si="5"/>
        <v>#DIV/0!</v>
      </c>
      <c r="Y16" s="3"/>
      <c r="Z16" s="3"/>
      <c r="AA16" s="15"/>
      <c r="AB16" s="23"/>
      <c r="AC16" s="23"/>
      <c r="AD16" s="38" t="e">
        <f t="shared" si="6"/>
        <v>#DIV/0!</v>
      </c>
      <c r="AE16" s="23"/>
      <c r="AF16" s="23"/>
      <c r="AG16" s="38"/>
      <c r="AH16" s="23"/>
      <c r="AI16" s="23"/>
      <c r="AJ16" s="3"/>
      <c r="AK16" s="3"/>
      <c r="AL16" s="15"/>
      <c r="AM16" s="23"/>
      <c r="AN16" s="23"/>
      <c r="AO16" s="23"/>
      <c r="AP16" s="23"/>
      <c r="AQ16" s="23"/>
      <c r="AR16" s="23"/>
      <c r="AS16" s="3"/>
      <c r="AT16" s="3"/>
      <c r="AU16" s="15"/>
      <c r="AV16" s="3"/>
      <c r="AW16" s="105"/>
    </row>
    <row r="17" spans="1:49" ht="24" customHeight="1">
      <c r="A17" s="100">
        <v>10</v>
      </c>
      <c r="B17" s="16" t="s">
        <v>18</v>
      </c>
      <c r="C17" s="2">
        <v>989.2</v>
      </c>
      <c r="D17" s="3">
        <v>610.4</v>
      </c>
      <c r="E17" s="3">
        <v>254.4</v>
      </c>
      <c r="F17" s="15">
        <f t="shared" si="0"/>
        <v>41.677588466579294</v>
      </c>
      <c r="G17" s="3">
        <v>588</v>
      </c>
      <c r="H17" s="3">
        <v>0</v>
      </c>
      <c r="I17" s="15">
        <f t="shared" si="1"/>
        <v>0</v>
      </c>
      <c r="J17" s="3">
        <v>548.7</v>
      </c>
      <c r="K17" s="3">
        <v>0</v>
      </c>
      <c r="L17" s="15">
        <f t="shared" si="2"/>
        <v>0</v>
      </c>
      <c r="M17" s="3">
        <f t="shared" si="9"/>
        <v>1747.1000000000001</v>
      </c>
      <c r="N17" s="3">
        <f t="shared" si="10"/>
        <v>254.4</v>
      </c>
      <c r="O17" s="15">
        <f t="shared" si="8"/>
        <v>14.561272966630415</v>
      </c>
      <c r="P17" s="3">
        <v>-547</v>
      </c>
      <c r="Q17" s="3">
        <v>195.1</v>
      </c>
      <c r="R17" s="15">
        <f t="shared" si="3"/>
        <v>-35.6672760511883</v>
      </c>
      <c r="S17" s="3">
        <v>-45.2</v>
      </c>
      <c r="T17" s="3">
        <v>1202.8</v>
      </c>
      <c r="U17" s="15">
        <f t="shared" si="4"/>
        <v>-2661.0619469026547</v>
      </c>
      <c r="V17" s="3">
        <v>0.8</v>
      </c>
      <c r="W17" s="3">
        <v>492</v>
      </c>
      <c r="X17" s="15">
        <f t="shared" si="5"/>
        <v>61500</v>
      </c>
      <c r="Y17" s="3">
        <f aca="true" t="shared" si="16" ref="Y17:Z19">P17+S17+V17</f>
        <v>-591.4000000000001</v>
      </c>
      <c r="Z17" s="3">
        <f t="shared" si="16"/>
        <v>1889.8999999999999</v>
      </c>
      <c r="AA17" s="15">
        <f>Z17/Y17*100</f>
        <v>-319.5637470409198</v>
      </c>
      <c r="AB17" s="3">
        <v>0</v>
      </c>
      <c r="AC17" s="3">
        <v>0</v>
      </c>
      <c r="AD17" s="30" t="e">
        <f t="shared" si="6"/>
        <v>#DIV/0!</v>
      </c>
      <c r="AE17" s="3">
        <v>0</v>
      </c>
      <c r="AF17" s="3">
        <v>0</v>
      </c>
      <c r="AG17" s="15" t="e">
        <f>AF17/AE17*100</f>
        <v>#DIV/0!</v>
      </c>
      <c r="AH17" s="3">
        <v>0.1</v>
      </c>
      <c r="AI17" s="3">
        <v>0</v>
      </c>
      <c r="AJ17" s="3">
        <f t="shared" si="12"/>
        <v>0.1</v>
      </c>
      <c r="AK17" s="3">
        <f t="shared" si="13"/>
        <v>0</v>
      </c>
      <c r="AL17" s="15">
        <f>AK17/AJ17*100</f>
        <v>0</v>
      </c>
      <c r="AM17" s="3">
        <v>152.9</v>
      </c>
      <c r="AN17" s="3">
        <v>0</v>
      </c>
      <c r="AO17" s="3">
        <v>426.1</v>
      </c>
      <c r="AP17" s="3">
        <v>0</v>
      </c>
      <c r="AQ17" s="3">
        <v>421.9</v>
      </c>
      <c r="AR17" s="3">
        <v>0</v>
      </c>
      <c r="AS17" s="3">
        <f t="shared" si="14"/>
        <v>2156.7000000000003</v>
      </c>
      <c r="AT17" s="3">
        <f t="shared" si="15"/>
        <v>2144.2999999999997</v>
      </c>
      <c r="AU17" s="15">
        <f>AT17/AS17*100</f>
        <v>99.42504752631332</v>
      </c>
      <c r="AV17" s="3">
        <f>AS17-AT17</f>
        <v>12.400000000000546</v>
      </c>
      <c r="AW17" s="105">
        <f>C17+AS17-AT17</f>
        <v>1001.6000000000008</v>
      </c>
    </row>
    <row r="18" spans="1:49" ht="24" customHeight="1">
      <c r="A18" s="100">
        <v>11</v>
      </c>
      <c r="B18" s="16" t="s">
        <v>19</v>
      </c>
      <c r="C18" s="2">
        <v>36.7</v>
      </c>
      <c r="D18" s="3">
        <v>22.9</v>
      </c>
      <c r="E18" s="3">
        <v>36.7</v>
      </c>
      <c r="F18" s="15">
        <f t="shared" si="0"/>
        <v>160.2620087336245</v>
      </c>
      <c r="G18" s="3">
        <v>22.3</v>
      </c>
      <c r="H18" s="3"/>
      <c r="I18" s="91">
        <f t="shared" si="1"/>
        <v>0</v>
      </c>
      <c r="J18" s="3">
        <v>21.2</v>
      </c>
      <c r="K18" s="3">
        <v>22.9</v>
      </c>
      <c r="L18" s="91">
        <f t="shared" si="2"/>
        <v>108.01886792452831</v>
      </c>
      <c r="M18" s="3">
        <f t="shared" si="9"/>
        <v>66.4</v>
      </c>
      <c r="N18" s="3">
        <f t="shared" si="10"/>
        <v>59.6</v>
      </c>
      <c r="O18" s="15">
        <f t="shared" si="8"/>
        <v>89.7590361445783</v>
      </c>
      <c r="P18" s="3">
        <v>-20.1</v>
      </c>
      <c r="Q18" s="3">
        <v>22.3</v>
      </c>
      <c r="R18" s="91">
        <f t="shared" si="3"/>
        <v>-110.94527363184079</v>
      </c>
      <c r="S18" s="3">
        <v>12.1</v>
      </c>
      <c r="T18" s="3">
        <v>13.2</v>
      </c>
      <c r="U18" s="91">
        <f t="shared" si="4"/>
        <v>109.09090909090908</v>
      </c>
      <c r="V18" s="3">
        <v>0</v>
      </c>
      <c r="W18" s="3">
        <v>0</v>
      </c>
      <c r="X18" s="30" t="e">
        <f t="shared" si="5"/>
        <v>#DIV/0!</v>
      </c>
      <c r="Y18" s="3">
        <f t="shared" si="16"/>
        <v>-8.000000000000002</v>
      </c>
      <c r="Z18" s="3">
        <f t="shared" si="16"/>
        <v>35.5</v>
      </c>
      <c r="AA18" s="15">
        <f>Z18/Y18*100</f>
        <v>-443.7499999999999</v>
      </c>
      <c r="AB18" s="3">
        <v>0</v>
      </c>
      <c r="AC18" s="3">
        <v>0</v>
      </c>
      <c r="AD18" s="30" t="e">
        <f t="shared" si="6"/>
        <v>#DIV/0!</v>
      </c>
      <c r="AE18" s="3"/>
      <c r="AF18" s="3"/>
      <c r="AG18" s="30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15" t="e">
        <f>AK18/AJ18*100</f>
        <v>#DIV/0!</v>
      </c>
      <c r="AM18" s="3">
        <v>10.4</v>
      </c>
      <c r="AN18" s="3">
        <v>0</v>
      </c>
      <c r="AO18" s="3">
        <v>95.3</v>
      </c>
      <c r="AP18" s="3">
        <v>0</v>
      </c>
      <c r="AQ18" s="3">
        <v>125.9</v>
      </c>
      <c r="AR18" s="3">
        <v>105.7</v>
      </c>
      <c r="AS18" s="3">
        <f t="shared" si="14"/>
        <v>290</v>
      </c>
      <c r="AT18" s="3">
        <f t="shared" si="15"/>
        <v>200.8</v>
      </c>
      <c r="AU18" s="15">
        <f>AT18/AS18*100</f>
        <v>69.24137931034483</v>
      </c>
      <c r="AV18" s="3">
        <f>AS18-AT18</f>
        <v>89.19999999999999</v>
      </c>
      <c r="AW18" s="105">
        <f>C18+AS18-AT18</f>
        <v>125.89999999999998</v>
      </c>
    </row>
    <row r="19" spans="1:49" ht="24" customHeight="1">
      <c r="A19" s="10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5">
        <f t="shared" si="0"/>
        <v>36.08394458027709</v>
      </c>
      <c r="G19" s="3">
        <v>957.9</v>
      </c>
      <c r="H19" s="3">
        <v>650</v>
      </c>
      <c r="I19" s="15">
        <f t="shared" si="1"/>
        <v>67.85677001774715</v>
      </c>
      <c r="J19" s="3">
        <v>947.2</v>
      </c>
      <c r="K19" s="3">
        <v>981.6</v>
      </c>
      <c r="L19" s="15">
        <f t="shared" si="2"/>
        <v>103.63175675675676</v>
      </c>
      <c r="M19" s="3">
        <f t="shared" si="9"/>
        <v>2886.7</v>
      </c>
      <c r="N19" s="3">
        <f t="shared" si="10"/>
        <v>1985.8000000000002</v>
      </c>
      <c r="O19" s="15">
        <f t="shared" si="8"/>
        <v>68.79135344857451</v>
      </c>
      <c r="P19" s="3">
        <v>105.6</v>
      </c>
      <c r="Q19" s="3">
        <v>0</v>
      </c>
      <c r="R19" s="15">
        <f t="shared" si="3"/>
        <v>0</v>
      </c>
      <c r="S19" s="3">
        <v>-94.4</v>
      </c>
      <c r="T19" s="3">
        <v>0</v>
      </c>
      <c r="U19" s="15">
        <f t="shared" si="4"/>
        <v>0</v>
      </c>
      <c r="V19" s="3">
        <v>-513.7</v>
      </c>
      <c r="W19" s="3">
        <v>0</v>
      </c>
      <c r="X19" s="15">
        <f t="shared" si="5"/>
        <v>0</v>
      </c>
      <c r="Y19" s="3">
        <f t="shared" si="16"/>
        <v>-502.50000000000006</v>
      </c>
      <c r="Z19" s="3">
        <f t="shared" si="16"/>
        <v>0</v>
      </c>
      <c r="AA19" s="15">
        <f>Z19/Y19*100</f>
        <v>0</v>
      </c>
      <c r="AB19" s="3">
        <v>0</v>
      </c>
      <c r="AC19" s="3">
        <v>0</v>
      </c>
      <c r="AD19" s="30" t="e">
        <f t="shared" si="6"/>
        <v>#DIV/0!</v>
      </c>
      <c r="AE19" s="3">
        <v>4.9</v>
      </c>
      <c r="AF19" s="3">
        <v>0</v>
      </c>
      <c r="AG19" s="30">
        <f>AF19/AE19*100</f>
        <v>0</v>
      </c>
      <c r="AH19" s="3">
        <v>0.2</v>
      </c>
      <c r="AI19" s="3">
        <v>941</v>
      </c>
      <c r="AJ19" s="3">
        <f t="shared" si="12"/>
        <v>5.1000000000000005</v>
      </c>
      <c r="AK19" s="3">
        <f t="shared" si="13"/>
        <v>941</v>
      </c>
      <c r="AL19" s="15">
        <f>AK19/AJ19*100</f>
        <v>18450.98039215686</v>
      </c>
      <c r="AM19" s="3">
        <v>421.3</v>
      </c>
      <c r="AN19" s="3">
        <v>0</v>
      </c>
      <c r="AO19" s="3">
        <v>675.9</v>
      </c>
      <c r="AP19" s="3">
        <v>0</v>
      </c>
      <c r="AQ19" s="3">
        <v>973.2</v>
      </c>
      <c r="AR19" s="3">
        <v>1563.9</v>
      </c>
      <c r="AS19" s="3">
        <f t="shared" si="14"/>
        <v>4459.7</v>
      </c>
      <c r="AT19" s="3">
        <f t="shared" si="15"/>
        <v>4490.700000000001</v>
      </c>
      <c r="AU19" s="15">
        <f>AT19/AS19*100</f>
        <v>100.69511402112252</v>
      </c>
      <c r="AV19" s="3">
        <f>AS19-AT19</f>
        <v>-31.00000000000091</v>
      </c>
      <c r="AW19" s="105">
        <f>C19+AS19-AT19</f>
        <v>972.1999999999989</v>
      </c>
    </row>
    <row r="20" spans="1:49" ht="24" customHeight="1">
      <c r="A20" s="100">
        <v>13</v>
      </c>
      <c r="B20" s="16" t="s">
        <v>21</v>
      </c>
      <c r="C20" s="2">
        <v>0</v>
      </c>
      <c r="D20" s="23"/>
      <c r="E20" s="23"/>
      <c r="F20" s="38" t="e">
        <f t="shared" si="0"/>
        <v>#DIV/0!</v>
      </c>
      <c r="G20" s="23"/>
      <c r="H20" s="23"/>
      <c r="I20" s="38" t="e">
        <f t="shared" si="1"/>
        <v>#DIV/0!</v>
      </c>
      <c r="J20" s="23"/>
      <c r="K20" s="23"/>
      <c r="L20" s="38" t="e">
        <f t="shared" si="2"/>
        <v>#DIV/0!</v>
      </c>
      <c r="M20" s="3"/>
      <c r="N20" s="3"/>
      <c r="O20" s="15"/>
      <c r="P20" s="23"/>
      <c r="Q20" s="23"/>
      <c r="R20" s="38" t="e">
        <f t="shared" si="3"/>
        <v>#DIV/0!</v>
      </c>
      <c r="S20" s="23"/>
      <c r="T20" s="23"/>
      <c r="U20" s="38" t="e">
        <f t="shared" si="4"/>
        <v>#DIV/0!</v>
      </c>
      <c r="V20" s="23"/>
      <c r="W20" s="23"/>
      <c r="X20" s="38" t="e">
        <f t="shared" si="5"/>
        <v>#DIV/0!</v>
      </c>
      <c r="Y20" s="3"/>
      <c r="Z20" s="3"/>
      <c r="AA20" s="15"/>
      <c r="AB20" s="23"/>
      <c r="AC20" s="23"/>
      <c r="AD20" s="38" t="e">
        <f t="shared" si="6"/>
        <v>#DIV/0!</v>
      </c>
      <c r="AE20" s="23"/>
      <c r="AF20" s="23"/>
      <c r="AG20" s="38"/>
      <c r="AH20" s="23"/>
      <c r="AI20" s="23"/>
      <c r="AJ20" s="3"/>
      <c r="AK20" s="3"/>
      <c r="AL20" s="15"/>
      <c r="AM20" s="23"/>
      <c r="AN20" s="23"/>
      <c r="AO20" s="23"/>
      <c r="AP20" s="23"/>
      <c r="AQ20" s="23"/>
      <c r="AR20" s="23"/>
      <c r="AS20" s="3"/>
      <c r="AT20" s="3"/>
      <c r="AU20" s="15"/>
      <c r="AV20" s="3"/>
      <c r="AW20" s="105"/>
    </row>
    <row r="21" spans="1:49" ht="24" customHeight="1">
      <c r="A21" s="100">
        <v>14</v>
      </c>
      <c r="B21" s="16" t="s">
        <v>22</v>
      </c>
      <c r="C21" s="2"/>
      <c r="D21" s="23"/>
      <c r="E21" s="23"/>
      <c r="F21" s="38" t="e">
        <f t="shared" si="0"/>
        <v>#DIV/0!</v>
      </c>
      <c r="G21" s="23"/>
      <c r="H21" s="23"/>
      <c r="I21" s="38" t="e">
        <f t="shared" si="1"/>
        <v>#DIV/0!</v>
      </c>
      <c r="J21" s="23"/>
      <c r="K21" s="23"/>
      <c r="L21" s="38" t="e">
        <f t="shared" si="2"/>
        <v>#DIV/0!</v>
      </c>
      <c r="M21" s="3"/>
      <c r="N21" s="3"/>
      <c r="O21" s="15"/>
      <c r="P21" s="23"/>
      <c r="Q21" s="23"/>
      <c r="R21" s="38" t="e">
        <f t="shared" si="3"/>
        <v>#DIV/0!</v>
      </c>
      <c r="S21" s="23"/>
      <c r="T21" s="23"/>
      <c r="U21" s="38" t="e">
        <f t="shared" si="4"/>
        <v>#DIV/0!</v>
      </c>
      <c r="V21" s="23"/>
      <c r="W21" s="23"/>
      <c r="X21" s="38" t="e">
        <f t="shared" si="5"/>
        <v>#DIV/0!</v>
      </c>
      <c r="Y21" s="3"/>
      <c r="Z21" s="3"/>
      <c r="AA21" s="15"/>
      <c r="AB21" s="23"/>
      <c r="AC21" s="23"/>
      <c r="AD21" s="38" t="e">
        <f t="shared" si="6"/>
        <v>#DIV/0!</v>
      </c>
      <c r="AE21" s="23"/>
      <c r="AF21" s="23"/>
      <c r="AG21" s="38"/>
      <c r="AH21" s="23"/>
      <c r="AI21" s="23"/>
      <c r="AJ21" s="3"/>
      <c r="AK21" s="3"/>
      <c r="AL21" s="15"/>
      <c r="AM21" s="23"/>
      <c r="AN21" s="23"/>
      <c r="AO21" s="23"/>
      <c r="AP21" s="23"/>
      <c r="AQ21" s="23"/>
      <c r="AR21" s="23"/>
      <c r="AS21" s="3"/>
      <c r="AT21" s="3"/>
      <c r="AU21" s="15"/>
      <c r="AV21" s="3"/>
      <c r="AW21" s="105"/>
    </row>
    <row r="22" spans="1:49" ht="36.75" customHeight="1">
      <c r="A22" s="100">
        <v>15</v>
      </c>
      <c r="B22" s="16" t="s">
        <v>23</v>
      </c>
      <c r="C22" s="2"/>
      <c r="D22" s="23"/>
      <c r="E22" s="23"/>
      <c r="F22" s="38" t="e">
        <f t="shared" si="0"/>
        <v>#DIV/0!</v>
      </c>
      <c r="G22" s="23"/>
      <c r="H22" s="23"/>
      <c r="I22" s="38" t="e">
        <f t="shared" si="1"/>
        <v>#DIV/0!</v>
      </c>
      <c r="J22" s="23"/>
      <c r="K22" s="23"/>
      <c r="L22" s="38" t="e">
        <f t="shared" si="2"/>
        <v>#DIV/0!</v>
      </c>
      <c r="M22" s="3"/>
      <c r="N22" s="3"/>
      <c r="O22" s="15"/>
      <c r="P22" s="23"/>
      <c r="Q22" s="23"/>
      <c r="R22" s="38" t="e">
        <f t="shared" si="3"/>
        <v>#DIV/0!</v>
      </c>
      <c r="S22" s="23"/>
      <c r="T22" s="23"/>
      <c r="U22" s="38" t="e">
        <f t="shared" si="4"/>
        <v>#DIV/0!</v>
      </c>
      <c r="V22" s="23"/>
      <c r="W22" s="23"/>
      <c r="X22" s="38" t="e">
        <f t="shared" si="5"/>
        <v>#DIV/0!</v>
      </c>
      <c r="Y22" s="3"/>
      <c r="Z22" s="3"/>
      <c r="AA22" s="15"/>
      <c r="AB22" s="23"/>
      <c r="AC22" s="23"/>
      <c r="AD22" s="38" t="e">
        <f t="shared" si="6"/>
        <v>#DIV/0!</v>
      </c>
      <c r="AE22" s="23"/>
      <c r="AF22" s="23"/>
      <c r="AG22" s="38"/>
      <c r="AH22" s="23"/>
      <c r="AI22" s="23"/>
      <c r="AJ22" s="3"/>
      <c r="AK22" s="3"/>
      <c r="AL22" s="15"/>
      <c r="AM22" s="23"/>
      <c r="AN22" s="23"/>
      <c r="AO22" s="23"/>
      <c r="AP22" s="23"/>
      <c r="AQ22" s="23"/>
      <c r="AR22" s="23"/>
      <c r="AS22" s="3"/>
      <c r="AT22" s="3"/>
      <c r="AU22" s="15"/>
      <c r="AV22" s="3"/>
      <c r="AW22" s="105"/>
    </row>
    <row r="23" spans="1:49" ht="24" customHeight="1">
      <c r="A23" s="100">
        <v>16</v>
      </c>
      <c r="B23" s="16" t="s">
        <v>115</v>
      </c>
      <c r="C23" s="2"/>
      <c r="D23" s="23"/>
      <c r="E23" s="23"/>
      <c r="F23" s="38"/>
      <c r="G23" s="23"/>
      <c r="H23" s="23"/>
      <c r="I23" s="38" t="e">
        <f t="shared" si="1"/>
        <v>#DIV/0!</v>
      </c>
      <c r="J23" s="23"/>
      <c r="K23" s="23"/>
      <c r="L23" s="38" t="e">
        <f t="shared" si="2"/>
        <v>#DIV/0!</v>
      </c>
      <c r="M23" s="3"/>
      <c r="N23" s="3"/>
      <c r="O23" s="15"/>
      <c r="P23" s="23"/>
      <c r="Q23" s="23"/>
      <c r="R23" s="38" t="e">
        <f t="shared" si="3"/>
        <v>#DIV/0!</v>
      </c>
      <c r="S23" s="23"/>
      <c r="T23" s="23"/>
      <c r="U23" s="38" t="e">
        <f t="shared" si="4"/>
        <v>#DIV/0!</v>
      </c>
      <c r="V23" s="23"/>
      <c r="W23" s="23"/>
      <c r="X23" s="38" t="e">
        <f t="shared" si="5"/>
        <v>#DIV/0!</v>
      </c>
      <c r="Y23" s="3"/>
      <c r="Z23" s="3"/>
      <c r="AA23" s="15"/>
      <c r="AB23" s="23"/>
      <c r="AC23" s="23"/>
      <c r="AD23" s="38" t="e">
        <f t="shared" si="6"/>
        <v>#DIV/0!</v>
      </c>
      <c r="AE23" s="92"/>
      <c r="AF23" s="92"/>
      <c r="AG23" s="92"/>
      <c r="AH23" s="92"/>
      <c r="AI23" s="92"/>
      <c r="AJ23" s="3"/>
      <c r="AK23" s="3"/>
      <c r="AL23" s="15"/>
      <c r="AM23" s="92"/>
      <c r="AN23" s="92"/>
      <c r="AO23" s="92"/>
      <c r="AP23" s="92"/>
      <c r="AQ23" s="92"/>
      <c r="AR23" s="92"/>
      <c r="AS23" s="3"/>
      <c r="AT23" s="3"/>
      <c r="AU23" s="15"/>
      <c r="AV23" s="3"/>
      <c r="AW23" s="105"/>
    </row>
    <row r="24" spans="1:49" ht="36.75" customHeight="1">
      <c r="A24" s="100">
        <v>17</v>
      </c>
      <c r="B24" s="16" t="s">
        <v>24</v>
      </c>
      <c r="C24" s="2">
        <v>6890.7</v>
      </c>
      <c r="D24" s="3">
        <v>3182.8</v>
      </c>
      <c r="E24" s="3">
        <v>6251</v>
      </c>
      <c r="F24" s="15">
        <f t="shared" si="0"/>
        <v>196.39939675757194</v>
      </c>
      <c r="G24" s="3">
        <v>3382.5</v>
      </c>
      <c r="H24" s="3">
        <v>640</v>
      </c>
      <c r="I24" s="15">
        <f t="shared" si="1"/>
        <v>18.920916481892093</v>
      </c>
      <c r="J24" s="3">
        <v>3368.8</v>
      </c>
      <c r="K24" s="3">
        <v>2434.8</v>
      </c>
      <c r="L24" s="15">
        <f t="shared" si="2"/>
        <v>72.2749940631679</v>
      </c>
      <c r="M24" s="3">
        <f t="shared" si="9"/>
        <v>9934.1</v>
      </c>
      <c r="N24" s="3">
        <f t="shared" si="10"/>
        <v>9325.8</v>
      </c>
      <c r="O24" s="15">
        <f t="shared" si="8"/>
        <v>93.87664710441811</v>
      </c>
      <c r="P24" s="3">
        <v>64.4</v>
      </c>
      <c r="Q24" s="3">
        <v>2123.2</v>
      </c>
      <c r="R24" s="15">
        <f t="shared" si="3"/>
        <v>3296.8944099378873</v>
      </c>
      <c r="S24" s="3">
        <v>166</v>
      </c>
      <c r="T24" s="3">
        <v>0</v>
      </c>
      <c r="U24" s="15">
        <f t="shared" si="4"/>
        <v>0</v>
      </c>
      <c r="V24" s="3">
        <v>127.6</v>
      </c>
      <c r="W24" s="3">
        <v>2999.5</v>
      </c>
      <c r="X24" s="15">
        <f t="shared" si="5"/>
        <v>2350.705329153605</v>
      </c>
      <c r="Y24" s="3">
        <f>P24+S24+V24</f>
        <v>358</v>
      </c>
      <c r="Z24" s="3">
        <f>Q24+T24+W24</f>
        <v>5122.7</v>
      </c>
      <c r="AA24" s="15">
        <f>Z24/Y24*100</f>
        <v>1430.921787709497</v>
      </c>
      <c r="AB24" s="3">
        <v>17.3</v>
      </c>
      <c r="AC24" s="3">
        <v>0</v>
      </c>
      <c r="AD24" s="15">
        <f t="shared" si="6"/>
        <v>0</v>
      </c>
      <c r="AE24" s="3">
        <v>0.6</v>
      </c>
      <c r="AF24" s="3">
        <v>0</v>
      </c>
      <c r="AG24" s="15">
        <f>AF24/AE24*100</f>
        <v>0</v>
      </c>
      <c r="AH24" s="3">
        <v>0</v>
      </c>
      <c r="AI24" s="3">
        <v>2752.2</v>
      </c>
      <c r="AJ24" s="3">
        <f t="shared" si="12"/>
        <v>17.900000000000002</v>
      </c>
      <c r="AK24" s="3">
        <f t="shared" si="13"/>
        <v>2752.2</v>
      </c>
      <c r="AL24" s="15">
        <f>AK24/AJ24*100</f>
        <v>15375.418994413405</v>
      </c>
      <c r="AM24" s="3">
        <v>1009</v>
      </c>
      <c r="AN24" s="3">
        <v>0</v>
      </c>
      <c r="AO24" s="3">
        <v>3054</v>
      </c>
      <c r="AP24" s="3">
        <v>0</v>
      </c>
      <c r="AQ24" s="3">
        <v>3236.7</v>
      </c>
      <c r="AR24" s="3">
        <v>4064.1</v>
      </c>
      <c r="AS24" s="3">
        <f t="shared" si="14"/>
        <v>17609.7</v>
      </c>
      <c r="AT24" s="3">
        <f t="shared" si="15"/>
        <v>21264.8</v>
      </c>
      <c r="AU24" s="15">
        <f>AT24/AS24*100</f>
        <v>120.75617415401739</v>
      </c>
      <c r="AV24" s="3">
        <f>AS24-AT24</f>
        <v>-3655.0999999999985</v>
      </c>
      <c r="AW24" s="105">
        <f>C24+AS24-AT24</f>
        <v>3235.600000000002</v>
      </c>
    </row>
    <row r="25" spans="1:49" ht="24" customHeight="1">
      <c r="A25" s="100">
        <v>18</v>
      </c>
      <c r="B25" s="1" t="s">
        <v>25</v>
      </c>
      <c r="C25" s="2"/>
      <c r="D25" s="23"/>
      <c r="E25" s="23"/>
      <c r="F25" s="38" t="e">
        <f t="shared" si="0"/>
        <v>#DIV/0!</v>
      </c>
      <c r="G25" s="23"/>
      <c r="H25" s="23"/>
      <c r="I25" s="38" t="e">
        <f t="shared" si="1"/>
        <v>#DIV/0!</v>
      </c>
      <c r="J25" s="23"/>
      <c r="K25" s="23"/>
      <c r="L25" s="38" t="e">
        <f t="shared" si="2"/>
        <v>#DIV/0!</v>
      </c>
      <c r="M25" s="3"/>
      <c r="N25" s="3"/>
      <c r="O25" s="15"/>
      <c r="P25" s="23"/>
      <c r="Q25" s="23"/>
      <c r="R25" s="38" t="e">
        <f t="shared" si="3"/>
        <v>#DIV/0!</v>
      </c>
      <c r="S25" s="23"/>
      <c r="T25" s="23"/>
      <c r="U25" s="38" t="e">
        <f t="shared" si="4"/>
        <v>#DIV/0!</v>
      </c>
      <c r="V25" s="23"/>
      <c r="W25" s="23"/>
      <c r="X25" s="38" t="e">
        <f t="shared" si="5"/>
        <v>#DIV/0!</v>
      </c>
      <c r="Y25" s="3"/>
      <c r="Z25" s="3"/>
      <c r="AA25" s="15"/>
      <c r="AB25" s="23"/>
      <c r="AC25" s="23"/>
      <c r="AD25" s="30" t="e">
        <f t="shared" si="6"/>
        <v>#DIV/0!</v>
      </c>
      <c r="AE25" s="23"/>
      <c r="AF25" s="23"/>
      <c r="AG25" s="15"/>
      <c r="AH25" s="23"/>
      <c r="AI25" s="23"/>
      <c r="AJ25" s="3"/>
      <c r="AK25" s="3"/>
      <c r="AL25" s="15"/>
      <c r="AM25" s="23"/>
      <c r="AN25" s="23"/>
      <c r="AO25" s="23"/>
      <c r="AP25" s="23"/>
      <c r="AQ25" s="23"/>
      <c r="AR25" s="23"/>
      <c r="AS25" s="3"/>
      <c r="AT25" s="3"/>
      <c r="AU25" s="15"/>
      <c r="AV25" s="3"/>
      <c r="AW25" s="105"/>
    </row>
    <row r="26" spans="1:49" ht="24" customHeight="1">
      <c r="A26" s="100">
        <v>19</v>
      </c>
      <c r="B26" s="16" t="s">
        <v>26</v>
      </c>
      <c r="C26" s="2">
        <v>711.2</v>
      </c>
      <c r="D26" s="3">
        <v>360.9</v>
      </c>
      <c r="E26" s="3">
        <v>355.6</v>
      </c>
      <c r="F26" s="15">
        <f t="shared" si="0"/>
        <v>98.53144915489057</v>
      </c>
      <c r="G26" s="3">
        <v>360.9</v>
      </c>
      <c r="H26" s="3">
        <v>0</v>
      </c>
      <c r="I26" s="15">
        <f t="shared" si="1"/>
        <v>0</v>
      </c>
      <c r="J26" s="3">
        <v>359</v>
      </c>
      <c r="K26" s="3">
        <v>0</v>
      </c>
      <c r="L26" s="15">
        <f t="shared" si="2"/>
        <v>0</v>
      </c>
      <c r="M26" s="3">
        <f t="shared" si="9"/>
        <v>1080.8</v>
      </c>
      <c r="N26" s="3">
        <f t="shared" si="10"/>
        <v>355.6</v>
      </c>
      <c r="O26" s="15">
        <f t="shared" si="8"/>
        <v>32.90155440414508</v>
      </c>
      <c r="P26" s="3">
        <v>12.4</v>
      </c>
      <c r="Q26" s="3">
        <v>103.9</v>
      </c>
      <c r="R26" s="15">
        <f t="shared" si="3"/>
        <v>837.9032258064516</v>
      </c>
      <c r="S26" s="3">
        <v>-33.1</v>
      </c>
      <c r="T26" s="3">
        <v>612.7</v>
      </c>
      <c r="U26" s="15">
        <f t="shared" si="4"/>
        <v>-1851.0574018126888</v>
      </c>
      <c r="V26" s="3">
        <v>0</v>
      </c>
      <c r="W26" s="3">
        <v>506.1</v>
      </c>
      <c r="X26" s="30" t="e">
        <f t="shared" si="5"/>
        <v>#DIV/0!</v>
      </c>
      <c r="Y26" s="3">
        <f>P26+S26+V26</f>
        <v>-20.700000000000003</v>
      </c>
      <c r="Z26" s="3">
        <f>Q26+T26+W26</f>
        <v>1222.7</v>
      </c>
      <c r="AA26" s="15">
        <f>Z26/Y26*100</f>
        <v>-5906.763285024153</v>
      </c>
      <c r="AB26" s="3">
        <v>0</v>
      </c>
      <c r="AC26" s="3">
        <v>0</v>
      </c>
      <c r="AD26" s="35">
        <v>0</v>
      </c>
      <c r="AE26" s="3">
        <v>0</v>
      </c>
      <c r="AF26" s="3">
        <v>0</v>
      </c>
      <c r="AG26" s="30" t="e">
        <f>AF26/AE26*100</f>
        <v>#DIV/0!</v>
      </c>
      <c r="AH26" s="3">
        <v>0</v>
      </c>
      <c r="AI26" s="3">
        <v>0</v>
      </c>
      <c r="AJ26" s="3">
        <f t="shared" si="12"/>
        <v>0</v>
      </c>
      <c r="AK26" s="3">
        <f t="shared" si="13"/>
        <v>0</v>
      </c>
      <c r="AL26" s="15" t="e">
        <f>AK26/AJ26*100</f>
        <v>#DIV/0!</v>
      </c>
      <c r="AM26" s="3">
        <v>0</v>
      </c>
      <c r="AN26" s="3">
        <v>0</v>
      </c>
      <c r="AO26" s="3">
        <v>442.1</v>
      </c>
      <c r="AP26" s="3">
        <v>99.1</v>
      </c>
      <c r="AQ26" s="3">
        <v>346.7</v>
      </c>
      <c r="AR26" s="3">
        <v>442.1</v>
      </c>
      <c r="AS26" s="3">
        <f t="shared" si="14"/>
        <v>1848.8999999999999</v>
      </c>
      <c r="AT26" s="3">
        <f t="shared" si="15"/>
        <v>2119.5</v>
      </c>
      <c r="AU26" s="15">
        <f>AT26/AS26*100</f>
        <v>114.63572935258803</v>
      </c>
      <c r="AV26" s="3">
        <f>AS26-AT26</f>
        <v>-270.60000000000014</v>
      </c>
      <c r="AW26" s="105">
        <f>C26+AS26-AT26</f>
        <v>440.5999999999999</v>
      </c>
    </row>
    <row r="27" spans="1:49" ht="36.75" customHeight="1">
      <c r="A27" s="100">
        <v>20</v>
      </c>
      <c r="B27" s="16" t="s">
        <v>93</v>
      </c>
      <c r="C27" s="2">
        <v>5519</v>
      </c>
      <c r="D27" s="3">
        <v>3195.2</v>
      </c>
      <c r="E27" s="3">
        <v>4603.4</v>
      </c>
      <c r="F27" s="15">
        <f t="shared" si="0"/>
        <v>144.0723585378067</v>
      </c>
      <c r="G27" s="3">
        <v>3419.4</v>
      </c>
      <c r="H27" s="3">
        <v>0</v>
      </c>
      <c r="I27" s="15">
        <f t="shared" si="1"/>
        <v>0</v>
      </c>
      <c r="J27" s="3">
        <v>3380.3</v>
      </c>
      <c r="K27" s="3">
        <v>3377</v>
      </c>
      <c r="L27" s="15">
        <f t="shared" si="2"/>
        <v>99.90237552879921</v>
      </c>
      <c r="M27" s="3">
        <f t="shared" si="9"/>
        <v>9994.900000000001</v>
      </c>
      <c r="N27" s="3">
        <f t="shared" si="10"/>
        <v>7980.4</v>
      </c>
      <c r="O27" s="15">
        <f t="shared" si="8"/>
        <v>79.84472080761186</v>
      </c>
      <c r="P27" s="3">
        <v>220.5</v>
      </c>
      <c r="Q27" s="3">
        <v>733.8</v>
      </c>
      <c r="R27" s="15">
        <f t="shared" si="3"/>
        <v>332.7891156462585</v>
      </c>
      <c r="S27" s="3">
        <v>-3522</v>
      </c>
      <c r="T27" s="3">
        <v>1234.3</v>
      </c>
      <c r="U27" s="15">
        <f t="shared" si="4"/>
        <v>-35.04542873367405</v>
      </c>
      <c r="V27" s="3">
        <v>0</v>
      </c>
      <c r="W27" s="3">
        <v>1673.7</v>
      </c>
      <c r="X27" s="30" t="e">
        <f t="shared" si="5"/>
        <v>#DIV/0!</v>
      </c>
      <c r="Y27" s="3">
        <f>P27+S27+V27</f>
        <v>-3301.5</v>
      </c>
      <c r="Z27" s="3">
        <f>Q27+T27+W27</f>
        <v>3641.8</v>
      </c>
      <c r="AA27" s="15">
        <f>Z27/Y27*100</f>
        <v>-110.30743601393307</v>
      </c>
      <c r="AB27" s="3">
        <v>-0.4</v>
      </c>
      <c r="AC27" s="3">
        <v>0</v>
      </c>
      <c r="AD27" s="15">
        <f t="shared" si="6"/>
        <v>0</v>
      </c>
      <c r="AE27" s="3">
        <v>0</v>
      </c>
      <c r="AF27" s="3">
        <v>589.8</v>
      </c>
      <c r="AG27" s="30" t="e">
        <f>AF27/AE27*100</f>
        <v>#DIV/0!</v>
      </c>
      <c r="AH27" s="3">
        <v>0</v>
      </c>
      <c r="AI27" s="3">
        <v>0</v>
      </c>
      <c r="AJ27" s="3">
        <f t="shared" si="12"/>
        <v>-0.4</v>
      </c>
      <c r="AK27" s="3">
        <f t="shared" si="13"/>
        <v>589.8</v>
      </c>
      <c r="AL27" s="15">
        <f>AK27/AJ27*100</f>
        <v>-147449.99999999997</v>
      </c>
      <c r="AM27" s="3">
        <v>811.1</v>
      </c>
      <c r="AN27" s="3">
        <v>0</v>
      </c>
      <c r="AO27" s="3">
        <v>2439.9</v>
      </c>
      <c r="AP27" s="3">
        <v>0</v>
      </c>
      <c r="AQ27" s="3">
        <v>2873.7</v>
      </c>
      <c r="AR27" s="3">
        <v>811.1</v>
      </c>
      <c r="AS27" s="3">
        <f t="shared" si="14"/>
        <v>12817.7</v>
      </c>
      <c r="AT27" s="3">
        <f t="shared" si="15"/>
        <v>13023.1</v>
      </c>
      <c r="AU27" s="15">
        <f>AT27/AS27*100</f>
        <v>101.60247158226514</v>
      </c>
      <c r="AV27" s="3">
        <f>AS27-AT27</f>
        <v>-205.39999999999964</v>
      </c>
      <c r="AW27" s="105">
        <f>C27+AS27-AT27</f>
        <v>5313.6</v>
      </c>
    </row>
    <row r="28" spans="1:49" ht="36.75" customHeight="1">
      <c r="A28" s="100">
        <v>21</v>
      </c>
      <c r="B28" s="1" t="s">
        <v>27</v>
      </c>
      <c r="C28" s="2"/>
      <c r="D28" s="46"/>
      <c r="E28" s="46"/>
      <c r="F28" s="15"/>
      <c r="G28" s="23"/>
      <c r="H28" s="23"/>
      <c r="I28" s="38" t="e">
        <f t="shared" si="1"/>
        <v>#DIV/0!</v>
      </c>
      <c r="J28" s="23"/>
      <c r="K28" s="23"/>
      <c r="L28" s="38" t="e">
        <f t="shared" si="2"/>
        <v>#DIV/0!</v>
      </c>
      <c r="M28" s="3"/>
      <c r="N28" s="3"/>
      <c r="O28" s="15"/>
      <c r="P28" s="23"/>
      <c r="Q28" s="23"/>
      <c r="R28" s="38" t="e">
        <f t="shared" si="3"/>
        <v>#DIV/0!</v>
      </c>
      <c r="S28" s="23"/>
      <c r="T28" s="23"/>
      <c r="U28" s="38" t="e">
        <f t="shared" si="4"/>
        <v>#DIV/0!</v>
      </c>
      <c r="V28" s="23"/>
      <c r="W28" s="23"/>
      <c r="X28" s="38" t="e">
        <f t="shared" si="5"/>
        <v>#DIV/0!</v>
      </c>
      <c r="Y28" s="3"/>
      <c r="Z28" s="3"/>
      <c r="AA28" s="15"/>
      <c r="AB28" s="23"/>
      <c r="AC28" s="23"/>
      <c r="AD28" s="38" t="e">
        <f t="shared" si="6"/>
        <v>#DIV/0!</v>
      </c>
      <c r="AE28" s="23"/>
      <c r="AF28" s="23"/>
      <c r="AG28" s="38"/>
      <c r="AH28" s="23"/>
      <c r="AI28" s="23"/>
      <c r="AJ28" s="3"/>
      <c r="AK28" s="3"/>
      <c r="AL28" s="15"/>
      <c r="AM28" s="23"/>
      <c r="AN28" s="23"/>
      <c r="AO28" s="23"/>
      <c r="AP28" s="23"/>
      <c r="AQ28" s="23"/>
      <c r="AR28" s="23"/>
      <c r="AS28" s="3"/>
      <c r="AT28" s="3"/>
      <c r="AU28" s="15"/>
      <c r="AV28" s="3"/>
      <c r="AW28" s="105"/>
    </row>
    <row r="29" spans="1:49" ht="24" customHeight="1">
      <c r="A29" s="100">
        <v>22</v>
      </c>
      <c r="B29" s="1" t="s">
        <v>2</v>
      </c>
      <c r="C29" s="2"/>
      <c r="D29" s="23"/>
      <c r="E29" s="23"/>
      <c r="F29" s="38" t="e">
        <f t="shared" si="0"/>
        <v>#DIV/0!</v>
      </c>
      <c r="G29" s="23"/>
      <c r="H29" s="23"/>
      <c r="I29" s="38" t="e">
        <f t="shared" si="1"/>
        <v>#DIV/0!</v>
      </c>
      <c r="J29" s="23"/>
      <c r="K29" s="23"/>
      <c r="L29" s="38" t="e">
        <f t="shared" si="2"/>
        <v>#DIV/0!</v>
      </c>
      <c r="M29" s="3"/>
      <c r="N29" s="3"/>
      <c r="O29" s="15"/>
      <c r="P29" s="23"/>
      <c r="Q29" s="23"/>
      <c r="R29" s="38" t="e">
        <f t="shared" si="3"/>
        <v>#DIV/0!</v>
      </c>
      <c r="S29" s="23"/>
      <c r="T29" s="23"/>
      <c r="U29" s="38" t="e">
        <f t="shared" si="4"/>
        <v>#DIV/0!</v>
      </c>
      <c r="V29" s="23"/>
      <c r="W29" s="23"/>
      <c r="X29" s="38" t="e">
        <f t="shared" si="5"/>
        <v>#DIV/0!</v>
      </c>
      <c r="Y29" s="3"/>
      <c r="Z29" s="3"/>
      <c r="AA29" s="15"/>
      <c r="AB29" s="23"/>
      <c r="AC29" s="23"/>
      <c r="AD29" s="38" t="e">
        <f t="shared" si="6"/>
        <v>#DIV/0!</v>
      </c>
      <c r="AE29" s="48"/>
      <c r="AF29" s="48"/>
      <c r="AG29" s="48"/>
      <c r="AH29" s="48"/>
      <c r="AI29" s="48"/>
      <c r="AJ29" s="3"/>
      <c r="AK29" s="3"/>
      <c r="AL29" s="15"/>
      <c r="AM29" s="48"/>
      <c r="AN29" s="48"/>
      <c r="AO29" s="48"/>
      <c r="AP29" s="48"/>
      <c r="AQ29" s="48"/>
      <c r="AR29" s="48"/>
      <c r="AS29" s="3"/>
      <c r="AT29" s="3"/>
      <c r="AU29" s="15"/>
      <c r="AV29" s="3"/>
      <c r="AW29" s="105"/>
    </row>
    <row r="30" spans="1:49" ht="24" customHeight="1">
      <c r="A30" s="100">
        <v>23</v>
      </c>
      <c r="B30" s="16" t="s">
        <v>3</v>
      </c>
      <c r="C30" s="2"/>
      <c r="D30" s="23"/>
      <c r="E30" s="23"/>
      <c r="F30" s="38" t="e">
        <f t="shared" si="0"/>
        <v>#DIV/0!</v>
      </c>
      <c r="G30" s="23"/>
      <c r="H30" s="23"/>
      <c r="I30" s="38" t="e">
        <f t="shared" si="1"/>
        <v>#DIV/0!</v>
      </c>
      <c r="J30" s="23"/>
      <c r="K30" s="23"/>
      <c r="L30" s="38" t="e">
        <f t="shared" si="2"/>
        <v>#DIV/0!</v>
      </c>
      <c r="M30" s="3"/>
      <c r="N30" s="3"/>
      <c r="O30" s="15"/>
      <c r="P30" s="23"/>
      <c r="Q30" s="23"/>
      <c r="R30" s="38" t="e">
        <f t="shared" si="3"/>
        <v>#DIV/0!</v>
      </c>
      <c r="S30" s="23"/>
      <c r="T30" s="23"/>
      <c r="U30" s="38" t="e">
        <f t="shared" si="4"/>
        <v>#DIV/0!</v>
      </c>
      <c r="V30" s="23"/>
      <c r="W30" s="23"/>
      <c r="X30" s="38" t="e">
        <f t="shared" si="5"/>
        <v>#DIV/0!</v>
      </c>
      <c r="Y30" s="3"/>
      <c r="Z30" s="3"/>
      <c r="AA30" s="15"/>
      <c r="AB30" s="23"/>
      <c r="AC30" s="23"/>
      <c r="AD30" s="38" t="e">
        <f t="shared" si="6"/>
        <v>#DIV/0!</v>
      </c>
      <c r="AE30" s="48"/>
      <c r="AF30" s="48"/>
      <c r="AG30" s="48"/>
      <c r="AH30" s="48"/>
      <c r="AI30" s="48"/>
      <c r="AJ30" s="3"/>
      <c r="AK30" s="3"/>
      <c r="AL30" s="15"/>
      <c r="AM30" s="48"/>
      <c r="AN30" s="48"/>
      <c r="AO30" s="48"/>
      <c r="AP30" s="48"/>
      <c r="AQ30" s="48"/>
      <c r="AR30" s="48"/>
      <c r="AS30" s="3"/>
      <c r="AT30" s="3"/>
      <c r="AU30" s="15"/>
      <c r="AV30" s="3"/>
      <c r="AW30" s="105"/>
    </row>
    <row r="31" spans="1:49" ht="24" customHeight="1">
      <c r="A31" s="100">
        <v>24</v>
      </c>
      <c r="B31" s="16" t="s">
        <v>4</v>
      </c>
      <c r="C31" s="2"/>
      <c r="D31" s="23"/>
      <c r="E31" s="23"/>
      <c r="F31" s="38" t="e">
        <f t="shared" si="0"/>
        <v>#DIV/0!</v>
      </c>
      <c r="G31" s="23"/>
      <c r="H31" s="23"/>
      <c r="I31" s="38" t="e">
        <f t="shared" si="1"/>
        <v>#DIV/0!</v>
      </c>
      <c r="J31" s="23"/>
      <c r="K31" s="23"/>
      <c r="L31" s="38" t="e">
        <f t="shared" si="2"/>
        <v>#DIV/0!</v>
      </c>
      <c r="M31" s="3"/>
      <c r="N31" s="3"/>
      <c r="O31" s="15"/>
      <c r="P31" s="23"/>
      <c r="Q31" s="23"/>
      <c r="R31" s="38" t="e">
        <f t="shared" si="3"/>
        <v>#DIV/0!</v>
      </c>
      <c r="S31" s="23"/>
      <c r="T31" s="23"/>
      <c r="U31" s="38" t="e">
        <f t="shared" si="4"/>
        <v>#DIV/0!</v>
      </c>
      <c r="V31" s="23"/>
      <c r="W31" s="23"/>
      <c r="X31" s="38" t="e">
        <f t="shared" si="5"/>
        <v>#DIV/0!</v>
      </c>
      <c r="Y31" s="3"/>
      <c r="Z31" s="3"/>
      <c r="AA31" s="15"/>
      <c r="AB31" s="23"/>
      <c r="AC31" s="23"/>
      <c r="AD31" s="38" t="e">
        <f t="shared" si="6"/>
        <v>#DIV/0!</v>
      </c>
      <c r="AE31" s="48"/>
      <c r="AF31" s="48"/>
      <c r="AG31" s="48"/>
      <c r="AH31" s="48"/>
      <c r="AI31" s="48"/>
      <c r="AJ31" s="3"/>
      <c r="AK31" s="3"/>
      <c r="AL31" s="15"/>
      <c r="AM31" s="48"/>
      <c r="AN31" s="48"/>
      <c r="AO31" s="48"/>
      <c r="AP31" s="48"/>
      <c r="AQ31" s="48"/>
      <c r="AR31" s="48"/>
      <c r="AS31" s="3"/>
      <c r="AT31" s="3"/>
      <c r="AU31" s="15"/>
      <c r="AV31" s="3"/>
      <c r="AW31" s="105"/>
    </row>
    <row r="32" spans="1:49" ht="24" customHeight="1">
      <c r="A32" s="100">
        <v>25</v>
      </c>
      <c r="B32" s="16" t="s">
        <v>11</v>
      </c>
      <c r="C32" s="2"/>
      <c r="D32" s="23"/>
      <c r="E32" s="23"/>
      <c r="F32" s="38" t="e">
        <f t="shared" si="0"/>
        <v>#DIV/0!</v>
      </c>
      <c r="G32" s="23"/>
      <c r="H32" s="23"/>
      <c r="I32" s="38" t="e">
        <f t="shared" si="1"/>
        <v>#DIV/0!</v>
      </c>
      <c r="J32" s="23"/>
      <c r="K32" s="23"/>
      <c r="L32" s="38" t="e">
        <f t="shared" si="2"/>
        <v>#DIV/0!</v>
      </c>
      <c r="M32" s="3"/>
      <c r="N32" s="3"/>
      <c r="O32" s="15"/>
      <c r="P32" s="23"/>
      <c r="Q32" s="23"/>
      <c r="R32" s="38" t="e">
        <f t="shared" si="3"/>
        <v>#DIV/0!</v>
      </c>
      <c r="S32" s="23"/>
      <c r="T32" s="23"/>
      <c r="U32" s="38" t="e">
        <f t="shared" si="4"/>
        <v>#DIV/0!</v>
      </c>
      <c r="V32" s="23"/>
      <c r="W32" s="23"/>
      <c r="X32" s="38" t="e">
        <f t="shared" si="5"/>
        <v>#DIV/0!</v>
      </c>
      <c r="Y32" s="3"/>
      <c r="Z32" s="3"/>
      <c r="AA32" s="15"/>
      <c r="AB32" s="23"/>
      <c r="AC32" s="23"/>
      <c r="AD32" s="38" t="e">
        <f t="shared" si="6"/>
        <v>#DIV/0!</v>
      </c>
      <c r="AE32" s="23"/>
      <c r="AF32" s="23"/>
      <c r="AG32" s="38"/>
      <c r="AH32" s="23"/>
      <c r="AI32" s="23"/>
      <c r="AJ32" s="3"/>
      <c r="AK32" s="3"/>
      <c r="AL32" s="15"/>
      <c r="AM32" s="23"/>
      <c r="AN32" s="23"/>
      <c r="AO32" s="23"/>
      <c r="AP32" s="23"/>
      <c r="AQ32" s="23"/>
      <c r="AR32" s="23"/>
      <c r="AS32" s="3"/>
      <c r="AT32" s="3"/>
      <c r="AU32" s="15"/>
      <c r="AV32" s="3"/>
      <c r="AW32" s="105"/>
    </row>
    <row r="33" spans="1:49" ht="24" customHeight="1">
      <c r="A33" s="100"/>
      <c r="B33" s="16" t="s">
        <v>102</v>
      </c>
      <c r="C33" s="2">
        <v>2911</v>
      </c>
      <c r="D33" s="3">
        <v>3236.5</v>
      </c>
      <c r="E33" s="3">
        <v>2907.4</v>
      </c>
      <c r="F33" s="15">
        <f t="shared" si="0"/>
        <v>89.83160821875484</v>
      </c>
      <c r="G33" s="3">
        <v>4187.8</v>
      </c>
      <c r="H33" s="3">
        <v>0</v>
      </c>
      <c r="I33" s="15">
        <f t="shared" si="1"/>
        <v>0</v>
      </c>
      <c r="J33" s="3">
        <v>4004.7</v>
      </c>
      <c r="K33" s="3">
        <v>3239.4</v>
      </c>
      <c r="L33" s="15">
        <f t="shared" si="2"/>
        <v>80.88995430369317</v>
      </c>
      <c r="M33" s="3">
        <f t="shared" si="9"/>
        <v>11429</v>
      </c>
      <c r="N33" s="3">
        <f t="shared" si="10"/>
        <v>6146.8</v>
      </c>
      <c r="O33" s="15">
        <f t="shared" si="8"/>
        <v>53.782483156881625</v>
      </c>
      <c r="P33" s="3">
        <v>223.7</v>
      </c>
      <c r="Q33" s="3">
        <v>4188.3</v>
      </c>
      <c r="R33" s="15">
        <f t="shared" si="3"/>
        <v>1872.28430934287</v>
      </c>
      <c r="S33" s="3">
        <v>-4172</v>
      </c>
      <c r="T33" s="3">
        <v>0</v>
      </c>
      <c r="U33" s="15">
        <f t="shared" si="4"/>
        <v>0</v>
      </c>
      <c r="V33" s="3">
        <v>680.5</v>
      </c>
      <c r="W33" s="3">
        <v>0</v>
      </c>
      <c r="X33" s="15">
        <f t="shared" si="5"/>
        <v>0</v>
      </c>
      <c r="Y33" s="3">
        <f>P33+S33+V33</f>
        <v>-3267.8</v>
      </c>
      <c r="Z33" s="3">
        <f>Q33+T33+W33</f>
        <v>4188.3</v>
      </c>
      <c r="AA33" s="15">
        <f>Z33/Y33*100</f>
        <v>-128.16879858008446</v>
      </c>
      <c r="AB33" s="3">
        <v>-8.1</v>
      </c>
      <c r="AC33" s="3">
        <v>0</v>
      </c>
      <c r="AD33" s="15">
        <f t="shared" si="6"/>
        <v>0</v>
      </c>
      <c r="AE33" s="3">
        <v>-6.9</v>
      </c>
      <c r="AF33" s="3">
        <v>0</v>
      </c>
      <c r="AG33" s="15">
        <f>AF33/AE33*100</f>
        <v>0</v>
      </c>
      <c r="AH33" s="3">
        <v>-3.7</v>
      </c>
      <c r="AI33" s="3">
        <v>0</v>
      </c>
      <c r="AJ33" s="3">
        <f t="shared" si="12"/>
        <v>-18.7</v>
      </c>
      <c r="AK33" s="3">
        <f t="shared" si="13"/>
        <v>0</v>
      </c>
      <c r="AL33" s="15">
        <f>AK33/AJ33*100</f>
        <v>0</v>
      </c>
      <c r="AM33" s="3">
        <v>8.3</v>
      </c>
      <c r="AN33" s="3">
        <v>0</v>
      </c>
      <c r="AO33" s="3">
        <v>105.4</v>
      </c>
      <c r="AP33" s="3">
        <v>704.3</v>
      </c>
      <c r="AQ33" s="3">
        <v>254.4</v>
      </c>
      <c r="AR33" s="3">
        <v>22.2</v>
      </c>
      <c r="AS33" s="3">
        <f t="shared" si="14"/>
        <v>8510.6</v>
      </c>
      <c r="AT33" s="3">
        <f t="shared" si="15"/>
        <v>11061.6</v>
      </c>
      <c r="AU33" s="15">
        <f>AT33/AS33*100</f>
        <v>129.974384884732</v>
      </c>
      <c r="AV33" s="3">
        <f>AS33-AT33</f>
        <v>-2551</v>
      </c>
      <c r="AW33" s="105">
        <f>C33+AS33-AT33</f>
        <v>360</v>
      </c>
    </row>
    <row r="34" spans="1:49" ht="24.75" customHeight="1">
      <c r="A34" s="102"/>
      <c r="B34" s="16" t="s">
        <v>43</v>
      </c>
      <c r="C34" s="2"/>
      <c r="D34" s="23"/>
      <c r="E34" s="23"/>
      <c r="F34" s="38" t="e">
        <f t="shared" si="0"/>
        <v>#DIV/0!</v>
      </c>
      <c r="G34" s="23"/>
      <c r="H34" s="23"/>
      <c r="I34" s="38" t="e">
        <f t="shared" si="1"/>
        <v>#DIV/0!</v>
      </c>
      <c r="J34" s="23"/>
      <c r="K34" s="23"/>
      <c r="L34" s="38" t="e">
        <f t="shared" si="2"/>
        <v>#DIV/0!</v>
      </c>
      <c r="M34" s="3"/>
      <c r="N34" s="3"/>
      <c r="O34" s="15"/>
      <c r="P34" s="23"/>
      <c r="Q34" s="23"/>
      <c r="R34" s="38" t="e">
        <f t="shared" si="3"/>
        <v>#DIV/0!</v>
      </c>
      <c r="S34" s="23"/>
      <c r="T34" s="23"/>
      <c r="U34" s="38" t="e">
        <f t="shared" si="4"/>
        <v>#DIV/0!</v>
      </c>
      <c r="V34" s="23"/>
      <c r="W34" s="23"/>
      <c r="X34" s="38" t="e">
        <f t="shared" si="5"/>
        <v>#DIV/0!</v>
      </c>
      <c r="Y34" s="3"/>
      <c r="Z34" s="3"/>
      <c r="AA34" s="15"/>
      <c r="AB34" s="23"/>
      <c r="AC34" s="23"/>
      <c r="AD34" s="38" t="e">
        <f t="shared" si="6"/>
        <v>#DIV/0!</v>
      </c>
      <c r="AE34" s="3"/>
      <c r="AF34" s="3"/>
      <c r="AG34" s="38"/>
      <c r="AH34" s="3"/>
      <c r="AI34" s="3"/>
      <c r="AJ34" s="3"/>
      <c r="AK34" s="3"/>
      <c r="AL34" s="15"/>
      <c r="AM34" s="3"/>
      <c r="AN34" s="3"/>
      <c r="AO34" s="3"/>
      <c r="AP34" s="3"/>
      <c r="AQ34" s="3"/>
      <c r="AR34" s="3"/>
      <c r="AS34" s="3"/>
      <c r="AT34" s="3"/>
      <c r="AU34" s="15"/>
      <c r="AV34" s="3"/>
      <c r="AW34" s="105"/>
    </row>
    <row r="35" spans="1:49" ht="35.25" customHeight="1">
      <c r="A35" s="100">
        <v>26</v>
      </c>
      <c r="B35" s="16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5">
        <f t="shared" si="0"/>
        <v>122.13815891053947</v>
      </c>
      <c r="G35" s="3">
        <f>613.4+2639.4</f>
        <v>3252.8</v>
      </c>
      <c r="H35" s="3">
        <v>0</v>
      </c>
      <c r="I35" s="15">
        <f t="shared" si="1"/>
        <v>0</v>
      </c>
      <c r="J35" s="3">
        <v>3148.3</v>
      </c>
      <c r="K35" s="3">
        <v>656.2</v>
      </c>
      <c r="L35" s="15">
        <f t="shared" si="2"/>
        <v>20.842994632023633</v>
      </c>
      <c r="M35" s="3">
        <f t="shared" si="9"/>
        <v>9639.400000000001</v>
      </c>
      <c r="N35" s="3">
        <f t="shared" si="10"/>
        <v>4611.4</v>
      </c>
      <c r="O35" s="15">
        <f t="shared" si="8"/>
        <v>47.83907712098262</v>
      </c>
      <c r="P35" s="3">
        <v>203.6</v>
      </c>
      <c r="Q35" s="3">
        <v>778.1</v>
      </c>
      <c r="R35" s="15">
        <f t="shared" si="3"/>
        <v>382.1709233791749</v>
      </c>
      <c r="S35" s="3">
        <v>-1911</v>
      </c>
      <c r="T35" s="3">
        <v>4588</v>
      </c>
      <c r="U35" s="15">
        <f t="shared" si="4"/>
        <v>-240.08372579801153</v>
      </c>
      <c r="V35" s="3">
        <v>-67.4</v>
      </c>
      <c r="W35" s="3">
        <v>0</v>
      </c>
      <c r="X35" s="15">
        <f t="shared" si="5"/>
        <v>0</v>
      </c>
      <c r="Y35" s="3">
        <f>P35+S35+V35</f>
        <v>-1774.8000000000002</v>
      </c>
      <c r="Z35" s="3">
        <f>Q35+T35+W35</f>
        <v>5366.1</v>
      </c>
      <c r="AA35" s="15">
        <f>Z35/Y35*100</f>
        <v>-302.34956051386075</v>
      </c>
      <c r="AB35" s="3">
        <v>10.4</v>
      </c>
      <c r="AC35" s="3">
        <v>0</v>
      </c>
      <c r="AD35" s="35">
        <v>0</v>
      </c>
      <c r="AE35" s="3">
        <v>0</v>
      </c>
      <c r="AF35" s="3">
        <v>0</v>
      </c>
      <c r="AG35" s="15" t="e">
        <f>AF35/AE35*100</f>
        <v>#DIV/0!</v>
      </c>
      <c r="AH35" s="3">
        <v>0.4</v>
      </c>
      <c r="AI35" s="3">
        <v>0</v>
      </c>
      <c r="AJ35" s="3">
        <f t="shared" si="12"/>
        <v>10.8</v>
      </c>
      <c r="AK35" s="3">
        <f t="shared" si="13"/>
        <v>0</v>
      </c>
      <c r="AL35" s="15">
        <f>AK35/AJ35*100</f>
        <v>0</v>
      </c>
      <c r="AM35" s="3">
        <v>993</v>
      </c>
      <c r="AN35" s="3">
        <v>0</v>
      </c>
      <c r="AO35" s="3">
        <v>2633.1</v>
      </c>
      <c r="AP35" s="3">
        <v>0</v>
      </c>
      <c r="AQ35" s="3">
        <v>3057.8</v>
      </c>
      <c r="AR35" s="3">
        <v>5167.2</v>
      </c>
      <c r="AS35" s="3">
        <f t="shared" si="14"/>
        <v>14559.300000000003</v>
      </c>
      <c r="AT35" s="3">
        <f t="shared" si="15"/>
        <v>15144.7</v>
      </c>
      <c r="AU35" s="15">
        <f>AT35/AS35*100</f>
        <v>104.02079770318626</v>
      </c>
      <c r="AV35" s="3">
        <f>AS35-AT35</f>
        <v>-585.3999999999978</v>
      </c>
      <c r="AW35" s="105">
        <f>C35+AS35-AT35</f>
        <v>6153.100000000002</v>
      </c>
    </row>
    <row r="36" spans="1:49" ht="24" customHeight="1">
      <c r="A36" s="100">
        <v>27</v>
      </c>
      <c r="B36" s="1" t="s">
        <v>28</v>
      </c>
      <c r="C36" s="2"/>
      <c r="D36" s="3"/>
      <c r="E36" s="3"/>
      <c r="F36" s="15"/>
      <c r="G36" s="3"/>
      <c r="H36" s="3"/>
      <c r="I36" s="30"/>
      <c r="J36" s="3"/>
      <c r="K36" s="3"/>
      <c r="L36" s="30"/>
      <c r="M36" s="3"/>
      <c r="N36" s="3"/>
      <c r="O36" s="15"/>
      <c r="P36" s="3"/>
      <c r="Q36" s="3"/>
      <c r="R36" s="30"/>
      <c r="S36" s="3"/>
      <c r="T36" s="3"/>
      <c r="U36" s="30"/>
      <c r="V36" s="3"/>
      <c r="W36" s="3"/>
      <c r="X36" s="30"/>
      <c r="Y36" s="3"/>
      <c r="Z36" s="3"/>
      <c r="AA36" s="15"/>
      <c r="AB36" s="3"/>
      <c r="AC36" s="3"/>
      <c r="AD36" s="30"/>
      <c r="AE36" s="3"/>
      <c r="AF36" s="3"/>
      <c r="AG36" s="15">
        <v>0</v>
      </c>
      <c r="AH36" s="3"/>
      <c r="AI36" s="3"/>
      <c r="AJ36" s="3"/>
      <c r="AK36" s="3"/>
      <c r="AL36" s="15"/>
      <c r="AM36" s="3"/>
      <c r="AN36" s="3"/>
      <c r="AO36" s="3"/>
      <c r="AP36" s="3"/>
      <c r="AQ36" s="3"/>
      <c r="AR36" s="3"/>
      <c r="AS36" s="3"/>
      <c r="AT36" s="3"/>
      <c r="AU36" s="30"/>
      <c r="AV36" s="3"/>
      <c r="AW36" s="105"/>
    </row>
    <row r="37" spans="1:49" ht="24" customHeight="1">
      <c r="A37" s="100">
        <v>28</v>
      </c>
      <c r="B37" s="16" t="s">
        <v>29</v>
      </c>
      <c r="C37" s="2">
        <v>16343.2</v>
      </c>
      <c r="D37" s="3">
        <v>8028.6</v>
      </c>
      <c r="E37" s="3">
        <v>15243.2</v>
      </c>
      <c r="F37" s="15">
        <f t="shared" si="0"/>
        <v>189.86124604538773</v>
      </c>
      <c r="G37" s="3">
        <v>7958.2</v>
      </c>
      <c r="H37" s="3">
        <v>8128.6</v>
      </c>
      <c r="I37" s="15">
        <f t="shared" si="1"/>
        <v>102.14118770576262</v>
      </c>
      <c r="J37" s="3">
        <v>7861</v>
      </c>
      <c r="K37" s="3">
        <v>0</v>
      </c>
      <c r="L37" s="15">
        <f aca="true" t="shared" si="17" ref="L37:L44">K37/J37*100</f>
        <v>0</v>
      </c>
      <c r="M37" s="3">
        <f t="shared" si="9"/>
        <v>23847.8</v>
      </c>
      <c r="N37" s="3">
        <f t="shared" si="10"/>
        <v>23371.800000000003</v>
      </c>
      <c r="O37" s="15">
        <f t="shared" si="8"/>
        <v>98.00400875552462</v>
      </c>
      <c r="P37" s="3">
        <v>308.7</v>
      </c>
      <c r="Q37" s="3">
        <v>7958.2</v>
      </c>
      <c r="R37" s="15">
        <f aca="true" t="shared" si="18" ref="R37:R44">Q37/P37*100</f>
        <v>2577.9721412374474</v>
      </c>
      <c r="S37" s="3">
        <v>-1799</v>
      </c>
      <c r="T37" s="3">
        <v>1000</v>
      </c>
      <c r="U37" s="15">
        <f aca="true" t="shared" si="19" ref="U37:U44">T37/S37*100</f>
        <v>-55.58643690939411</v>
      </c>
      <c r="V37" s="3">
        <v>0.1</v>
      </c>
      <c r="W37" s="3">
        <v>0</v>
      </c>
      <c r="X37" s="15">
        <f aca="true" t="shared" si="20" ref="X37:X44">W37/V37*100</f>
        <v>0</v>
      </c>
      <c r="Y37" s="3">
        <f aca="true" t="shared" si="21" ref="Y37:Z42">P37+S37+V37</f>
        <v>-1490.2</v>
      </c>
      <c r="Z37" s="3">
        <f t="shared" si="21"/>
        <v>8958.2</v>
      </c>
      <c r="AA37" s="15">
        <f aca="true" t="shared" si="22" ref="AA37:AA44">Z37/Y37*100</f>
        <v>-601.1407864716145</v>
      </c>
      <c r="AB37" s="3">
        <v>153.5</v>
      </c>
      <c r="AC37" s="3">
        <v>0</v>
      </c>
      <c r="AD37" s="15">
        <f aca="true" t="shared" si="23" ref="AD37:AD44">AC37/AB37*100</f>
        <v>0</v>
      </c>
      <c r="AE37" s="3">
        <v>-0.1</v>
      </c>
      <c r="AF37" s="3">
        <v>7861</v>
      </c>
      <c r="AG37" s="15">
        <f aca="true" t="shared" si="24" ref="AG37:AG42">AF37/AE37*100</f>
        <v>-7861000</v>
      </c>
      <c r="AH37" s="3">
        <v>-2.5</v>
      </c>
      <c r="AI37" s="3">
        <v>0</v>
      </c>
      <c r="AJ37" s="3">
        <f t="shared" si="12"/>
        <v>150.9</v>
      </c>
      <c r="AK37" s="3">
        <f t="shared" si="13"/>
        <v>7861</v>
      </c>
      <c r="AL37" s="15">
        <f aca="true" t="shared" si="25" ref="AL37:AL44">AK37/AJ37*100</f>
        <v>5209.410205434062</v>
      </c>
      <c r="AM37" s="3">
        <v>2515</v>
      </c>
      <c r="AN37" s="3">
        <v>0</v>
      </c>
      <c r="AO37" s="3">
        <v>6142.5</v>
      </c>
      <c r="AP37" s="3">
        <v>0</v>
      </c>
      <c r="AQ37" s="3">
        <v>5924.9</v>
      </c>
      <c r="AR37" s="3">
        <v>7318.3</v>
      </c>
      <c r="AS37" s="3">
        <f t="shared" si="14"/>
        <v>37090.9</v>
      </c>
      <c r="AT37" s="3">
        <f t="shared" si="15"/>
        <v>47509.3</v>
      </c>
      <c r="AU37" s="15">
        <f aca="true" t="shared" si="26" ref="AU37:AU44">AT37/AS37*100</f>
        <v>128.08883041392903</v>
      </c>
      <c r="AV37" s="3">
        <f aca="true" t="shared" si="27" ref="AV37:AV42">AS37-AT37</f>
        <v>-10418.400000000001</v>
      </c>
      <c r="AW37" s="105">
        <f aca="true" t="shared" si="28" ref="AW37:AW42">C37+AS37-AT37</f>
        <v>5924.800000000003</v>
      </c>
    </row>
    <row r="38" spans="1:49" ht="24" customHeight="1">
      <c r="A38" s="100">
        <v>29</v>
      </c>
      <c r="B38" s="16" t="s">
        <v>30</v>
      </c>
      <c r="C38" s="2">
        <v>7900.9</v>
      </c>
      <c r="D38" s="3">
        <v>6458.2</v>
      </c>
      <c r="E38" s="3">
        <v>3887.1</v>
      </c>
      <c r="F38" s="15">
        <f t="shared" si="0"/>
        <v>60.188597442011705</v>
      </c>
      <c r="G38" s="3">
        <v>7352.6</v>
      </c>
      <c r="H38" s="3">
        <v>0</v>
      </c>
      <c r="I38" s="15">
        <f t="shared" si="1"/>
        <v>0</v>
      </c>
      <c r="J38" s="3">
        <v>7376.1</v>
      </c>
      <c r="K38" s="3">
        <v>0</v>
      </c>
      <c r="L38" s="15">
        <f t="shared" si="17"/>
        <v>0</v>
      </c>
      <c r="M38" s="3">
        <f t="shared" si="9"/>
        <v>21186.9</v>
      </c>
      <c r="N38" s="3">
        <f t="shared" si="10"/>
        <v>3887.1</v>
      </c>
      <c r="O38" s="15">
        <f t="shared" si="8"/>
        <v>18.346714243235205</v>
      </c>
      <c r="P38" s="3">
        <v>416.6</v>
      </c>
      <c r="Q38" s="3">
        <v>2629.2</v>
      </c>
      <c r="R38" s="15">
        <f t="shared" si="18"/>
        <v>631.1089774363898</v>
      </c>
      <c r="S38" s="3">
        <v>-4229.2</v>
      </c>
      <c r="T38" s="3">
        <v>11497.8</v>
      </c>
      <c r="U38" s="15">
        <f t="shared" si="19"/>
        <v>-271.8670197673319</v>
      </c>
      <c r="V38" s="3">
        <v>-9.7</v>
      </c>
      <c r="W38" s="3">
        <v>215.4</v>
      </c>
      <c r="X38" s="15">
        <f t="shared" si="20"/>
        <v>-2220.618556701031</v>
      </c>
      <c r="Y38" s="3">
        <f t="shared" si="21"/>
        <v>-3822.2999999999997</v>
      </c>
      <c r="Z38" s="3">
        <f t="shared" si="21"/>
        <v>14342.4</v>
      </c>
      <c r="AA38" s="15">
        <f t="shared" si="22"/>
        <v>-375.22957381681186</v>
      </c>
      <c r="AB38" s="3">
        <v>32.2</v>
      </c>
      <c r="AC38" s="3">
        <v>540</v>
      </c>
      <c r="AD38" s="15">
        <f t="shared" si="23"/>
        <v>1677.0186335403725</v>
      </c>
      <c r="AE38" s="3">
        <v>0</v>
      </c>
      <c r="AF38" s="3">
        <v>0</v>
      </c>
      <c r="AG38" s="15" t="e">
        <f t="shared" si="24"/>
        <v>#DIV/0!</v>
      </c>
      <c r="AH38" s="3">
        <v>5.1</v>
      </c>
      <c r="AI38" s="3">
        <v>1439.1</v>
      </c>
      <c r="AJ38" s="3">
        <f t="shared" si="12"/>
        <v>37.300000000000004</v>
      </c>
      <c r="AK38" s="3">
        <f t="shared" si="13"/>
        <v>1979.1</v>
      </c>
      <c r="AL38" s="15">
        <f t="shared" si="25"/>
        <v>5305.898123324396</v>
      </c>
      <c r="AM38" s="3">
        <f>-1.6+1786.3</f>
        <v>1784.7</v>
      </c>
      <c r="AN38" s="3">
        <v>0</v>
      </c>
      <c r="AO38" s="3">
        <f>-3.3+6820.4</f>
        <v>6817.099999999999</v>
      </c>
      <c r="AP38" s="3">
        <v>0</v>
      </c>
      <c r="AQ38" s="3">
        <f>8327.8+(-11.9)</f>
        <v>8315.9</v>
      </c>
      <c r="AR38" s="3">
        <v>8606.7</v>
      </c>
      <c r="AS38" s="3">
        <f t="shared" si="14"/>
        <v>34319.6</v>
      </c>
      <c r="AT38" s="3">
        <f t="shared" si="15"/>
        <v>28815.3</v>
      </c>
      <c r="AU38" s="15">
        <f t="shared" si="26"/>
        <v>83.96164290959103</v>
      </c>
      <c r="AV38" s="3">
        <f t="shared" si="27"/>
        <v>5504.299999999999</v>
      </c>
      <c r="AW38" s="105">
        <f t="shared" si="28"/>
        <v>13405.2</v>
      </c>
    </row>
    <row r="39" spans="1:49" ht="33" customHeight="1">
      <c r="A39" s="100">
        <v>30</v>
      </c>
      <c r="B39" s="16" t="s">
        <v>95</v>
      </c>
      <c r="C39" s="2">
        <v>36780.1</v>
      </c>
      <c r="D39" s="3">
        <v>22050.2</v>
      </c>
      <c r="E39" s="3">
        <v>31600.5</v>
      </c>
      <c r="F39" s="15">
        <f t="shared" si="0"/>
        <v>143.31162529138058</v>
      </c>
      <c r="G39" s="3">
        <v>22280.1</v>
      </c>
      <c r="H39" s="3">
        <v>27229.9</v>
      </c>
      <c r="I39" s="15">
        <f t="shared" si="1"/>
        <v>122.21623780862745</v>
      </c>
      <c r="J39" s="3">
        <v>21821.6</v>
      </c>
      <c r="K39" s="3">
        <v>0</v>
      </c>
      <c r="L39" s="15">
        <f t="shared" si="17"/>
        <v>0</v>
      </c>
      <c r="M39" s="3">
        <f t="shared" si="9"/>
        <v>66151.9</v>
      </c>
      <c r="N39" s="3">
        <f t="shared" si="10"/>
        <v>58830.4</v>
      </c>
      <c r="O39" s="15">
        <f t="shared" si="8"/>
        <v>88.93229068250498</v>
      </c>
      <c r="P39" s="3">
        <v>-2186.1</v>
      </c>
      <c r="Q39" s="3">
        <v>72</v>
      </c>
      <c r="R39" s="15">
        <f t="shared" si="18"/>
        <v>-3.2935364347468097</v>
      </c>
      <c r="S39" s="3">
        <v>-3654.2</v>
      </c>
      <c r="T39" s="3">
        <v>0</v>
      </c>
      <c r="U39" s="15">
        <f t="shared" si="19"/>
        <v>0</v>
      </c>
      <c r="V39" s="3">
        <v>-61.9</v>
      </c>
      <c r="W39" s="3">
        <v>0</v>
      </c>
      <c r="X39" s="15">
        <f t="shared" si="20"/>
        <v>0</v>
      </c>
      <c r="Y39" s="3">
        <f t="shared" si="21"/>
        <v>-5902.199999999999</v>
      </c>
      <c r="Z39" s="3">
        <f t="shared" si="21"/>
        <v>72</v>
      </c>
      <c r="AA39" s="15">
        <f t="shared" si="22"/>
        <v>-1.2198841110094543</v>
      </c>
      <c r="AB39" s="3">
        <v>4.7</v>
      </c>
      <c r="AC39" s="3">
        <v>0</v>
      </c>
      <c r="AD39" s="15">
        <f t="shared" si="23"/>
        <v>0</v>
      </c>
      <c r="AE39" s="3">
        <v>-14.9</v>
      </c>
      <c r="AF39" s="3">
        <v>23877.7</v>
      </c>
      <c r="AG39" s="15">
        <f t="shared" si="24"/>
        <v>-160253.0201342282</v>
      </c>
      <c r="AH39" s="3">
        <v>1.9</v>
      </c>
      <c r="AI39" s="3">
        <v>5015.2</v>
      </c>
      <c r="AJ39" s="3">
        <f t="shared" si="12"/>
        <v>-8.299999999999999</v>
      </c>
      <c r="AK39" s="3">
        <f t="shared" si="13"/>
        <v>28892.9</v>
      </c>
      <c r="AL39" s="15">
        <f t="shared" si="25"/>
        <v>-348107.2289156627</v>
      </c>
      <c r="AM39" s="3">
        <v>6501.2</v>
      </c>
      <c r="AN39" s="3">
        <v>0</v>
      </c>
      <c r="AO39" s="3">
        <v>19221.8</v>
      </c>
      <c r="AP39" s="3">
        <v>0</v>
      </c>
      <c r="AQ39" s="3">
        <v>19554.6</v>
      </c>
      <c r="AR39" s="3">
        <v>18912.2</v>
      </c>
      <c r="AS39" s="3">
        <f t="shared" si="14"/>
        <v>105519</v>
      </c>
      <c r="AT39" s="3">
        <f t="shared" si="15"/>
        <v>106707.5</v>
      </c>
      <c r="AU39" s="15">
        <f t="shared" si="26"/>
        <v>101.1263374368597</v>
      </c>
      <c r="AV39" s="3">
        <f t="shared" si="27"/>
        <v>-1188.5</v>
      </c>
      <c r="AW39" s="105">
        <f t="shared" si="28"/>
        <v>35591.600000000006</v>
      </c>
    </row>
    <row r="40" spans="1:49" ht="24" customHeight="1">
      <c r="A40" s="100">
        <v>31</v>
      </c>
      <c r="B40" s="16" t="s">
        <v>31</v>
      </c>
      <c r="C40" s="2">
        <v>3.9</v>
      </c>
      <c r="D40" s="3">
        <v>10.5</v>
      </c>
      <c r="E40" s="3">
        <v>2</v>
      </c>
      <c r="F40" s="15">
        <f t="shared" si="0"/>
        <v>19.047619047619047</v>
      </c>
      <c r="G40" s="3">
        <v>6.7</v>
      </c>
      <c r="H40" s="3">
        <v>0</v>
      </c>
      <c r="I40" s="15">
        <f t="shared" si="1"/>
        <v>0</v>
      </c>
      <c r="J40" s="3">
        <v>6.7</v>
      </c>
      <c r="K40" s="3">
        <v>0</v>
      </c>
      <c r="L40" s="15">
        <f t="shared" si="17"/>
        <v>0</v>
      </c>
      <c r="M40" s="3">
        <f t="shared" si="9"/>
        <v>23.9</v>
      </c>
      <c r="N40" s="3">
        <f t="shared" si="10"/>
        <v>2</v>
      </c>
      <c r="O40" s="15">
        <f t="shared" si="8"/>
        <v>8.368200836820085</v>
      </c>
      <c r="P40" s="3">
        <v>-3.6</v>
      </c>
      <c r="Q40" s="3">
        <v>1.8</v>
      </c>
      <c r="R40" s="15">
        <f t="shared" si="18"/>
        <v>-50</v>
      </c>
      <c r="S40" s="3">
        <v>-5.2</v>
      </c>
      <c r="T40" s="3">
        <v>20.5</v>
      </c>
      <c r="U40" s="15">
        <f t="shared" si="19"/>
        <v>-394.2307692307692</v>
      </c>
      <c r="V40" s="3">
        <v>0</v>
      </c>
      <c r="W40" s="3">
        <v>0</v>
      </c>
      <c r="X40" s="30" t="e">
        <f t="shared" si="20"/>
        <v>#DIV/0!</v>
      </c>
      <c r="Y40" s="3">
        <f t="shared" si="21"/>
        <v>-8.8</v>
      </c>
      <c r="Z40" s="3">
        <f t="shared" si="21"/>
        <v>22.3</v>
      </c>
      <c r="AA40" s="15">
        <f t="shared" si="22"/>
        <v>-253.4090909090909</v>
      </c>
      <c r="AB40" s="3">
        <v>0</v>
      </c>
      <c r="AC40" s="3">
        <v>0</v>
      </c>
      <c r="AD40" s="35">
        <v>0</v>
      </c>
      <c r="AE40" s="3">
        <v>0</v>
      </c>
      <c r="AF40" s="3">
        <v>0</v>
      </c>
      <c r="AG40" s="30" t="e">
        <f t="shared" si="24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15" t="e">
        <f t="shared" si="25"/>
        <v>#DIV/0!</v>
      </c>
      <c r="AM40" s="3">
        <v>0</v>
      </c>
      <c r="AN40" s="3">
        <v>-1.2</v>
      </c>
      <c r="AO40" s="3">
        <v>0</v>
      </c>
      <c r="AP40" s="3">
        <v>0</v>
      </c>
      <c r="AQ40" s="3">
        <v>0</v>
      </c>
      <c r="AR40" s="3">
        <v>0</v>
      </c>
      <c r="AS40" s="3">
        <f t="shared" si="14"/>
        <v>15.099999999999998</v>
      </c>
      <c r="AT40" s="3">
        <f t="shared" si="15"/>
        <v>23.1</v>
      </c>
      <c r="AU40" s="15">
        <f t="shared" si="26"/>
        <v>152.98013245033115</v>
      </c>
      <c r="AV40" s="3">
        <f t="shared" si="27"/>
        <v>-8.000000000000004</v>
      </c>
      <c r="AW40" s="105">
        <f t="shared" si="28"/>
        <v>-4.100000000000005</v>
      </c>
    </row>
    <row r="41" spans="1:49" ht="37.5">
      <c r="A41" s="10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5">
        <f t="shared" si="0"/>
        <v>175.6447445397816</v>
      </c>
      <c r="G41" s="3">
        <v>8304.7</v>
      </c>
      <c r="H41" s="3">
        <v>10161.3</v>
      </c>
      <c r="I41" s="15">
        <f t="shared" si="1"/>
        <v>122.35601526846243</v>
      </c>
      <c r="J41" s="3">
        <v>8338.8</v>
      </c>
      <c r="K41" s="3">
        <v>0</v>
      </c>
      <c r="L41" s="15">
        <f t="shared" si="17"/>
        <v>0</v>
      </c>
      <c r="M41" s="3">
        <f t="shared" si="9"/>
        <v>24848.3</v>
      </c>
      <c r="N41" s="3">
        <f t="shared" si="10"/>
        <v>24572.6</v>
      </c>
      <c r="O41" s="15">
        <f t="shared" si="8"/>
        <v>98.89046735591569</v>
      </c>
      <c r="P41" s="3">
        <v>71.5</v>
      </c>
      <c r="Q41" s="3">
        <v>0</v>
      </c>
      <c r="R41" s="15">
        <f t="shared" si="18"/>
        <v>0</v>
      </c>
      <c r="S41" s="3">
        <v>-2385</v>
      </c>
      <c r="T41" s="3">
        <v>0</v>
      </c>
      <c r="U41" s="15">
        <f t="shared" si="19"/>
        <v>0</v>
      </c>
      <c r="V41" s="3">
        <v>125.7</v>
      </c>
      <c r="W41" s="3">
        <v>0</v>
      </c>
      <c r="X41" s="15">
        <f t="shared" si="20"/>
        <v>0</v>
      </c>
      <c r="Y41" s="3">
        <f t="shared" si="21"/>
        <v>-2187.8</v>
      </c>
      <c r="Z41" s="3">
        <f t="shared" si="21"/>
        <v>0</v>
      </c>
      <c r="AA41" s="15">
        <f t="shared" si="22"/>
        <v>0</v>
      </c>
      <c r="AB41" s="3">
        <v>152</v>
      </c>
      <c r="AC41" s="3">
        <v>0</v>
      </c>
      <c r="AD41" s="15">
        <f t="shared" si="23"/>
        <v>0</v>
      </c>
      <c r="AE41" s="3">
        <v>0.7</v>
      </c>
      <c r="AF41" s="3">
        <v>5000</v>
      </c>
      <c r="AG41" s="30">
        <f t="shared" si="24"/>
        <v>714285.7142857143</v>
      </c>
      <c r="AH41" s="3">
        <v>1.6</v>
      </c>
      <c r="AI41" s="3">
        <v>3855.3</v>
      </c>
      <c r="AJ41" s="3">
        <f t="shared" si="12"/>
        <v>154.29999999999998</v>
      </c>
      <c r="AK41" s="3">
        <f t="shared" si="13"/>
        <v>8855.3</v>
      </c>
      <c r="AL41" s="15">
        <f t="shared" si="25"/>
        <v>5739.01490602722</v>
      </c>
      <c r="AM41" s="3">
        <v>2009.6</v>
      </c>
      <c r="AN41" s="3">
        <v>0</v>
      </c>
      <c r="AO41" s="3">
        <v>5745.9</v>
      </c>
      <c r="AP41" s="3">
        <v>0</v>
      </c>
      <c r="AQ41" s="3">
        <v>6252.1</v>
      </c>
      <c r="AR41" s="3">
        <v>6106.1</v>
      </c>
      <c r="AS41" s="3">
        <f t="shared" si="14"/>
        <v>36822.399999999994</v>
      </c>
      <c r="AT41" s="3">
        <f t="shared" si="15"/>
        <v>39533.99999999999</v>
      </c>
      <c r="AU41" s="15">
        <f t="shared" si="26"/>
        <v>107.36399582862606</v>
      </c>
      <c r="AV41" s="3">
        <f t="shared" si="27"/>
        <v>-2711.5999999999985</v>
      </c>
      <c r="AW41" s="105">
        <f t="shared" si="28"/>
        <v>13656.200000000004</v>
      </c>
    </row>
    <row r="42" spans="1:49" ht="24" customHeight="1">
      <c r="A42" s="100">
        <v>33</v>
      </c>
      <c r="B42" s="16" t="s">
        <v>33</v>
      </c>
      <c r="C42" s="2">
        <v>12040.3</v>
      </c>
      <c r="D42" s="3">
        <v>6300.9</v>
      </c>
      <c r="E42" s="3">
        <v>9974.1</v>
      </c>
      <c r="F42" s="15">
        <f t="shared" si="0"/>
        <v>158.29643384278438</v>
      </c>
      <c r="G42" s="3">
        <v>6312.2</v>
      </c>
      <c r="H42" s="3">
        <v>6301</v>
      </c>
      <c r="I42" s="15">
        <f t="shared" si="1"/>
        <v>99.8225658249105</v>
      </c>
      <c r="J42" s="3">
        <v>6284.3</v>
      </c>
      <c r="K42" s="3">
        <v>0</v>
      </c>
      <c r="L42" s="15">
        <f t="shared" si="17"/>
        <v>0</v>
      </c>
      <c r="M42" s="3">
        <f t="shared" si="9"/>
        <v>18897.399999999998</v>
      </c>
      <c r="N42" s="3">
        <f t="shared" si="10"/>
        <v>16275.1</v>
      </c>
      <c r="O42" s="15">
        <f t="shared" si="8"/>
        <v>86.1234878872226</v>
      </c>
      <c r="P42" s="3">
        <v>93.8</v>
      </c>
      <c r="Q42" s="3">
        <v>0</v>
      </c>
      <c r="R42" s="15">
        <f t="shared" si="18"/>
        <v>0</v>
      </c>
      <c r="S42" s="3">
        <v>-2962.1</v>
      </c>
      <c r="T42" s="3">
        <v>2888.8</v>
      </c>
      <c r="U42" s="15">
        <f t="shared" si="19"/>
        <v>-97.52540427399481</v>
      </c>
      <c r="V42" s="3">
        <v>4.5</v>
      </c>
      <c r="W42" s="3">
        <v>0</v>
      </c>
      <c r="X42" s="15">
        <f t="shared" si="20"/>
        <v>0</v>
      </c>
      <c r="Y42" s="3">
        <f t="shared" si="21"/>
        <v>-2863.7999999999997</v>
      </c>
      <c r="Z42" s="3">
        <f t="shared" si="21"/>
        <v>2888.8</v>
      </c>
      <c r="AA42" s="15">
        <f t="shared" si="22"/>
        <v>-100.87296598924507</v>
      </c>
      <c r="AB42" s="3">
        <v>0</v>
      </c>
      <c r="AC42" s="3">
        <v>0</v>
      </c>
      <c r="AD42" s="35">
        <v>0</v>
      </c>
      <c r="AE42" s="3">
        <v>-18.2</v>
      </c>
      <c r="AF42" s="3">
        <v>6440.4</v>
      </c>
      <c r="AG42" s="30">
        <f t="shared" si="24"/>
        <v>-35386.81318681318</v>
      </c>
      <c r="AH42" s="3">
        <v>0</v>
      </c>
      <c r="AI42" s="3">
        <v>1000</v>
      </c>
      <c r="AJ42" s="3">
        <f t="shared" si="12"/>
        <v>-18.2</v>
      </c>
      <c r="AK42" s="3">
        <f t="shared" si="13"/>
        <v>7440.4</v>
      </c>
      <c r="AL42" s="15">
        <f t="shared" si="25"/>
        <v>-40881.31868131868</v>
      </c>
      <c r="AM42" s="3">
        <v>1547.5</v>
      </c>
      <c r="AN42" s="3">
        <v>0</v>
      </c>
      <c r="AO42" s="3">
        <v>3517.9</v>
      </c>
      <c r="AP42" s="3">
        <v>0</v>
      </c>
      <c r="AQ42" s="3">
        <v>4989.9</v>
      </c>
      <c r="AR42" s="3">
        <v>5958.7</v>
      </c>
      <c r="AS42" s="3">
        <f t="shared" si="14"/>
        <v>26070.699999999997</v>
      </c>
      <c r="AT42" s="3">
        <f t="shared" si="15"/>
        <v>32563.000000000004</v>
      </c>
      <c r="AU42" s="15">
        <f t="shared" si="26"/>
        <v>124.90266851292833</v>
      </c>
      <c r="AV42" s="3">
        <f t="shared" si="27"/>
        <v>-6492.300000000007</v>
      </c>
      <c r="AW42" s="105">
        <f t="shared" si="28"/>
        <v>5547.999999999996</v>
      </c>
    </row>
    <row r="43" spans="1:49" s="8" customFormat="1" ht="24.75" customHeight="1">
      <c r="A43" s="17">
        <v>34</v>
      </c>
      <c r="B43" s="17" t="s">
        <v>5</v>
      </c>
      <c r="C43" s="50">
        <f>C44</f>
        <v>435149</v>
      </c>
      <c r="D43" s="50">
        <f>D44</f>
        <v>237928</v>
      </c>
      <c r="E43" s="50">
        <f>E44</f>
        <v>329029</v>
      </c>
      <c r="F43" s="15">
        <f t="shared" si="0"/>
        <v>138.2893144144447</v>
      </c>
      <c r="G43" s="50">
        <f>G44</f>
        <v>258061</v>
      </c>
      <c r="H43" s="50">
        <f>H44</f>
        <v>97866</v>
      </c>
      <c r="I43" s="15">
        <f t="shared" si="1"/>
        <v>37.92359170893703</v>
      </c>
      <c r="J43" s="50">
        <f>J44</f>
        <v>263391</v>
      </c>
      <c r="K43" s="50">
        <f>K44</f>
        <v>229062</v>
      </c>
      <c r="L43" s="50">
        <f>L44</f>
        <v>86.96652505210885</v>
      </c>
      <c r="M43" s="50">
        <f>M44</f>
        <v>759380</v>
      </c>
      <c r="N43" s="50">
        <f>N44</f>
        <v>655957</v>
      </c>
      <c r="O43" s="15">
        <f t="shared" si="8"/>
        <v>86.3805999631278</v>
      </c>
      <c r="P43" s="50">
        <f>P44</f>
        <v>26429</v>
      </c>
      <c r="Q43" s="50">
        <f>Q44</f>
        <v>0</v>
      </c>
      <c r="R43" s="15">
        <f t="shared" si="18"/>
        <v>0</v>
      </c>
      <c r="S43" s="50">
        <f>S44</f>
        <v>-200671</v>
      </c>
      <c r="T43" s="50">
        <f>T44</f>
        <v>0</v>
      </c>
      <c r="U43" s="15">
        <f t="shared" si="19"/>
        <v>0</v>
      </c>
      <c r="V43" s="50">
        <f>V44</f>
        <v>-43508</v>
      </c>
      <c r="W43" s="50">
        <f>W44</f>
        <v>0</v>
      </c>
      <c r="X43" s="15">
        <f t="shared" si="20"/>
        <v>0</v>
      </c>
      <c r="Y43" s="50">
        <f>Y44</f>
        <v>-217750</v>
      </c>
      <c r="Z43" s="50">
        <f>Z44</f>
        <v>0</v>
      </c>
      <c r="AA43" s="15">
        <f t="shared" si="22"/>
        <v>0</v>
      </c>
      <c r="AB43" s="50">
        <f>AB44</f>
        <v>14412</v>
      </c>
      <c r="AC43" s="50">
        <f>AC44</f>
        <v>0</v>
      </c>
      <c r="AD43" s="15">
        <f t="shared" si="23"/>
        <v>0</v>
      </c>
      <c r="AE43" s="50">
        <f>AE44</f>
        <v>20278</v>
      </c>
      <c r="AF43" s="50">
        <f>AF44</f>
        <v>310000</v>
      </c>
      <c r="AG43" s="15">
        <f>AF43/AE43*100</f>
        <v>1528.7503698589605</v>
      </c>
      <c r="AH43" s="50">
        <f>AH44</f>
        <v>23082</v>
      </c>
      <c r="AI43" s="50">
        <f>AI44</f>
        <v>35502</v>
      </c>
      <c r="AJ43" s="50">
        <f>AJ44</f>
        <v>57772</v>
      </c>
      <c r="AK43" s="50">
        <f>AK44</f>
        <v>345502</v>
      </c>
      <c r="AL43" s="15">
        <f t="shared" si="25"/>
        <v>598.0440351727481</v>
      </c>
      <c r="AM43" s="50">
        <f aca="true" t="shared" si="29" ref="AM43:AT43">AM44</f>
        <v>65800</v>
      </c>
      <c r="AN43" s="50">
        <f t="shared" si="29"/>
        <v>0</v>
      </c>
      <c r="AO43" s="50">
        <f t="shared" si="29"/>
        <v>164427</v>
      </c>
      <c r="AP43" s="50">
        <f t="shared" si="29"/>
        <v>0</v>
      </c>
      <c r="AQ43" s="50">
        <f t="shared" si="29"/>
        <v>184654</v>
      </c>
      <c r="AR43" s="50">
        <f t="shared" si="29"/>
        <v>136729</v>
      </c>
      <c r="AS43" s="111">
        <f t="shared" si="29"/>
        <v>1014283</v>
      </c>
      <c r="AT43" s="111">
        <f t="shared" si="29"/>
        <v>1138188</v>
      </c>
      <c r="AU43" s="15">
        <f t="shared" si="26"/>
        <v>112.21601860624698</v>
      </c>
      <c r="AV43" s="51">
        <f>AV44+AV45</f>
        <v>-123905</v>
      </c>
      <c r="AW43" s="51">
        <f>AW44+AW45</f>
        <v>311244</v>
      </c>
    </row>
    <row r="44" spans="1:49" s="8" customFormat="1" ht="24.75" customHeight="1">
      <c r="A44" s="17"/>
      <c r="B44" s="1" t="s">
        <v>34</v>
      </c>
      <c r="C44" s="2">
        <v>435149</v>
      </c>
      <c r="D44" s="3">
        <v>237928</v>
      </c>
      <c r="E44" s="3">
        <v>329029</v>
      </c>
      <c r="F44" s="15">
        <f t="shared" si="0"/>
        <v>138.2893144144447</v>
      </c>
      <c r="G44" s="3">
        <v>258061</v>
      </c>
      <c r="H44" s="3">
        <v>97866</v>
      </c>
      <c r="I44" s="15">
        <f t="shared" si="1"/>
        <v>37.92359170893703</v>
      </c>
      <c r="J44" s="3">
        <v>263391</v>
      </c>
      <c r="K44" s="3">
        <v>229062</v>
      </c>
      <c r="L44" s="15">
        <f t="shared" si="17"/>
        <v>86.96652505210885</v>
      </c>
      <c r="M44" s="3">
        <f>D44+G44+J44</f>
        <v>759380</v>
      </c>
      <c r="N44" s="3">
        <f>E44+H44+K44</f>
        <v>655957</v>
      </c>
      <c r="O44" s="15">
        <f t="shared" si="8"/>
        <v>86.3805999631278</v>
      </c>
      <c r="P44" s="3">
        <v>26429</v>
      </c>
      <c r="Q44" s="3">
        <v>0</v>
      </c>
      <c r="R44" s="15">
        <f t="shared" si="18"/>
        <v>0</v>
      </c>
      <c r="S44" s="3">
        <v>-200671</v>
      </c>
      <c r="T44" s="3">
        <v>0</v>
      </c>
      <c r="U44" s="15">
        <f t="shared" si="19"/>
        <v>0</v>
      </c>
      <c r="V44" s="3">
        <v>-43508</v>
      </c>
      <c r="W44" s="3">
        <v>0</v>
      </c>
      <c r="X44" s="15">
        <f t="shared" si="20"/>
        <v>0</v>
      </c>
      <c r="Y44" s="3">
        <f>P44+S44+V44</f>
        <v>-217750</v>
      </c>
      <c r="Z44" s="3">
        <f>Q44+T44+W44</f>
        <v>0</v>
      </c>
      <c r="AA44" s="15">
        <f t="shared" si="22"/>
        <v>0</v>
      </c>
      <c r="AB44" s="3">
        <v>14412</v>
      </c>
      <c r="AC44" s="3">
        <v>0</v>
      </c>
      <c r="AD44" s="15">
        <f t="shared" si="23"/>
        <v>0</v>
      </c>
      <c r="AE44" s="3">
        <v>20278</v>
      </c>
      <c r="AF44" s="3">
        <v>310000</v>
      </c>
      <c r="AG44" s="15">
        <f>AF44/AE44*100</f>
        <v>1528.7503698589605</v>
      </c>
      <c r="AH44" s="3">
        <v>23082</v>
      </c>
      <c r="AI44" s="3">
        <v>35502</v>
      </c>
      <c r="AJ44" s="3">
        <f>AB44+AE44+AH44</f>
        <v>57772</v>
      </c>
      <c r="AK44" s="3">
        <f>AC44+AF44+AI44</f>
        <v>345502</v>
      </c>
      <c r="AL44" s="15">
        <f t="shared" si="25"/>
        <v>598.0440351727481</v>
      </c>
      <c r="AM44" s="3">
        <v>65800</v>
      </c>
      <c r="AN44" s="3">
        <v>0</v>
      </c>
      <c r="AO44" s="3">
        <v>164427</v>
      </c>
      <c r="AP44" s="3">
        <v>0</v>
      </c>
      <c r="AQ44" s="3">
        <v>184654</v>
      </c>
      <c r="AR44" s="3">
        <v>136729</v>
      </c>
      <c r="AS44" s="3">
        <f>M44+Y44+AJ44+AM44+AO44+AQ44</f>
        <v>1014283</v>
      </c>
      <c r="AT44" s="3">
        <f>N44+Z44+AK44+AN44+AP44+AR44</f>
        <v>1138188</v>
      </c>
      <c r="AU44" s="15">
        <f t="shared" si="26"/>
        <v>112.21601860624698</v>
      </c>
      <c r="AV44" s="3">
        <f>AS44-AT44</f>
        <v>-123905</v>
      </c>
      <c r="AW44" s="105">
        <f>C44+AS44-AT44</f>
        <v>311244</v>
      </c>
    </row>
    <row r="45" spans="1:49" s="8" customFormat="1" ht="24.75" customHeight="1">
      <c r="A45" s="17"/>
      <c r="B45" s="1" t="s">
        <v>43</v>
      </c>
      <c r="C45" s="2"/>
      <c r="D45" s="23"/>
      <c r="E45" s="23"/>
      <c r="F45" s="38" t="e">
        <f t="shared" si="0"/>
        <v>#DIV/0!</v>
      </c>
      <c r="G45" s="23"/>
      <c r="H45" s="23"/>
      <c r="I45" s="38"/>
      <c r="J45" s="23"/>
      <c r="K45" s="23"/>
      <c r="L45" s="38"/>
      <c r="M45" s="38"/>
      <c r="N45" s="38"/>
      <c r="O45" s="15"/>
      <c r="P45" s="23"/>
      <c r="Q45" s="23"/>
      <c r="R45" s="38"/>
      <c r="S45" s="23"/>
      <c r="T45" s="23"/>
      <c r="U45" s="38"/>
      <c r="V45" s="23"/>
      <c r="W45" s="23"/>
      <c r="X45" s="38"/>
      <c r="Y45" s="38"/>
      <c r="Z45" s="38"/>
      <c r="AA45" s="15"/>
      <c r="AB45" s="23"/>
      <c r="AC45" s="23"/>
      <c r="AD45" s="38"/>
      <c r="AE45" s="23"/>
      <c r="AF45" s="23"/>
      <c r="AG45" s="38" t="e">
        <f>AF45/AE45*100</f>
        <v>#DIV/0!</v>
      </c>
      <c r="AH45" s="23"/>
      <c r="AI45" s="23"/>
      <c r="AJ45" s="38"/>
      <c r="AK45" s="38"/>
      <c r="AL45" s="15"/>
      <c r="AM45" s="23"/>
      <c r="AN45" s="23"/>
      <c r="AO45" s="23"/>
      <c r="AP45" s="23"/>
      <c r="AQ45" s="23"/>
      <c r="AR45" s="23"/>
      <c r="AS45" s="23"/>
      <c r="AT45" s="23"/>
      <c r="AU45" s="15"/>
      <c r="AV45" s="23"/>
      <c r="AW45" s="105"/>
    </row>
    <row r="46" spans="1:51" s="8" customFormat="1" ht="24.75" customHeight="1">
      <c r="A46" s="17"/>
      <c r="B46" s="17" t="s">
        <v>7</v>
      </c>
      <c r="C46" s="50">
        <f>C7+C43</f>
        <v>561946.3</v>
      </c>
      <c r="D46" s="4">
        <f>D7+D43</f>
        <v>314885.5</v>
      </c>
      <c r="E46" s="4">
        <f>E7+E43</f>
        <v>433290.10000000003</v>
      </c>
      <c r="F46" s="15">
        <f t="shared" si="0"/>
        <v>137.60243008966754</v>
      </c>
      <c r="G46" s="4">
        <f>G7+G43</f>
        <v>337133.1</v>
      </c>
      <c r="H46" s="4">
        <f>H7+H43</f>
        <v>152689.6</v>
      </c>
      <c r="I46" s="15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5">
        <f t="shared" si="8"/>
        <v>84.25910614450875</v>
      </c>
      <c r="P46" s="4">
        <f>P7+P43</f>
        <v>26327.2</v>
      </c>
      <c r="Q46" s="4">
        <f>Q7+Q43</f>
        <v>20930.8</v>
      </c>
      <c r="R46" s="15">
        <f>Q46/P46*100</f>
        <v>79.50256768665106</v>
      </c>
      <c r="S46" s="4">
        <f>S7+S43</f>
        <v>-228112.2</v>
      </c>
      <c r="T46" s="4">
        <f>T7+T43</f>
        <v>24234.999999999996</v>
      </c>
      <c r="U46" s="15">
        <f>T46/S46*100</f>
        <v>-10.62415776096149</v>
      </c>
      <c r="V46" s="4">
        <f>V7+V43</f>
        <v>-43194.8</v>
      </c>
      <c r="W46" s="4">
        <f>W7+W43</f>
        <v>8648.300000000001</v>
      </c>
      <c r="X46" s="15">
        <f>W46/V46*100</f>
        <v>-20.021622973135656</v>
      </c>
      <c r="Y46" s="4">
        <f>Y7+Y43</f>
        <v>-244979.8</v>
      </c>
      <c r="Z46" s="4">
        <f>Z7+Z43</f>
        <v>53814.10000000001</v>
      </c>
      <c r="AA46" s="15">
        <f>Z46/Y46*100</f>
        <v>-21.96674991162537</v>
      </c>
      <c r="AB46" s="4">
        <f>AB7+AB43</f>
        <v>14794.2</v>
      </c>
      <c r="AC46" s="4">
        <f>AC7+AC43</f>
        <v>540</v>
      </c>
      <c r="AD46" s="15">
        <f>AC46/AB46*100</f>
        <v>3.6500790850468423</v>
      </c>
      <c r="AE46" s="4">
        <f>AE7+AE43</f>
        <v>20246.9</v>
      </c>
      <c r="AF46" s="4">
        <f>AF7+AF43</f>
        <v>369767.7</v>
      </c>
      <c r="AG46" s="15">
        <f>AF46/AE46*100</f>
        <v>1826.2929139769544</v>
      </c>
      <c r="AH46" s="4">
        <f>AH7+AH43</f>
        <v>23086.3</v>
      </c>
      <c r="AI46" s="4">
        <f>AI7+AI43</f>
        <v>50504.8</v>
      </c>
      <c r="AJ46" s="4">
        <f>AJ7+AJ43</f>
        <v>58127.4</v>
      </c>
      <c r="AK46" s="4">
        <f>AK7+AK43</f>
        <v>420812.5</v>
      </c>
      <c r="AL46" s="15">
        <f>AK46/AJ46*100</f>
        <v>723.9486025523247</v>
      </c>
      <c r="AM46" s="4">
        <f aca="true" t="shared" si="30" ref="AM46:AT46">AM7+AM43</f>
        <v>86594.2</v>
      </c>
      <c r="AN46" s="4">
        <f t="shared" si="30"/>
        <v>-1.2</v>
      </c>
      <c r="AO46" s="4">
        <f t="shared" si="30"/>
        <v>223961.39</v>
      </c>
      <c r="AP46" s="4">
        <f t="shared" si="30"/>
        <v>803.4</v>
      </c>
      <c r="AQ46" s="4">
        <f>AQ7+AQ43</f>
        <v>251756.8</v>
      </c>
      <c r="AR46" s="4">
        <f>AR7+AR43</f>
        <v>204398.2</v>
      </c>
      <c r="AS46" s="4">
        <f t="shared" si="30"/>
        <v>1368421.39</v>
      </c>
      <c r="AT46" s="4">
        <f t="shared" si="30"/>
        <v>1516487.4</v>
      </c>
      <c r="AU46" s="15">
        <f>AT46/AS46*100</f>
        <v>110.82020575548003</v>
      </c>
      <c r="AV46" s="44">
        <f>AV7+AV43</f>
        <v>-148066.01</v>
      </c>
      <c r="AW46" s="44">
        <f>AW7+AW43</f>
        <v>413880.29000000004</v>
      </c>
      <c r="AX46" s="22">
        <f>AS46-AT46</f>
        <v>-148066.01</v>
      </c>
      <c r="AY46" s="19">
        <f>C46+AS46-AT46</f>
        <v>413880.29000000004</v>
      </c>
    </row>
    <row r="47" spans="1:49" s="8" customFormat="1" ht="24.75" customHeight="1" hidden="1">
      <c r="A47" s="82"/>
      <c r="B47" s="82"/>
      <c r="C47" s="8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5" t="e">
        <f t="shared" si="8"/>
        <v>#DIV/0!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5" t="e">
        <f>Z47/Y47*100</f>
        <v>#DIV/0!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5" t="e">
        <f>AK47/AJ47*100</f>
        <v>#DIV/0!</v>
      </c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06"/>
    </row>
    <row r="48" spans="1:49" s="8" customFormat="1" ht="18.75" customHeight="1" hidden="1">
      <c r="A48" s="17"/>
      <c r="B48" s="8" t="s">
        <v>44</v>
      </c>
      <c r="C48" s="8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5" t="e">
        <f t="shared" si="8"/>
        <v>#DIV/0!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5" t="e">
        <f>Z48/Y48*100</f>
        <v>#DIV/0!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5" t="e">
        <f>AK48/AJ48*100</f>
        <v>#DIV/0!</v>
      </c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06"/>
    </row>
    <row r="49" spans="1:49" s="8" customFormat="1" ht="6.75" customHeight="1" hidden="1">
      <c r="A49" s="82"/>
      <c r="C49" s="8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5" t="e">
        <f t="shared" si="8"/>
        <v>#DIV/0!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5" t="e">
        <f>Z49/Y49*100</f>
        <v>#DIV/0!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5" t="e">
        <f>AK49/AJ49*100</f>
        <v>#DIV/0!</v>
      </c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06"/>
    </row>
    <row r="50" spans="1:49" s="8" customFormat="1" ht="18.75" customHeight="1" hidden="1">
      <c r="A50" s="17"/>
      <c r="B50" s="8" t="s">
        <v>45</v>
      </c>
      <c r="C50" s="8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5" t="e">
        <f t="shared" si="8"/>
        <v>#DIV/0!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 t="e">
        <f>Z50/Y50*100</f>
        <v>#DIV/0!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5" t="e">
        <f>AK50/AJ50*100</f>
        <v>#DIV/0!</v>
      </c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06"/>
    </row>
    <row r="51" spans="3:49" ht="24.75" customHeight="1">
      <c r="C51" s="68"/>
      <c r="D51" s="33"/>
      <c r="E51" s="33"/>
      <c r="F51" s="57"/>
      <c r="G51" s="33"/>
      <c r="H51" s="33"/>
      <c r="I51" s="57"/>
      <c r="J51" s="33"/>
      <c r="K51" s="33"/>
      <c r="L51" s="57"/>
      <c r="M51" s="57"/>
      <c r="N51" s="57"/>
      <c r="O51" s="15"/>
      <c r="P51" s="33"/>
      <c r="Q51" s="33"/>
      <c r="R51" s="57"/>
      <c r="S51" s="33"/>
      <c r="T51" s="33"/>
      <c r="U51" s="57"/>
      <c r="V51" s="57"/>
      <c r="W51" s="57"/>
      <c r="X51" s="57"/>
      <c r="Y51" s="57"/>
      <c r="Z51" s="57"/>
      <c r="AA51" s="15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15"/>
      <c r="AM51" s="57"/>
      <c r="AN51" s="57"/>
      <c r="AO51" s="57"/>
      <c r="AP51" s="57"/>
      <c r="AQ51" s="57"/>
      <c r="AR51" s="57"/>
      <c r="AS51" s="33"/>
      <c r="AT51" s="33"/>
      <c r="AU51" s="57"/>
      <c r="AV51" s="33"/>
      <c r="AW51" s="107"/>
    </row>
    <row r="52" spans="1:54" ht="73.5" customHeight="1" hidden="1">
      <c r="A52" s="131" t="s">
        <v>99</v>
      </c>
      <c r="B52" s="131"/>
      <c r="C52" s="131"/>
      <c r="D52" s="58"/>
      <c r="E52" s="58"/>
      <c r="F52" s="57"/>
      <c r="G52" s="33"/>
      <c r="H52" s="33"/>
      <c r="I52" s="57"/>
      <c r="J52" s="33"/>
      <c r="K52" s="33"/>
      <c r="L52" s="57"/>
      <c r="M52" s="57"/>
      <c r="N52" s="57"/>
      <c r="O52" s="57"/>
      <c r="P52" s="33"/>
      <c r="Q52" s="33"/>
      <c r="R52" s="57"/>
      <c r="S52" s="33"/>
      <c r="T52" s="33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33"/>
      <c r="AT52" s="33"/>
      <c r="AU52" s="57"/>
      <c r="AV52" s="33"/>
      <c r="AW52" s="59" t="s">
        <v>97</v>
      </c>
      <c r="AX52" s="33"/>
      <c r="AY52" s="33"/>
      <c r="AZ52" s="33"/>
      <c r="BA52" s="57"/>
      <c r="BB52" s="59" t="s">
        <v>97</v>
      </c>
    </row>
    <row r="53" spans="1:49" s="66" customFormat="1" ht="42.75" customHeight="1">
      <c r="A53" s="61"/>
      <c r="B53" s="129" t="s">
        <v>101</v>
      </c>
      <c r="C53" s="129"/>
      <c r="D53" s="62"/>
      <c r="E53" s="62"/>
      <c r="F53" s="63"/>
      <c r="G53" s="64"/>
      <c r="H53" s="64"/>
      <c r="I53" s="63"/>
      <c r="J53" s="64"/>
      <c r="K53" s="64"/>
      <c r="L53" s="63"/>
      <c r="M53" s="63"/>
      <c r="N53" s="63"/>
      <c r="O53" s="63"/>
      <c r="P53" s="64"/>
      <c r="Q53" s="64"/>
      <c r="R53" s="63"/>
      <c r="S53" s="64"/>
      <c r="T53" s="64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4"/>
      <c r="AT53" s="64"/>
      <c r="AU53" s="63"/>
      <c r="AV53" s="64"/>
      <c r="AW53" s="65" t="s">
        <v>100</v>
      </c>
    </row>
    <row r="54" spans="3:49" ht="40.5" customHeight="1">
      <c r="C54" s="93"/>
      <c r="D54" s="29"/>
      <c r="E54" s="29"/>
      <c r="F54" s="67"/>
      <c r="G54" s="29"/>
      <c r="H54" s="29"/>
      <c r="I54" s="67"/>
      <c r="J54" s="29"/>
      <c r="K54" s="29"/>
      <c r="L54" s="67"/>
      <c r="M54" s="67"/>
      <c r="N54" s="67"/>
      <c r="O54" s="67"/>
      <c r="P54" s="29"/>
      <c r="Q54" s="29"/>
      <c r="R54" s="67"/>
      <c r="S54" s="29"/>
      <c r="T54" s="29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29"/>
      <c r="AT54" s="29"/>
      <c r="AU54" s="67"/>
      <c r="AV54" s="29"/>
      <c r="AW54" s="108"/>
    </row>
    <row r="55" spans="3:49" ht="40.5" customHeight="1">
      <c r="C55" s="93"/>
      <c r="D55" s="29"/>
      <c r="E55" s="29"/>
      <c r="F55" s="67"/>
      <c r="G55" s="29"/>
      <c r="H55" s="29"/>
      <c r="I55" s="67"/>
      <c r="J55" s="29"/>
      <c r="K55" s="29"/>
      <c r="L55" s="67"/>
      <c r="M55" s="67"/>
      <c r="N55" s="67"/>
      <c r="O55" s="67"/>
      <c r="P55" s="29"/>
      <c r="Q55" s="29"/>
      <c r="R55" s="67"/>
      <c r="S55" s="29"/>
      <c r="T55" s="29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15"/>
      <c r="AF55" s="15"/>
      <c r="AG55" s="15"/>
      <c r="AH55" s="18"/>
      <c r="AI55" s="18"/>
      <c r="AJ55" s="67"/>
      <c r="AK55" s="67"/>
      <c r="AL55" s="67"/>
      <c r="AM55" s="18"/>
      <c r="AN55" s="18"/>
      <c r="AO55" s="18"/>
      <c r="AP55" s="18"/>
      <c r="AQ55" s="18"/>
      <c r="AR55" s="18"/>
      <c r="AS55" s="29"/>
      <c r="AT55" s="29"/>
      <c r="AU55" s="67"/>
      <c r="AV55" s="3"/>
      <c r="AW55" s="108"/>
    </row>
    <row r="56" spans="2:49" ht="19.5" customHeight="1">
      <c r="B56" s="5" t="s">
        <v>39</v>
      </c>
      <c r="C56" s="79">
        <v>41.3</v>
      </c>
      <c r="D56" s="3">
        <v>94.8</v>
      </c>
      <c r="E56" s="3">
        <v>128.8</v>
      </c>
      <c r="F56" s="15"/>
      <c r="G56" s="3">
        <v>32.5</v>
      </c>
      <c r="H56" s="3">
        <v>0</v>
      </c>
      <c r="I56" s="15"/>
      <c r="J56" s="3">
        <v>32.5</v>
      </c>
      <c r="K56" s="3">
        <v>0</v>
      </c>
      <c r="L56" s="15"/>
      <c r="M56" s="15"/>
      <c r="N56" s="15"/>
      <c r="O56" s="15"/>
      <c r="P56" s="3">
        <v>32.5</v>
      </c>
      <c r="Q56" s="3">
        <v>0</v>
      </c>
      <c r="R56" s="15"/>
      <c r="S56" s="3">
        <v>32.5</v>
      </c>
      <c r="T56" s="3">
        <v>0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67"/>
      <c r="AF56" s="67"/>
      <c r="AG56" s="67"/>
      <c r="AH56" s="67"/>
      <c r="AI56" s="67"/>
      <c r="AJ56" s="15"/>
      <c r="AK56" s="15"/>
      <c r="AL56" s="15"/>
      <c r="AM56" s="67"/>
      <c r="AN56" s="67"/>
      <c r="AO56" s="67"/>
      <c r="AP56" s="67"/>
      <c r="AQ56" s="67"/>
      <c r="AR56" s="67"/>
      <c r="AS56" s="3"/>
      <c r="AT56" s="3"/>
      <c r="AU56" s="15"/>
      <c r="AV56" s="29"/>
      <c r="AW56" s="105">
        <f>C56+D56-E56</f>
        <v>7.299999999999983</v>
      </c>
    </row>
    <row r="57" spans="2:49" ht="18.75">
      <c r="B57" s="5" t="s">
        <v>40</v>
      </c>
      <c r="C57" s="68">
        <v>60</v>
      </c>
      <c r="D57" s="33">
        <v>196.2</v>
      </c>
      <c r="E57" s="33">
        <v>238.1</v>
      </c>
      <c r="F57" s="57"/>
      <c r="G57" s="33"/>
      <c r="H57" s="33"/>
      <c r="I57" s="57"/>
      <c r="J57" s="33"/>
      <c r="K57" s="33"/>
      <c r="L57" s="57"/>
      <c r="M57" s="57"/>
      <c r="N57" s="57"/>
      <c r="O57" s="57"/>
      <c r="P57" s="33"/>
      <c r="Q57" s="33"/>
      <c r="R57" s="57"/>
      <c r="S57" s="33"/>
      <c r="T57" s="33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67"/>
      <c r="AF57" s="67"/>
      <c r="AG57" s="67"/>
      <c r="AH57" s="67"/>
      <c r="AI57" s="67"/>
      <c r="AJ57" s="57"/>
      <c r="AK57" s="57"/>
      <c r="AL57" s="57"/>
      <c r="AM57" s="67"/>
      <c r="AN57" s="67"/>
      <c r="AO57" s="67"/>
      <c r="AP57" s="67"/>
      <c r="AQ57" s="67"/>
      <c r="AR57" s="67"/>
      <c r="AS57" s="33"/>
      <c r="AT57" s="33"/>
      <c r="AU57" s="57"/>
      <c r="AV57" s="29"/>
      <c r="AW57" s="105">
        <f>C57+D57-E57</f>
        <v>18.099999999999994</v>
      </c>
    </row>
    <row r="58" spans="3:49" ht="18.75">
      <c r="C58" s="68"/>
      <c r="D58" s="33"/>
      <c r="E58" s="33"/>
      <c r="F58" s="57"/>
      <c r="G58" s="33"/>
      <c r="H58" s="33"/>
      <c r="I58" s="57"/>
      <c r="J58" s="33"/>
      <c r="K58" s="33"/>
      <c r="L58" s="57"/>
      <c r="M58" s="57"/>
      <c r="N58" s="57"/>
      <c r="O58" s="57"/>
      <c r="P58" s="33"/>
      <c r="Q58" s="33"/>
      <c r="R58" s="57"/>
      <c r="S58" s="33"/>
      <c r="T58" s="33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67"/>
      <c r="AF58" s="67"/>
      <c r="AG58" s="67"/>
      <c r="AH58" s="67"/>
      <c r="AI58" s="67"/>
      <c r="AJ58" s="57"/>
      <c r="AK58" s="57"/>
      <c r="AL58" s="57"/>
      <c r="AM58" s="67"/>
      <c r="AN58" s="67"/>
      <c r="AO58" s="67"/>
      <c r="AP58" s="67"/>
      <c r="AQ58" s="67"/>
      <c r="AR58" s="67"/>
      <c r="AS58" s="33"/>
      <c r="AT58" s="33"/>
      <c r="AU58" s="57"/>
      <c r="AV58" s="29"/>
      <c r="AW58" s="108"/>
    </row>
    <row r="59" spans="3:49" ht="18.75">
      <c r="C59" s="68"/>
      <c r="D59" s="33"/>
      <c r="E59" s="33"/>
      <c r="F59" s="57"/>
      <c r="G59" s="33"/>
      <c r="H59" s="33"/>
      <c r="I59" s="57"/>
      <c r="J59" s="33"/>
      <c r="K59" s="33"/>
      <c r="L59" s="57"/>
      <c r="M59" s="57"/>
      <c r="N59" s="57"/>
      <c r="O59" s="57"/>
      <c r="P59" s="33"/>
      <c r="Q59" s="33"/>
      <c r="R59" s="57"/>
      <c r="S59" s="33"/>
      <c r="T59" s="33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67"/>
      <c r="AF59" s="67"/>
      <c r="AG59" s="67"/>
      <c r="AH59" s="67"/>
      <c r="AI59" s="67"/>
      <c r="AJ59" s="57"/>
      <c r="AK59" s="57"/>
      <c r="AL59" s="57"/>
      <c r="AM59" s="67"/>
      <c r="AN59" s="67"/>
      <c r="AO59" s="67"/>
      <c r="AP59" s="67"/>
      <c r="AQ59" s="67"/>
      <c r="AR59" s="67"/>
      <c r="AS59" s="33"/>
      <c r="AT59" s="33"/>
      <c r="AU59" s="57"/>
      <c r="AV59" s="29"/>
      <c r="AW59" s="108"/>
    </row>
    <row r="60" spans="3:49" ht="18.75">
      <c r="C60" s="68"/>
      <c r="D60" s="33"/>
      <c r="E60" s="33"/>
      <c r="F60" s="57"/>
      <c r="G60" s="33"/>
      <c r="H60" s="33"/>
      <c r="I60" s="57"/>
      <c r="J60" s="33"/>
      <c r="K60" s="33"/>
      <c r="L60" s="57"/>
      <c r="M60" s="57"/>
      <c r="N60" s="57"/>
      <c r="O60" s="57"/>
      <c r="P60" s="33"/>
      <c r="Q60" s="33"/>
      <c r="R60" s="57"/>
      <c r="S60" s="33"/>
      <c r="T60" s="33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67"/>
      <c r="AF60" s="67"/>
      <c r="AG60" s="67"/>
      <c r="AH60" s="67"/>
      <c r="AI60" s="67"/>
      <c r="AJ60" s="57"/>
      <c r="AK60" s="57"/>
      <c r="AL60" s="57"/>
      <c r="AM60" s="67"/>
      <c r="AN60" s="67"/>
      <c r="AO60" s="67"/>
      <c r="AP60" s="67"/>
      <c r="AQ60" s="67"/>
      <c r="AR60" s="67"/>
      <c r="AS60" s="33"/>
      <c r="AT60" s="33"/>
      <c r="AU60" s="57"/>
      <c r="AV60" s="29"/>
      <c r="AW60" s="108"/>
    </row>
    <row r="61" spans="2:49" ht="18.75">
      <c r="B61" s="5" t="s">
        <v>41</v>
      </c>
      <c r="C61" s="68">
        <f>C9+C17+C20+C26+C36+C38+C40</f>
        <v>9803.3</v>
      </c>
      <c r="D61" s="33"/>
      <c r="E61" s="33"/>
      <c r="F61" s="57"/>
      <c r="G61" s="33"/>
      <c r="H61" s="33"/>
      <c r="I61" s="57"/>
      <c r="J61" s="33"/>
      <c r="K61" s="33"/>
      <c r="L61" s="57"/>
      <c r="M61" s="57"/>
      <c r="N61" s="57"/>
      <c r="O61" s="57"/>
      <c r="P61" s="33"/>
      <c r="Q61" s="33"/>
      <c r="R61" s="57"/>
      <c r="S61" s="33"/>
      <c r="T61" s="33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67"/>
      <c r="AF61" s="67"/>
      <c r="AG61" s="67"/>
      <c r="AH61" s="67"/>
      <c r="AI61" s="67"/>
      <c r="AJ61" s="57"/>
      <c r="AK61" s="57"/>
      <c r="AL61" s="57"/>
      <c r="AM61" s="67"/>
      <c r="AN61" s="67"/>
      <c r="AO61" s="67"/>
      <c r="AP61" s="67"/>
      <c r="AQ61" s="67"/>
      <c r="AR61" s="67"/>
      <c r="AS61" s="33"/>
      <c r="AT61" s="33"/>
      <c r="AU61" s="57"/>
      <c r="AV61" s="29"/>
      <c r="AW61" s="108">
        <f>AW9+AW17+AW20+AW26+AW36+AW38+AW40</f>
        <v>15086.6</v>
      </c>
    </row>
    <row r="62" spans="2:49" ht="18.75">
      <c r="B62" s="5" t="s">
        <v>42</v>
      </c>
      <c r="C62" s="68">
        <f>C11+C13+C14+C16+C18+C19+C25</f>
        <v>1059.9</v>
      </c>
      <c r="D62" s="33"/>
      <c r="E62" s="33"/>
      <c r="F62" s="57"/>
      <c r="G62" s="33"/>
      <c r="H62" s="33"/>
      <c r="I62" s="57"/>
      <c r="J62" s="33"/>
      <c r="K62" s="33"/>
      <c r="L62" s="57"/>
      <c r="M62" s="57"/>
      <c r="N62" s="57"/>
      <c r="O62" s="57"/>
      <c r="P62" s="33"/>
      <c r="Q62" s="33"/>
      <c r="R62" s="57"/>
      <c r="S62" s="33"/>
      <c r="T62" s="33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67"/>
      <c r="AF62" s="67"/>
      <c r="AG62" s="67"/>
      <c r="AH62" s="67"/>
      <c r="AI62" s="67"/>
      <c r="AJ62" s="57"/>
      <c r="AK62" s="57"/>
      <c r="AL62" s="57"/>
      <c r="AM62" s="67"/>
      <c r="AN62" s="67"/>
      <c r="AO62" s="67"/>
      <c r="AP62" s="67"/>
      <c r="AQ62" s="67"/>
      <c r="AR62" s="67"/>
      <c r="AS62" s="33"/>
      <c r="AT62" s="33"/>
      <c r="AU62" s="57"/>
      <c r="AV62" s="29"/>
      <c r="AW62" s="108">
        <f>AW11+AW13+AW14+AW16+AW18+AW19+AW25</f>
        <v>1147.399999999999</v>
      </c>
    </row>
    <row r="63" spans="3:49" ht="18.75">
      <c r="C63" s="93"/>
      <c r="D63" s="29"/>
      <c r="E63" s="29"/>
      <c r="F63" s="67"/>
      <c r="G63" s="29"/>
      <c r="H63" s="29"/>
      <c r="I63" s="67"/>
      <c r="J63" s="29"/>
      <c r="K63" s="29"/>
      <c r="L63" s="67"/>
      <c r="M63" s="67"/>
      <c r="N63" s="67"/>
      <c r="O63" s="67"/>
      <c r="P63" s="29"/>
      <c r="Q63" s="29"/>
      <c r="R63" s="67"/>
      <c r="S63" s="29"/>
      <c r="T63" s="29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29"/>
      <c r="AT63" s="29"/>
      <c r="AU63" s="67"/>
      <c r="AV63" s="29"/>
      <c r="AW63" s="108"/>
    </row>
    <row r="64" spans="3:49" ht="18.75">
      <c r="C64" s="93"/>
      <c r="D64" s="29"/>
      <c r="E64" s="29"/>
      <c r="F64" s="67"/>
      <c r="G64" s="29"/>
      <c r="H64" s="29"/>
      <c r="I64" s="67"/>
      <c r="J64" s="29"/>
      <c r="K64" s="29"/>
      <c r="L64" s="67"/>
      <c r="M64" s="67"/>
      <c r="N64" s="67"/>
      <c r="O64" s="67"/>
      <c r="P64" s="29"/>
      <c r="Q64" s="29"/>
      <c r="R64" s="67"/>
      <c r="S64" s="29"/>
      <c r="T64" s="29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9"/>
      <c r="AT64" s="29"/>
      <c r="AU64" s="67"/>
      <c r="AV64" s="29"/>
      <c r="AW64" s="108"/>
    </row>
    <row r="65" spans="3:49" ht="18.75">
      <c r="C65" s="93"/>
      <c r="D65" s="29"/>
      <c r="E65" s="29"/>
      <c r="F65" s="67"/>
      <c r="G65" s="29"/>
      <c r="H65" s="29"/>
      <c r="I65" s="67"/>
      <c r="J65" s="29"/>
      <c r="K65" s="29"/>
      <c r="L65" s="67"/>
      <c r="M65" s="67"/>
      <c r="N65" s="67"/>
      <c r="O65" s="67"/>
      <c r="P65" s="29"/>
      <c r="Q65" s="29"/>
      <c r="R65" s="67"/>
      <c r="S65" s="29"/>
      <c r="T65" s="2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9"/>
      <c r="AT65" s="29"/>
      <c r="AU65" s="67"/>
      <c r="AV65" s="29"/>
      <c r="AW65" s="108"/>
    </row>
    <row r="66" spans="3:49" ht="18.75">
      <c r="C66" s="93"/>
      <c r="D66" s="29"/>
      <c r="E66" s="29"/>
      <c r="F66" s="67"/>
      <c r="G66" s="29"/>
      <c r="H66" s="29"/>
      <c r="I66" s="67"/>
      <c r="J66" s="29"/>
      <c r="K66" s="29"/>
      <c r="L66" s="67"/>
      <c r="M66" s="67"/>
      <c r="N66" s="67"/>
      <c r="O66" s="67"/>
      <c r="P66" s="29"/>
      <c r="Q66" s="29"/>
      <c r="R66" s="67"/>
      <c r="S66" s="29"/>
      <c r="T66" s="2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29"/>
      <c r="AT66" s="29"/>
      <c r="AU66" s="67"/>
      <c r="AV66" s="29"/>
      <c r="AW66" s="108"/>
    </row>
    <row r="67" spans="3:49" ht="18.75">
      <c r="C67" s="93"/>
      <c r="D67" s="29"/>
      <c r="E67" s="29"/>
      <c r="F67" s="67"/>
      <c r="G67" s="29"/>
      <c r="H67" s="29"/>
      <c r="I67" s="67"/>
      <c r="J67" s="29"/>
      <c r="K67" s="29"/>
      <c r="L67" s="67"/>
      <c r="M67" s="67"/>
      <c r="N67" s="67"/>
      <c r="O67" s="67"/>
      <c r="P67" s="29"/>
      <c r="Q67" s="29"/>
      <c r="R67" s="67"/>
      <c r="S67" s="29"/>
      <c r="T67" s="29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29"/>
      <c r="AT67" s="29"/>
      <c r="AU67" s="67"/>
      <c r="AV67" s="29"/>
      <c r="AW67" s="108"/>
    </row>
    <row r="68" spans="3:49" ht="18.75">
      <c r="C68" s="93"/>
      <c r="D68" s="29"/>
      <c r="E68" s="29"/>
      <c r="F68" s="67"/>
      <c r="G68" s="29"/>
      <c r="H68" s="29"/>
      <c r="I68" s="67"/>
      <c r="J68" s="29"/>
      <c r="K68" s="29"/>
      <c r="L68" s="67"/>
      <c r="M68" s="67"/>
      <c r="N68" s="67"/>
      <c r="O68" s="67"/>
      <c r="P68" s="29"/>
      <c r="Q68" s="29"/>
      <c r="R68" s="67"/>
      <c r="S68" s="29"/>
      <c r="T68" s="29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29"/>
      <c r="AT68" s="29"/>
      <c r="AU68" s="67"/>
      <c r="AV68" s="29"/>
      <c r="AW68" s="108"/>
    </row>
    <row r="69" spans="3:49" ht="18.75">
      <c r="C69" s="93"/>
      <c r="D69" s="29"/>
      <c r="E69" s="29"/>
      <c r="F69" s="67"/>
      <c r="G69" s="29"/>
      <c r="H69" s="29"/>
      <c r="I69" s="67"/>
      <c r="J69" s="29"/>
      <c r="K69" s="29"/>
      <c r="L69" s="67"/>
      <c r="M69" s="67"/>
      <c r="N69" s="67"/>
      <c r="O69" s="67"/>
      <c r="P69" s="29"/>
      <c r="Q69" s="29"/>
      <c r="R69" s="67"/>
      <c r="S69" s="29"/>
      <c r="T69" s="29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29"/>
      <c r="AT69" s="29"/>
      <c r="AU69" s="67"/>
      <c r="AV69" s="29"/>
      <c r="AW69" s="108"/>
    </row>
    <row r="70" spans="3:49" ht="18.75">
      <c r="C70" s="93"/>
      <c r="D70" s="29"/>
      <c r="E70" s="29"/>
      <c r="F70" s="67"/>
      <c r="G70" s="29"/>
      <c r="H70" s="29"/>
      <c r="I70" s="67"/>
      <c r="J70" s="29"/>
      <c r="K70" s="29"/>
      <c r="L70" s="67"/>
      <c r="M70" s="67"/>
      <c r="N70" s="67"/>
      <c r="O70" s="67"/>
      <c r="P70" s="29"/>
      <c r="Q70" s="29"/>
      <c r="R70" s="67"/>
      <c r="S70" s="29"/>
      <c r="T70" s="29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29"/>
      <c r="AT70" s="29"/>
      <c r="AU70" s="67"/>
      <c r="AV70" s="29"/>
      <c r="AW70" s="108"/>
    </row>
    <row r="71" spans="3:49" ht="18.75">
      <c r="C71" s="93"/>
      <c r="D71" s="29"/>
      <c r="E71" s="29"/>
      <c r="F71" s="67"/>
      <c r="G71" s="29"/>
      <c r="H71" s="29"/>
      <c r="I71" s="67"/>
      <c r="J71" s="29"/>
      <c r="K71" s="29"/>
      <c r="L71" s="67"/>
      <c r="M71" s="67"/>
      <c r="N71" s="67"/>
      <c r="O71" s="67"/>
      <c r="P71" s="29"/>
      <c r="Q71" s="29"/>
      <c r="R71" s="67"/>
      <c r="S71" s="29"/>
      <c r="T71" s="29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29"/>
      <c r="AT71" s="29"/>
      <c r="AU71" s="67"/>
      <c r="AV71" s="29"/>
      <c r="AW71" s="108"/>
    </row>
    <row r="72" spans="3:49" ht="18.75">
      <c r="C72" s="93"/>
      <c r="D72" s="29"/>
      <c r="E72" s="29"/>
      <c r="F72" s="67"/>
      <c r="G72" s="29"/>
      <c r="H72" s="29"/>
      <c r="I72" s="67"/>
      <c r="J72" s="29"/>
      <c r="K72" s="29"/>
      <c r="L72" s="67"/>
      <c r="M72" s="67"/>
      <c r="N72" s="67"/>
      <c r="O72" s="67"/>
      <c r="P72" s="29"/>
      <c r="Q72" s="29"/>
      <c r="R72" s="67"/>
      <c r="S72" s="29"/>
      <c r="T72" s="29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29"/>
      <c r="AT72" s="29"/>
      <c r="AU72" s="67"/>
      <c r="AV72" s="29"/>
      <c r="AW72" s="108"/>
    </row>
    <row r="73" spans="3:49" ht="18.75">
      <c r="C73" s="93"/>
      <c r="D73" s="29"/>
      <c r="E73" s="29"/>
      <c r="F73" s="67"/>
      <c r="G73" s="29"/>
      <c r="H73" s="29"/>
      <c r="I73" s="67"/>
      <c r="J73" s="29"/>
      <c r="K73" s="29"/>
      <c r="L73" s="67"/>
      <c r="M73" s="67"/>
      <c r="N73" s="67"/>
      <c r="O73" s="67"/>
      <c r="P73" s="29"/>
      <c r="Q73" s="29"/>
      <c r="R73" s="67"/>
      <c r="S73" s="29"/>
      <c r="T73" s="29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29"/>
      <c r="AT73" s="29"/>
      <c r="AU73" s="67"/>
      <c r="AV73" s="29"/>
      <c r="AW73" s="108"/>
    </row>
    <row r="74" spans="3:49" ht="18.75">
      <c r="C74" s="93"/>
      <c r="D74" s="29"/>
      <c r="E74" s="29"/>
      <c r="F74" s="67"/>
      <c r="G74" s="29"/>
      <c r="H74" s="29"/>
      <c r="I74" s="67"/>
      <c r="J74" s="29"/>
      <c r="K74" s="29"/>
      <c r="L74" s="67"/>
      <c r="M74" s="67"/>
      <c r="N74" s="67"/>
      <c r="O74" s="67"/>
      <c r="P74" s="29"/>
      <c r="Q74" s="29"/>
      <c r="R74" s="67"/>
      <c r="S74" s="29"/>
      <c r="T74" s="29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29"/>
      <c r="AT74" s="29"/>
      <c r="AU74" s="67"/>
      <c r="AV74" s="29"/>
      <c r="AW74" s="108"/>
    </row>
    <row r="75" spans="3:49" ht="18.75">
      <c r="C75" s="93"/>
      <c r="D75" s="29"/>
      <c r="E75" s="29"/>
      <c r="F75" s="67"/>
      <c r="G75" s="29"/>
      <c r="H75" s="29"/>
      <c r="I75" s="67"/>
      <c r="J75" s="29"/>
      <c r="K75" s="29"/>
      <c r="L75" s="67"/>
      <c r="M75" s="67"/>
      <c r="N75" s="67"/>
      <c r="O75" s="67"/>
      <c r="P75" s="29"/>
      <c r="Q75" s="29"/>
      <c r="R75" s="67"/>
      <c r="S75" s="29"/>
      <c r="T75" s="29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29"/>
      <c r="AT75" s="29"/>
      <c r="AU75" s="67"/>
      <c r="AV75" s="29"/>
      <c r="AW75" s="108"/>
    </row>
    <row r="76" spans="3:49" ht="18.75">
      <c r="C76" s="93"/>
      <c r="D76" s="29"/>
      <c r="E76" s="29"/>
      <c r="F76" s="67"/>
      <c r="G76" s="29"/>
      <c r="H76" s="29"/>
      <c r="I76" s="67"/>
      <c r="J76" s="29"/>
      <c r="K76" s="29"/>
      <c r="L76" s="67"/>
      <c r="M76" s="67"/>
      <c r="N76" s="67"/>
      <c r="O76" s="67"/>
      <c r="P76" s="29"/>
      <c r="Q76" s="29"/>
      <c r="R76" s="67"/>
      <c r="S76" s="29"/>
      <c r="T76" s="29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29"/>
      <c r="AT76" s="29"/>
      <c r="AU76" s="67"/>
      <c r="AV76" s="29"/>
      <c r="AW76" s="108"/>
    </row>
    <row r="77" spans="3:49" ht="18.75">
      <c r="C77" s="93"/>
      <c r="D77" s="29"/>
      <c r="E77" s="29"/>
      <c r="F77" s="67"/>
      <c r="G77" s="29"/>
      <c r="H77" s="29"/>
      <c r="I77" s="67"/>
      <c r="J77" s="29"/>
      <c r="K77" s="29"/>
      <c r="L77" s="67"/>
      <c r="M77" s="67"/>
      <c r="N77" s="67"/>
      <c r="O77" s="67"/>
      <c r="P77" s="29"/>
      <c r="Q77" s="29"/>
      <c r="R77" s="67"/>
      <c r="S77" s="29"/>
      <c r="T77" s="2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29"/>
      <c r="AT77" s="29"/>
      <c r="AU77" s="67"/>
      <c r="AV77" s="29"/>
      <c r="AW77" s="108"/>
    </row>
    <row r="78" spans="3:49" ht="18.75">
      <c r="C78" s="93"/>
      <c r="D78" s="29"/>
      <c r="E78" s="29"/>
      <c r="F78" s="67"/>
      <c r="G78" s="29"/>
      <c r="H78" s="29"/>
      <c r="I78" s="67"/>
      <c r="J78" s="29"/>
      <c r="K78" s="29"/>
      <c r="L78" s="67"/>
      <c r="M78" s="67"/>
      <c r="N78" s="67"/>
      <c r="O78" s="67"/>
      <c r="P78" s="29"/>
      <c r="Q78" s="29"/>
      <c r="R78" s="67"/>
      <c r="S78" s="29"/>
      <c r="T78" s="2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29"/>
      <c r="AT78" s="29"/>
      <c r="AU78" s="67"/>
      <c r="AV78" s="29"/>
      <c r="AW78" s="108"/>
    </row>
    <row r="79" spans="3:49" ht="18.75">
      <c r="C79" s="93"/>
      <c r="D79" s="29"/>
      <c r="E79" s="29"/>
      <c r="F79" s="67"/>
      <c r="G79" s="29"/>
      <c r="H79" s="29"/>
      <c r="I79" s="67"/>
      <c r="J79" s="29"/>
      <c r="K79" s="29"/>
      <c r="L79" s="67"/>
      <c r="M79" s="67"/>
      <c r="N79" s="67"/>
      <c r="O79" s="67"/>
      <c r="P79" s="29"/>
      <c r="Q79" s="29"/>
      <c r="R79" s="67"/>
      <c r="S79" s="29"/>
      <c r="T79" s="29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29"/>
      <c r="AT79" s="29"/>
      <c r="AU79" s="67"/>
      <c r="AV79" s="29"/>
      <c r="AW79" s="108"/>
    </row>
    <row r="80" spans="3:49" ht="18.75">
      <c r="C80" s="93"/>
      <c r="D80" s="29"/>
      <c r="E80" s="29"/>
      <c r="F80" s="67"/>
      <c r="G80" s="29"/>
      <c r="H80" s="29"/>
      <c r="I80" s="67"/>
      <c r="J80" s="29"/>
      <c r="K80" s="29"/>
      <c r="L80" s="67"/>
      <c r="M80" s="67"/>
      <c r="N80" s="67"/>
      <c r="O80" s="67"/>
      <c r="P80" s="29"/>
      <c r="Q80" s="29"/>
      <c r="R80" s="67"/>
      <c r="S80" s="29"/>
      <c r="T80" s="29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29"/>
      <c r="AT80" s="29"/>
      <c r="AU80" s="67"/>
      <c r="AV80" s="29"/>
      <c r="AW80" s="108"/>
    </row>
    <row r="81" spans="3:49" ht="18.75">
      <c r="C81" s="93"/>
      <c r="D81" s="29"/>
      <c r="E81" s="29"/>
      <c r="F81" s="67"/>
      <c r="G81" s="29"/>
      <c r="H81" s="29"/>
      <c r="I81" s="67"/>
      <c r="J81" s="29"/>
      <c r="K81" s="29"/>
      <c r="L81" s="67"/>
      <c r="M81" s="67"/>
      <c r="N81" s="67"/>
      <c r="O81" s="67"/>
      <c r="P81" s="29"/>
      <c r="Q81" s="29"/>
      <c r="R81" s="67"/>
      <c r="S81" s="29"/>
      <c r="T81" s="29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29"/>
      <c r="AT81" s="29"/>
      <c r="AU81" s="67"/>
      <c r="AV81" s="29"/>
      <c r="AW81" s="108"/>
    </row>
    <row r="82" spans="3:49" ht="18.75">
      <c r="C82" s="93"/>
      <c r="D82" s="29"/>
      <c r="E82" s="29"/>
      <c r="F82" s="67"/>
      <c r="G82" s="29"/>
      <c r="H82" s="29"/>
      <c r="I82" s="67"/>
      <c r="J82" s="29"/>
      <c r="K82" s="29"/>
      <c r="L82" s="67"/>
      <c r="M82" s="67"/>
      <c r="N82" s="67"/>
      <c r="O82" s="67"/>
      <c r="P82" s="29"/>
      <c r="Q82" s="29"/>
      <c r="R82" s="67"/>
      <c r="S82" s="29"/>
      <c r="T82" s="29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29"/>
      <c r="AT82" s="29"/>
      <c r="AU82" s="67"/>
      <c r="AV82" s="29"/>
      <c r="AW82" s="108"/>
    </row>
    <row r="83" spans="3:49" ht="18.75">
      <c r="C83" s="93"/>
      <c r="D83" s="29"/>
      <c r="E83" s="29"/>
      <c r="F83" s="67"/>
      <c r="G83" s="29"/>
      <c r="H83" s="29"/>
      <c r="I83" s="67"/>
      <c r="J83" s="29"/>
      <c r="K83" s="29"/>
      <c r="L83" s="67"/>
      <c r="M83" s="67"/>
      <c r="N83" s="67"/>
      <c r="O83" s="67"/>
      <c r="P83" s="29"/>
      <c r="Q83" s="29"/>
      <c r="R83" s="67"/>
      <c r="S83" s="29"/>
      <c r="T83" s="29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29"/>
      <c r="AT83" s="29"/>
      <c r="AU83" s="67"/>
      <c r="AV83" s="29"/>
      <c r="AW83" s="108"/>
    </row>
    <row r="84" spans="3:49" ht="18.75">
      <c r="C84" s="93"/>
      <c r="D84" s="29"/>
      <c r="E84" s="29"/>
      <c r="F84" s="67"/>
      <c r="G84" s="29"/>
      <c r="H84" s="29"/>
      <c r="I84" s="67"/>
      <c r="J84" s="29"/>
      <c r="K84" s="29"/>
      <c r="L84" s="67"/>
      <c r="M84" s="67"/>
      <c r="N84" s="67"/>
      <c r="O84" s="67"/>
      <c r="P84" s="29"/>
      <c r="Q84" s="29"/>
      <c r="R84" s="67"/>
      <c r="S84" s="29"/>
      <c r="T84" s="29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29"/>
      <c r="AT84" s="29"/>
      <c r="AU84" s="67"/>
      <c r="AV84" s="29"/>
      <c r="AW84" s="108"/>
    </row>
    <row r="85" spans="3:49" ht="18.75">
      <c r="C85" s="93"/>
      <c r="D85" s="29"/>
      <c r="E85" s="29"/>
      <c r="F85" s="67"/>
      <c r="G85" s="29"/>
      <c r="H85" s="29"/>
      <c r="I85" s="67"/>
      <c r="J85" s="29"/>
      <c r="K85" s="29"/>
      <c r="L85" s="67"/>
      <c r="M85" s="67"/>
      <c r="N85" s="67"/>
      <c r="O85" s="67"/>
      <c r="P85" s="29"/>
      <c r="Q85" s="29"/>
      <c r="R85" s="67"/>
      <c r="S85" s="29"/>
      <c r="T85" s="29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29"/>
      <c r="AT85" s="29"/>
      <c r="AU85" s="67"/>
      <c r="AV85" s="29"/>
      <c r="AW85" s="108"/>
    </row>
    <row r="86" spans="3:49" ht="18.75">
      <c r="C86" s="93"/>
      <c r="D86" s="29"/>
      <c r="E86" s="29"/>
      <c r="F86" s="67"/>
      <c r="G86" s="29"/>
      <c r="H86" s="29"/>
      <c r="I86" s="67"/>
      <c r="J86" s="29"/>
      <c r="K86" s="29"/>
      <c r="L86" s="67"/>
      <c r="M86" s="67"/>
      <c r="N86" s="67"/>
      <c r="O86" s="67"/>
      <c r="P86" s="29"/>
      <c r="Q86" s="29"/>
      <c r="R86" s="67"/>
      <c r="S86" s="29"/>
      <c r="T86" s="29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29"/>
      <c r="AT86" s="29"/>
      <c r="AU86" s="67"/>
      <c r="AV86" s="29"/>
      <c r="AW86" s="108"/>
    </row>
    <row r="87" spans="3:49" ht="18.75">
      <c r="C87" s="93"/>
      <c r="D87" s="29"/>
      <c r="E87" s="29"/>
      <c r="F87" s="67"/>
      <c r="G87" s="29"/>
      <c r="H87" s="29"/>
      <c r="I87" s="67"/>
      <c r="J87" s="29"/>
      <c r="K87" s="29"/>
      <c r="L87" s="67"/>
      <c r="M87" s="67"/>
      <c r="N87" s="67"/>
      <c r="O87" s="67"/>
      <c r="P87" s="29"/>
      <c r="Q87" s="29"/>
      <c r="R87" s="67"/>
      <c r="S87" s="29"/>
      <c r="T87" s="29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29"/>
      <c r="AT87" s="29"/>
      <c r="AU87" s="67"/>
      <c r="AV87" s="29"/>
      <c r="AW87" s="108"/>
    </row>
    <row r="88" spans="3:49" ht="18.75">
      <c r="C88" s="93"/>
      <c r="D88" s="29"/>
      <c r="E88" s="29"/>
      <c r="F88" s="67"/>
      <c r="G88" s="29"/>
      <c r="H88" s="29"/>
      <c r="I88" s="67"/>
      <c r="J88" s="29"/>
      <c r="K88" s="29"/>
      <c r="L88" s="67"/>
      <c r="M88" s="67"/>
      <c r="N88" s="67"/>
      <c r="O88" s="67"/>
      <c r="P88" s="29"/>
      <c r="Q88" s="29"/>
      <c r="R88" s="67"/>
      <c r="S88" s="29"/>
      <c r="T88" s="2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29"/>
      <c r="AT88" s="29"/>
      <c r="AU88" s="67"/>
      <c r="AV88" s="29"/>
      <c r="AW88" s="108"/>
    </row>
    <row r="89" spans="3:49" ht="18.75">
      <c r="C89" s="93"/>
      <c r="D89" s="29"/>
      <c r="E89" s="29"/>
      <c r="F89" s="67"/>
      <c r="G89" s="29"/>
      <c r="H89" s="29"/>
      <c r="I89" s="67"/>
      <c r="J89" s="29"/>
      <c r="K89" s="29"/>
      <c r="L89" s="67"/>
      <c r="M89" s="67"/>
      <c r="N89" s="67"/>
      <c r="O89" s="67"/>
      <c r="P89" s="29"/>
      <c r="Q89" s="29"/>
      <c r="R89" s="67"/>
      <c r="S89" s="29"/>
      <c r="T89" s="29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29"/>
      <c r="AT89" s="29"/>
      <c r="AU89" s="67"/>
      <c r="AV89" s="29"/>
      <c r="AW89" s="108"/>
    </row>
    <row r="90" spans="3:49" ht="18.75">
      <c r="C90" s="93"/>
      <c r="D90" s="29"/>
      <c r="E90" s="29"/>
      <c r="F90" s="67"/>
      <c r="G90" s="29"/>
      <c r="H90" s="29"/>
      <c r="I90" s="67"/>
      <c r="J90" s="29"/>
      <c r="K90" s="29"/>
      <c r="L90" s="67"/>
      <c r="M90" s="67"/>
      <c r="N90" s="67"/>
      <c r="O90" s="67"/>
      <c r="P90" s="29"/>
      <c r="Q90" s="29"/>
      <c r="R90" s="67"/>
      <c r="S90" s="29"/>
      <c r="T90" s="29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29"/>
      <c r="AT90" s="29"/>
      <c r="AU90" s="67"/>
      <c r="AV90" s="29"/>
      <c r="AW90" s="108"/>
    </row>
    <row r="91" spans="3:49" ht="18.75">
      <c r="C91" s="93"/>
      <c r="D91" s="29"/>
      <c r="E91" s="29"/>
      <c r="F91" s="67"/>
      <c r="G91" s="29"/>
      <c r="H91" s="29"/>
      <c r="I91" s="67"/>
      <c r="J91" s="29"/>
      <c r="K91" s="29"/>
      <c r="L91" s="67"/>
      <c r="M91" s="67"/>
      <c r="N91" s="67"/>
      <c r="O91" s="67"/>
      <c r="P91" s="29"/>
      <c r="Q91" s="29"/>
      <c r="R91" s="67"/>
      <c r="S91" s="29"/>
      <c r="T91" s="29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29"/>
      <c r="AT91" s="29"/>
      <c r="AU91" s="67"/>
      <c r="AV91" s="29"/>
      <c r="AW91" s="108"/>
    </row>
    <row r="92" spans="3:49" ht="18.75">
      <c r="C92" s="93"/>
      <c r="D92" s="29"/>
      <c r="E92" s="29"/>
      <c r="F92" s="67"/>
      <c r="G92" s="29"/>
      <c r="H92" s="29"/>
      <c r="I92" s="67"/>
      <c r="J92" s="29"/>
      <c r="K92" s="29"/>
      <c r="L92" s="67"/>
      <c r="M92" s="67"/>
      <c r="N92" s="67"/>
      <c r="O92" s="67"/>
      <c r="P92" s="29"/>
      <c r="Q92" s="29"/>
      <c r="R92" s="67"/>
      <c r="S92" s="29"/>
      <c r="T92" s="29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29"/>
      <c r="AT92" s="29"/>
      <c r="AU92" s="67"/>
      <c r="AV92" s="29"/>
      <c r="AW92" s="108"/>
    </row>
    <row r="93" spans="3:49" ht="18.75">
      <c r="C93" s="93"/>
      <c r="D93" s="29"/>
      <c r="E93" s="29"/>
      <c r="F93" s="67"/>
      <c r="G93" s="29"/>
      <c r="H93" s="29"/>
      <c r="I93" s="67"/>
      <c r="J93" s="29"/>
      <c r="K93" s="29"/>
      <c r="L93" s="67"/>
      <c r="M93" s="67"/>
      <c r="N93" s="67"/>
      <c r="O93" s="67"/>
      <c r="P93" s="29"/>
      <c r="Q93" s="29"/>
      <c r="R93" s="67"/>
      <c r="S93" s="29"/>
      <c r="T93" s="29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29"/>
      <c r="AT93" s="29"/>
      <c r="AU93" s="67"/>
      <c r="AV93" s="29"/>
      <c r="AW93" s="108"/>
    </row>
    <row r="94" spans="3:49" ht="18.75">
      <c r="C94" s="93"/>
      <c r="D94" s="29"/>
      <c r="E94" s="29"/>
      <c r="F94" s="67"/>
      <c r="G94" s="29"/>
      <c r="H94" s="29"/>
      <c r="I94" s="67"/>
      <c r="J94" s="29"/>
      <c r="K94" s="29"/>
      <c r="L94" s="67"/>
      <c r="M94" s="67"/>
      <c r="N94" s="67"/>
      <c r="O94" s="67"/>
      <c r="P94" s="29"/>
      <c r="Q94" s="29"/>
      <c r="R94" s="67"/>
      <c r="S94" s="29"/>
      <c r="T94" s="29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29"/>
      <c r="AT94" s="29"/>
      <c r="AU94" s="67"/>
      <c r="AV94" s="29"/>
      <c r="AW94" s="108"/>
    </row>
    <row r="95" spans="3:49" ht="18.75">
      <c r="C95" s="93"/>
      <c r="D95" s="29"/>
      <c r="E95" s="29"/>
      <c r="F95" s="67"/>
      <c r="G95" s="29"/>
      <c r="H95" s="29"/>
      <c r="I95" s="67"/>
      <c r="J95" s="29"/>
      <c r="K95" s="29"/>
      <c r="L95" s="67"/>
      <c r="M95" s="67"/>
      <c r="N95" s="67"/>
      <c r="O95" s="67"/>
      <c r="P95" s="29"/>
      <c r="Q95" s="29"/>
      <c r="R95" s="67"/>
      <c r="S95" s="29"/>
      <c r="T95" s="29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29"/>
      <c r="AT95" s="29"/>
      <c r="AU95" s="67"/>
      <c r="AV95" s="29"/>
      <c r="AW95" s="108"/>
    </row>
    <row r="96" spans="3:49" ht="18.75">
      <c r="C96" s="93"/>
      <c r="D96" s="29"/>
      <c r="E96" s="29"/>
      <c r="F96" s="67"/>
      <c r="G96" s="29"/>
      <c r="H96" s="29"/>
      <c r="I96" s="67"/>
      <c r="J96" s="29"/>
      <c r="K96" s="29"/>
      <c r="L96" s="67"/>
      <c r="M96" s="67"/>
      <c r="N96" s="67"/>
      <c r="O96" s="67"/>
      <c r="P96" s="29"/>
      <c r="Q96" s="29"/>
      <c r="R96" s="67"/>
      <c r="S96" s="29"/>
      <c r="T96" s="29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29"/>
      <c r="AT96" s="29"/>
      <c r="AU96" s="67"/>
      <c r="AV96" s="29"/>
      <c r="AW96" s="108"/>
    </row>
    <row r="97" spans="3:49" ht="18.75">
      <c r="C97" s="93"/>
      <c r="D97" s="29"/>
      <c r="E97" s="29"/>
      <c r="F97" s="67"/>
      <c r="G97" s="29"/>
      <c r="H97" s="29"/>
      <c r="I97" s="67"/>
      <c r="J97" s="29"/>
      <c r="K97" s="29"/>
      <c r="L97" s="67"/>
      <c r="M97" s="67"/>
      <c r="N97" s="67"/>
      <c r="O97" s="67"/>
      <c r="P97" s="29"/>
      <c r="Q97" s="29"/>
      <c r="R97" s="67"/>
      <c r="S97" s="29"/>
      <c r="T97" s="29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29"/>
      <c r="AT97" s="29"/>
      <c r="AU97" s="67"/>
      <c r="AV97" s="29"/>
      <c r="AW97" s="108"/>
    </row>
    <row r="98" spans="3:49" ht="18.75">
      <c r="C98" s="93"/>
      <c r="D98" s="29"/>
      <c r="E98" s="29"/>
      <c r="F98" s="67"/>
      <c r="G98" s="29"/>
      <c r="H98" s="29"/>
      <c r="I98" s="67"/>
      <c r="J98" s="29"/>
      <c r="K98" s="29"/>
      <c r="L98" s="67"/>
      <c r="M98" s="67"/>
      <c r="N98" s="67"/>
      <c r="O98" s="67"/>
      <c r="P98" s="29"/>
      <c r="Q98" s="29"/>
      <c r="R98" s="67"/>
      <c r="S98" s="29"/>
      <c r="T98" s="29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29"/>
      <c r="AT98" s="29"/>
      <c r="AU98" s="67"/>
      <c r="AV98" s="29"/>
      <c r="AW98" s="108"/>
    </row>
    <row r="99" spans="3:49" ht="18.75">
      <c r="C99" s="93"/>
      <c r="D99" s="29"/>
      <c r="E99" s="29"/>
      <c r="F99" s="67"/>
      <c r="G99" s="29"/>
      <c r="H99" s="29"/>
      <c r="I99" s="67"/>
      <c r="J99" s="29"/>
      <c r="K99" s="29"/>
      <c r="L99" s="67"/>
      <c r="M99" s="67"/>
      <c r="N99" s="67"/>
      <c r="O99" s="67"/>
      <c r="P99" s="29"/>
      <c r="Q99" s="29"/>
      <c r="R99" s="67"/>
      <c r="S99" s="29"/>
      <c r="T99" s="29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29"/>
      <c r="AT99" s="29"/>
      <c r="AU99" s="67"/>
      <c r="AV99" s="29"/>
      <c r="AW99" s="108"/>
    </row>
    <row r="100" spans="3:49" ht="18.75">
      <c r="C100" s="93"/>
      <c r="D100" s="29"/>
      <c r="E100" s="29"/>
      <c r="F100" s="67"/>
      <c r="G100" s="29"/>
      <c r="H100" s="29"/>
      <c r="I100" s="67"/>
      <c r="J100" s="29"/>
      <c r="K100" s="29"/>
      <c r="L100" s="67"/>
      <c r="M100" s="67"/>
      <c r="N100" s="67"/>
      <c r="O100" s="67"/>
      <c r="P100" s="29"/>
      <c r="Q100" s="29"/>
      <c r="R100" s="67"/>
      <c r="S100" s="29"/>
      <c r="T100" s="29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29"/>
      <c r="AT100" s="29"/>
      <c r="AU100" s="67"/>
      <c r="AV100" s="29"/>
      <c r="AW100" s="108"/>
    </row>
    <row r="101" spans="3:49" ht="18.75">
      <c r="C101" s="93"/>
      <c r="D101" s="29"/>
      <c r="E101" s="29"/>
      <c r="F101" s="67"/>
      <c r="G101" s="29"/>
      <c r="H101" s="29"/>
      <c r="I101" s="67"/>
      <c r="J101" s="29"/>
      <c r="K101" s="29"/>
      <c r="L101" s="67"/>
      <c r="M101" s="67"/>
      <c r="N101" s="67"/>
      <c r="O101" s="67"/>
      <c r="P101" s="29"/>
      <c r="Q101" s="29"/>
      <c r="R101" s="67"/>
      <c r="S101" s="29"/>
      <c r="T101" s="29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29"/>
      <c r="AT101" s="29"/>
      <c r="AU101" s="67"/>
      <c r="AV101" s="29"/>
      <c r="AW101" s="108"/>
    </row>
    <row r="102" spans="3:49" ht="18.75">
      <c r="C102" s="93"/>
      <c r="D102" s="29"/>
      <c r="E102" s="29"/>
      <c r="F102" s="67"/>
      <c r="G102" s="29"/>
      <c r="H102" s="29"/>
      <c r="I102" s="67"/>
      <c r="J102" s="29"/>
      <c r="K102" s="29"/>
      <c r="L102" s="67"/>
      <c r="M102" s="67"/>
      <c r="N102" s="67"/>
      <c r="O102" s="67"/>
      <c r="P102" s="29"/>
      <c r="Q102" s="29"/>
      <c r="R102" s="67"/>
      <c r="S102" s="29"/>
      <c r="T102" s="29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29"/>
      <c r="AT102" s="29"/>
      <c r="AU102" s="67"/>
      <c r="AV102" s="29"/>
      <c r="AW102" s="108"/>
    </row>
    <row r="103" spans="3:49" ht="18.75">
      <c r="C103" s="93"/>
      <c r="D103" s="29"/>
      <c r="E103" s="29"/>
      <c r="F103" s="67"/>
      <c r="G103" s="29"/>
      <c r="H103" s="29"/>
      <c r="I103" s="67"/>
      <c r="J103" s="29"/>
      <c r="K103" s="29"/>
      <c r="L103" s="67"/>
      <c r="M103" s="67"/>
      <c r="N103" s="67"/>
      <c r="O103" s="67"/>
      <c r="P103" s="29"/>
      <c r="Q103" s="29"/>
      <c r="R103" s="67"/>
      <c r="S103" s="29"/>
      <c r="T103" s="29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J103" s="67"/>
      <c r="AK103" s="67"/>
      <c r="AL103" s="67"/>
      <c r="AS103" s="29"/>
      <c r="AT103" s="29"/>
      <c r="AU103" s="67"/>
      <c r="AW103" s="108"/>
    </row>
  </sheetData>
  <sheetProtection/>
  <mergeCells count="24"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  <mergeCell ref="Y5:AA5"/>
    <mergeCell ref="AE5:AG5"/>
    <mergeCell ref="AH5:AI5"/>
    <mergeCell ref="AW5:AW6"/>
    <mergeCell ref="AJ5:AL5"/>
    <mergeCell ref="AM5:AN5"/>
    <mergeCell ref="AO5:AP5"/>
    <mergeCell ref="AQ5:AR5"/>
    <mergeCell ref="A52:C52"/>
    <mergeCell ref="J5:L5"/>
    <mergeCell ref="B53:C53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2"/>
  <sheetViews>
    <sheetView view="pageBreakPreview" zoomScale="70" zoomScaleNormal="75" zoomScaleSheetLayoutView="70" zoomScalePageLayoutView="0" workbookViewId="0" topLeftCell="A1">
      <pane xSplit="6" ySplit="8" topLeftCell="AK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41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5" width="13.875" style="8" hidden="1" customWidth="1"/>
    <col min="36" max="36" width="13.25390625" style="8" customWidth="1"/>
    <col min="37" max="37" width="12.75390625" style="8" customWidth="1"/>
    <col min="38" max="38" width="14.125" style="8" hidden="1" customWidth="1"/>
    <col min="39" max="44" width="13.875" style="8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1:49" s="32" customFormat="1" ht="42" customHeight="1">
      <c r="A2" s="31"/>
      <c r="B2" s="122" t="s">
        <v>84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</row>
    <row r="3" spans="1:49" s="32" customFormat="1" ht="42" customHeight="1">
      <c r="A3" s="31"/>
      <c r="B3" s="122" t="s">
        <v>130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</row>
    <row r="4" spans="2:49" ht="18.75">
      <c r="B4" s="123"/>
      <c r="C4" s="123"/>
      <c r="AW4" s="11" t="s">
        <v>48</v>
      </c>
    </row>
    <row r="5" spans="1:49" ht="36.75" customHeight="1">
      <c r="A5" s="24" t="s">
        <v>36</v>
      </c>
      <c r="B5" s="25"/>
      <c r="C5" s="26" t="s">
        <v>1</v>
      </c>
      <c r="D5" s="124" t="s">
        <v>111</v>
      </c>
      <c r="E5" s="125"/>
      <c r="F5" s="126"/>
      <c r="G5" s="119" t="s">
        <v>113</v>
      </c>
      <c r="H5" s="120"/>
      <c r="I5" s="121"/>
      <c r="J5" s="119" t="s">
        <v>116</v>
      </c>
      <c r="K5" s="120"/>
      <c r="L5" s="121"/>
      <c r="M5" s="119" t="s">
        <v>118</v>
      </c>
      <c r="N5" s="120"/>
      <c r="O5" s="121"/>
      <c r="P5" s="119" t="s">
        <v>117</v>
      </c>
      <c r="Q5" s="120"/>
      <c r="R5" s="121"/>
      <c r="S5" s="119" t="s">
        <v>119</v>
      </c>
      <c r="T5" s="120"/>
      <c r="U5" s="121"/>
      <c r="V5" s="119" t="s">
        <v>120</v>
      </c>
      <c r="W5" s="120"/>
      <c r="X5" s="121"/>
      <c r="Y5" s="119" t="s">
        <v>121</v>
      </c>
      <c r="Z5" s="120"/>
      <c r="AA5" s="121"/>
      <c r="AB5" s="119" t="s">
        <v>122</v>
      </c>
      <c r="AC5" s="120"/>
      <c r="AD5" s="121"/>
      <c r="AE5" s="119" t="s">
        <v>123</v>
      </c>
      <c r="AF5" s="120"/>
      <c r="AG5" s="121"/>
      <c r="AH5" s="119" t="s">
        <v>124</v>
      </c>
      <c r="AI5" s="121"/>
      <c r="AJ5" s="119" t="s">
        <v>126</v>
      </c>
      <c r="AK5" s="120"/>
      <c r="AL5" s="121"/>
      <c r="AM5" s="119" t="s">
        <v>125</v>
      </c>
      <c r="AN5" s="121"/>
      <c r="AO5" s="119" t="s">
        <v>127</v>
      </c>
      <c r="AP5" s="121"/>
      <c r="AQ5" s="119" t="s">
        <v>128</v>
      </c>
      <c r="AR5" s="121"/>
      <c r="AS5" s="124" t="s">
        <v>114</v>
      </c>
      <c r="AT5" s="125"/>
      <c r="AU5" s="126"/>
      <c r="AV5" s="127" t="s">
        <v>131</v>
      </c>
      <c r="AW5" s="127" t="s">
        <v>132</v>
      </c>
    </row>
    <row r="6" spans="1:49" ht="65.25" customHeight="1">
      <c r="A6" s="27" t="s">
        <v>9</v>
      </c>
      <c r="B6" s="42" t="s">
        <v>46</v>
      </c>
      <c r="C6" s="12" t="s">
        <v>106</v>
      </c>
      <c r="D6" s="28" t="s">
        <v>112</v>
      </c>
      <c r="E6" s="28" t="s">
        <v>47</v>
      </c>
      <c r="F6" s="13" t="s">
        <v>0</v>
      </c>
      <c r="G6" s="28" t="s">
        <v>112</v>
      </c>
      <c r="H6" s="28" t="s">
        <v>47</v>
      </c>
      <c r="I6" s="13" t="s">
        <v>0</v>
      </c>
      <c r="J6" s="28" t="s">
        <v>112</v>
      </c>
      <c r="K6" s="28" t="s">
        <v>47</v>
      </c>
      <c r="L6" s="13" t="s">
        <v>0</v>
      </c>
      <c r="M6" s="28" t="s">
        <v>112</v>
      </c>
      <c r="N6" s="28" t="s">
        <v>47</v>
      </c>
      <c r="O6" s="13" t="s">
        <v>0</v>
      </c>
      <c r="P6" s="28" t="s">
        <v>112</v>
      </c>
      <c r="Q6" s="28" t="s">
        <v>47</v>
      </c>
      <c r="R6" s="13" t="s">
        <v>0</v>
      </c>
      <c r="S6" s="28" t="s">
        <v>112</v>
      </c>
      <c r="T6" s="28" t="s">
        <v>47</v>
      </c>
      <c r="U6" s="13" t="s">
        <v>0</v>
      </c>
      <c r="V6" s="28" t="s">
        <v>112</v>
      </c>
      <c r="W6" s="28" t="s">
        <v>47</v>
      </c>
      <c r="X6" s="13" t="s">
        <v>0</v>
      </c>
      <c r="Y6" s="28" t="s">
        <v>112</v>
      </c>
      <c r="Z6" s="28" t="s">
        <v>47</v>
      </c>
      <c r="AA6" s="13" t="s">
        <v>0</v>
      </c>
      <c r="AB6" s="28" t="s">
        <v>112</v>
      </c>
      <c r="AC6" s="28" t="s">
        <v>47</v>
      </c>
      <c r="AD6" s="13" t="s">
        <v>0</v>
      </c>
      <c r="AE6" s="28" t="s">
        <v>112</v>
      </c>
      <c r="AF6" s="28" t="s">
        <v>47</v>
      </c>
      <c r="AG6" s="13" t="s">
        <v>0</v>
      </c>
      <c r="AH6" s="28" t="s">
        <v>112</v>
      </c>
      <c r="AI6" s="28" t="s">
        <v>47</v>
      </c>
      <c r="AJ6" s="28" t="s">
        <v>112</v>
      </c>
      <c r="AK6" s="28" t="s">
        <v>47</v>
      </c>
      <c r="AL6" s="13" t="s">
        <v>0</v>
      </c>
      <c r="AM6" s="28" t="s">
        <v>112</v>
      </c>
      <c r="AN6" s="28" t="s">
        <v>47</v>
      </c>
      <c r="AO6" s="28" t="s">
        <v>112</v>
      </c>
      <c r="AP6" s="28" t="s">
        <v>47</v>
      </c>
      <c r="AQ6" s="28" t="s">
        <v>112</v>
      </c>
      <c r="AR6" s="28" t="s">
        <v>47</v>
      </c>
      <c r="AS6" s="28" t="s">
        <v>112</v>
      </c>
      <c r="AT6" s="28" t="s">
        <v>47</v>
      </c>
      <c r="AU6" s="13" t="s">
        <v>0</v>
      </c>
      <c r="AV6" s="128"/>
      <c r="AW6" s="128"/>
    </row>
    <row r="7" spans="1:51" s="8" customFormat="1" ht="36" customHeight="1">
      <c r="A7" s="13"/>
      <c r="B7" s="14" t="s">
        <v>49</v>
      </c>
      <c r="C7" s="43">
        <f>SUM(C8:C42)</f>
        <v>4497.2</v>
      </c>
      <c r="D7" s="15">
        <f>SUM(D8:D42)</f>
        <v>10705.500000000002</v>
      </c>
      <c r="E7" s="15">
        <f>SUM(E8:E42)</f>
        <v>496</v>
      </c>
      <c r="F7" s="15">
        <f aca="true" t="shared" si="0" ref="F7:F21">E7/D7*100</f>
        <v>4.63313250198496</v>
      </c>
      <c r="G7" s="15">
        <f>SUM(G8:G42)</f>
        <v>9027.599999999999</v>
      </c>
      <c r="H7" s="15">
        <f>SUM(H8:H42)</f>
        <v>3951.2</v>
      </c>
      <c r="I7" s="15">
        <f>H7/G7*100</f>
        <v>43.76800035446852</v>
      </c>
      <c r="J7" s="15">
        <f>SUM(J8:J42)</f>
        <v>3832</v>
      </c>
      <c r="K7" s="15">
        <f>SUM(K8:K42)</f>
        <v>4937.8</v>
      </c>
      <c r="L7" s="15">
        <f>K7/J7*100</f>
        <v>128.85699373695198</v>
      </c>
      <c r="M7" s="15">
        <f>SUM(M8:M42)</f>
        <v>23565.1</v>
      </c>
      <c r="N7" s="15">
        <f>SUM(N8:N42)</f>
        <v>9385</v>
      </c>
      <c r="O7" s="15">
        <f>N7/M7*100</f>
        <v>39.82584415088415</v>
      </c>
      <c r="P7" s="15">
        <f>SUM(P8:P42)</f>
        <v>481.00000000000006</v>
      </c>
      <c r="Q7" s="15">
        <f>SUM(Q8:Q42)</f>
        <v>7312.699999999999</v>
      </c>
      <c r="R7" s="15">
        <f>Q7/P7*100</f>
        <v>1520.3118503118499</v>
      </c>
      <c r="S7" s="15">
        <f>SUM(S8:S42)</f>
        <v>7.2</v>
      </c>
      <c r="T7" s="15">
        <f>SUM(T8:T42)</f>
        <v>833.0999999999999</v>
      </c>
      <c r="U7" s="15">
        <f>T7/S7*100</f>
        <v>11570.833333333332</v>
      </c>
      <c r="V7" s="15">
        <f>SUM(V8:V42)</f>
        <v>0</v>
      </c>
      <c r="W7" s="15">
        <f>SUM(W8:W42)</f>
        <v>1103.8000000000002</v>
      </c>
      <c r="X7" s="30" t="e">
        <f>W7/V7*100</f>
        <v>#DIV/0!</v>
      </c>
      <c r="Y7" s="15">
        <f>SUM(Y8:Y42)</f>
        <v>488.20000000000005</v>
      </c>
      <c r="Z7" s="15">
        <f>SUM(Z8:Z42)</f>
        <v>9249.599999999999</v>
      </c>
      <c r="AA7" s="15">
        <f>Z7/Y7*100</f>
        <v>1894.6333469889385</v>
      </c>
      <c r="AB7" s="15">
        <f>SUM(AB8:AB42)</f>
        <v>0</v>
      </c>
      <c r="AC7" s="15">
        <f>SUM(AC8:AC42)</f>
        <v>818.5</v>
      </c>
      <c r="AD7" s="30" t="e">
        <f>AC7/AB7*100</f>
        <v>#DIV/0!</v>
      </c>
      <c r="AE7" s="15">
        <f>SUM(AE8:AE42)</f>
        <v>0</v>
      </c>
      <c r="AF7" s="15">
        <f>SUM(AF8:AF42)</f>
        <v>754.9</v>
      </c>
      <c r="AG7" s="30" t="e">
        <f>AF7/AE7*100</f>
        <v>#DIV/0!</v>
      </c>
      <c r="AH7" s="15">
        <f>SUM(AH8:AH42)</f>
        <v>0</v>
      </c>
      <c r="AI7" s="15">
        <f>SUM(AI8:AI42)</f>
        <v>1566.9</v>
      </c>
      <c r="AJ7" s="15">
        <f>SUM(AJ8:AJ42)</f>
        <v>0</v>
      </c>
      <c r="AK7" s="15">
        <f>SUM(AK8:AK42)</f>
        <v>3140.3</v>
      </c>
      <c r="AL7" s="15" t="e">
        <f>AK7/AJ7*100</f>
        <v>#DIV/0!</v>
      </c>
      <c r="AM7" s="15">
        <f aca="true" t="shared" si="1" ref="AM7:AT7">SUM(AM8:AM42)</f>
        <v>1610.2</v>
      </c>
      <c r="AN7" s="15">
        <f t="shared" si="1"/>
        <v>1352.6</v>
      </c>
      <c r="AO7" s="15">
        <f t="shared" si="1"/>
        <v>7298.699999999999</v>
      </c>
      <c r="AP7" s="15">
        <f t="shared" si="1"/>
        <v>3073.7</v>
      </c>
      <c r="AQ7" s="15">
        <f>SUM(AQ8:AQ42)</f>
        <v>8546.6</v>
      </c>
      <c r="AR7" s="15">
        <f>SUM(AR8:AR42)</f>
        <v>20172.5</v>
      </c>
      <c r="AS7" s="15">
        <f t="shared" si="1"/>
        <v>41508.79999999999</v>
      </c>
      <c r="AT7" s="15">
        <f t="shared" si="1"/>
        <v>46373.7</v>
      </c>
      <c r="AU7" s="15">
        <f>AT7/AS7*100</f>
        <v>111.72016536252556</v>
      </c>
      <c r="AV7" s="44">
        <f>SUM(AV8:AV42)</f>
        <v>-4864.9</v>
      </c>
      <c r="AW7" s="44">
        <f>SUM(AW8:AW42)</f>
        <v>-367.6999999999989</v>
      </c>
      <c r="AX7" s="22">
        <f>AS7-AT7</f>
        <v>-4864.900000000009</v>
      </c>
      <c r="AY7" s="22">
        <f>C7+AS7-AT7</f>
        <v>-367.70000000001164</v>
      </c>
    </row>
    <row r="8" spans="1:49" s="4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5">
        <f t="shared" si="0"/>
        <v>32.45375408052231</v>
      </c>
      <c r="G8" s="3">
        <v>299.7</v>
      </c>
      <c r="H8" s="3">
        <v>161.8</v>
      </c>
      <c r="I8" s="15">
        <f>H8/G8*100</f>
        <v>53.987320653987325</v>
      </c>
      <c r="J8" s="3">
        <v>174.3</v>
      </c>
      <c r="K8" s="3">
        <v>253.2</v>
      </c>
      <c r="L8" s="15">
        <f>K8/J8*100</f>
        <v>145.26678141135972</v>
      </c>
      <c r="M8" s="3">
        <f>D8+G8+J8</f>
        <v>841.5999999999999</v>
      </c>
      <c r="N8" s="3">
        <f>E8+H8+K8</f>
        <v>534.3</v>
      </c>
      <c r="O8" s="15">
        <f aca="true" t="shared" si="2" ref="O8:O46">N8/M8*100</f>
        <v>63.486216730038024</v>
      </c>
      <c r="P8" s="3">
        <v>17.3</v>
      </c>
      <c r="Q8" s="3">
        <v>185.4</v>
      </c>
      <c r="R8" s="15">
        <f>Q8/P8*100</f>
        <v>1071.6763005780347</v>
      </c>
      <c r="S8" s="3">
        <v>0</v>
      </c>
      <c r="T8" s="3">
        <v>56.8</v>
      </c>
      <c r="U8" s="15"/>
      <c r="V8" s="3">
        <v>0</v>
      </c>
      <c r="W8" s="3">
        <v>45.8</v>
      </c>
      <c r="X8" s="15"/>
      <c r="Y8" s="3">
        <f>P8+S8+V8</f>
        <v>17.3</v>
      </c>
      <c r="Z8" s="3">
        <f>Q8+T8+W8</f>
        <v>288</v>
      </c>
      <c r="AA8" s="15">
        <f>Z8/Y8*100</f>
        <v>1664.7398843930634</v>
      </c>
      <c r="AB8" s="3">
        <v>0</v>
      </c>
      <c r="AC8" s="3">
        <v>44.7</v>
      </c>
      <c r="AD8" s="15"/>
      <c r="AE8" s="3">
        <v>0</v>
      </c>
      <c r="AF8" s="3">
        <v>44.8</v>
      </c>
      <c r="AG8" s="30" t="e">
        <f>AF8/AE8*100</f>
        <v>#DIV/0!</v>
      </c>
      <c r="AH8" s="3">
        <v>0</v>
      </c>
      <c r="AI8" s="3">
        <v>45.7</v>
      </c>
      <c r="AJ8" s="3">
        <f>AB8+AE8+AH8</f>
        <v>0</v>
      </c>
      <c r="AK8" s="3">
        <f>AC8+AF8+AI8</f>
        <v>135.2</v>
      </c>
      <c r="AL8" s="15" t="e">
        <f>AK8/AJ8*100</f>
        <v>#DIV/0!</v>
      </c>
      <c r="AM8" s="3">
        <v>56.9</v>
      </c>
      <c r="AN8" s="3">
        <v>68.4</v>
      </c>
      <c r="AO8" s="3">
        <v>286.3</v>
      </c>
      <c r="AP8" s="3">
        <v>220.1</v>
      </c>
      <c r="AQ8" s="3">
        <v>357.1</v>
      </c>
      <c r="AR8" s="3">
        <v>608.1</v>
      </c>
      <c r="AS8" s="3">
        <f>M8+Y8+AJ8+AM8+AO8+AQ8</f>
        <v>1559.1999999999998</v>
      </c>
      <c r="AT8" s="3">
        <f>N8+Z8+AK8+AN8+AP8+AR8</f>
        <v>1854.1</v>
      </c>
      <c r="AU8" s="15">
        <f>AT8/AS8*100</f>
        <v>118.9135454079015</v>
      </c>
      <c r="AV8" s="15">
        <f>AS8-AT8</f>
        <v>-294.9000000000001</v>
      </c>
      <c r="AW8" s="4">
        <f>C8+AS8-AT8</f>
        <v>-74.5</v>
      </c>
    </row>
    <row r="9" spans="1:49" s="45" customFormat="1" ht="36.75" customHeight="1">
      <c r="A9" s="6">
        <v>2</v>
      </c>
      <c r="B9" s="34" t="s">
        <v>81</v>
      </c>
      <c r="C9" s="2">
        <v>68.7</v>
      </c>
      <c r="D9" s="3">
        <v>237.4</v>
      </c>
      <c r="E9" s="3">
        <v>10.7</v>
      </c>
      <c r="F9" s="15">
        <f t="shared" si="0"/>
        <v>4.507160909856781</v>
      </c>
      <c r="G9" s="3">
        <v>198.8</v>
      </c>
      <c r="H9" s="3">
        <v>64.7</v>
      </c>
      <c r="I9" s="15">
        <f aca="true" t="shared" si="3" ref="I9:I22">H9/G9*100</f>
        <v>32.54527162977867</v>
      </c>
      <c r="J9" s="3">
        <v>107.5</v>
      </c>
      <c r="K9" s="3">
        <v>58.3</v>
      </c>
      <c r="L9" s="15">
        <f aca="true" t="shared" si="4" ref="L9:L22">K9/J9*100</f>
        <v>54.23255813953488</v>
      </c>
      <c r="M9" s="3">
        <f aca="true" t="shared" si="5" ref="M9:M42">D9+G9+J9</f>
        <v>543.7</v>
      </c>
      <c r="N9" s="3">
        <f aca="true" t="shared" si="6" ref="N9:N42">E9+H9+K9</f>
        <v>133.7</v>
      </c>
      <c r="O9" s="15">
        <f t="shared" si="2"/>
        <v>24.59076696707743</v>
      </c>
      <c r="P9" s="3">
        <v>5.6</v>
      </c>
      <c r="Q9" s="3">
        <v>64.7</v>
      </c>
      <c r="R9" s="15">
        <f>Q9/P9*100</f>
        <v>1155.3571428571431</v>
      </c>
      <c r="S9" s="3">
        <v>0</v>
      </c>
      <c r="T9" s="3">
        <v>32.1</v>
      </c>
      <c r="U9" s="15"/>
      <c r="V9" s="3">
        <v>0</v>
      </c>
      <c r="W9" s="3">
        <v>47.5</v>
      </c>
      <c r="X9" s="15"/>
      <c r="Y9" s="3">
        <f>P9+S9+V9</f>
        <v>5.6</v>
      </c>
      <c r="Z9" s="3">
        <f>Q9+T9+W9</f>
        <v>144.3</v>
      </c>
      <c r="AA9" s="15">
        <f>Z9/Y9*100</f>
        <v>2576.7857142857147</v>
      </c>
      <c r="AB9" s="3">
        <v>0</v>
      </c>
      <c r="AC9" s="3">
        <v>16.9</v>
      </c>
      <c r="AD9" s="15"/>
      <c r="AE9" s="3">
        <v>0</v>
      </c>
      <c r="AF9" s="3">
        <v>12</v>
      </c>
      <c r="AG9" s="30" t="e">
        <f aca="true" t="shared" si="7" ref="AG9:AG15">AF9/AE9*100</f>
        <v>#DIV/0!</v>
      </c>
      <c r="AH9" s="3">
        <v>0</v>
      </c>
      <c r="AI9" s="3">
        <v>250.3</v>
      </c>
      <c r="AJ9" s="3">
        <f aca="true" t="shared" si="8" ref="AJ9:AJ42">AB9+AE9+AH9</f>
        <v>0</v>
      </c>
      <c r="AK9" s="3">
        <f aca="true" t="shared" si="9" ref="AK9:AK42">AC9+AF9+AI9</f>
        <v>279.2</v>
      </c>
      <c r="AL9" s="15" t="e">
        <f>AK9/AJ9*100</f>
        <v>#DIV/0!</v>
      </c>
      <c r="AM9" s="3">
        <v>51.8</v>
      </c>
      <c r="AN9" s="3">
        <v>20.7</v>
      </c>
      <c r="AO9" s="3">
        <v>348.9</v>
      </c>
      <c r="AP9" s="3">
        <f>86.5+36.3</f>
        <v>122.8</v>
      </c>
      <c r="AQ9" s="3">
        <v>342</v>
      </c>
      <c r="AR9" s="3">
        <f>18.5+714.6</f>
        <v>733.1</v>
      </c>
      <c r="AS9" s="3">
        <f aca="true" t="shared" si="10" ref="AS9:AS42">M9+Y9+AJ9+AM9+AO9+AQ9</f>
        <v>1292</v>
      </c>
      <c r="AT9" s="3">
        <f aca="true" t="shared" si="11" ref="AT9:AT42">N9+Z9+AK9+AN9+AP9+AR9</f>
        <v>1433.8000000000002</v>
      </c>
      <c r="AU9" s="15">
        <f>AT9/AS9*100</f>
        <v>110.97523219814242</v>
      </c>
      <c r="AV9" s="15">
        <f aca="true" t="shared" si="12" ref="AV9:AV42">AS9-AT9</f>
        <v>-141.80000000000018</v>
      </c>
      <c r="AW9" s="4">
        <f aca="true" t="shared" si="13" ref="AW9:AW42">C9+AS9-AT9</f>
        <v>-73.10000000000014</v>
      </c>
    </row>
    <row r="10" spans="1:49" s="45" customFormat="1" ht="36.75" customHeight="1">
      <c r="A10" s="6">
        <v>3</v>
      </c>
      <c r="B10" s="16" t="s">
        <v>96</v>
      </c>
      <c r="C10" s="2"/>
      <c r="D10" s="3"/>
      <c r="E10" s="3"/>
      <c r="F10" s="30"/>
      <c r="G10" s="23"/>
      <c r="H10" s="23"/>
      <c r="I10" s="15"/>
      <c r="J10" s="23"/>
      <c r="K10" s="23"/>
      <c r="L10" s="15"/>
      <c r="M10" s="3"/>
      <c r="N10" s="3"/>
      <c r="O10" s="15"/>
      <c r="P10" s="23"/>
      <c r="Q10" s="23"/>
      <c r="R10" s="15"/>
      <c r="S10" s="23"/>
      <c r="T10" s="23"/>
      <c r="U10" s="15"/>
      <c r="V10" s="23"/>
      <c r="W10" s="23"/>
      <c r="X10" s="15"/>
      <c r="Y10" s="3"/>
      <c r="Z10" s="3"/>
      <c r="AA10" s="15"/>
      <c r="AB10" s="23"/>
      <c r="AC10" s="23"/>
      <c r="AD10" s="15"/>
      <c r="AE10" s="23"/>
      <c r="AF10" s="23"/>
      <c r="AG10" s="30" t="e">
        <f t="shared" si="7"/>
        <v>#DIV/0!</v>
      </c>
      <c r="AH10" s="23"/>
      <c r="AI10" s="23"/>
      <c r="AJ10" s="3"/>
      <c r="AK10" s="3"/>
      <c r="AL10" s="15"/>
      <c r="AM10" s="23"/>
      <c r="AN10" s="23"/>
      <c r="AO10" s="23"/>
      <c r="AP10" s="23"/>
      <c r="AQ10" s="23"/>
      <c r="AR10" s="23"/>
      <c r="AS10" s="3"/>
      <c r="AT10" s="3"/>
      <c r="AU10" s="15"/>
      <c r="AV10" s="15"/>
      <c r="AW10" s="4"/>
    </row>
    <row r="11" spans="1:49" s="4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5">
        <f t="shared" si="0"/>
        <v>63.10772163965681</v>
      </c>
      <c r="G11" s="3">
        <f>28.9+71.4</f>
        <v>100.30000000000001</v>
      </c>
      <c r="H11" s="3">
        <f>24.4+11.1</f>
        <v>35.5</v>
      </c>
      <c r="I11" s="15">
        <f t="shared" si="3"/>
        <v>35.393818544366894</v>
      </c>
      <c r="J11" s="3">
        <f>26.7+40.5</f>
        <v>67.2</v>
      </c>
      <c r="K11" s="3">
        <f>28.9+46.5</f>
        <v>75.4</v>
      </c>
      <c r="L11" s="15">
        <f>4.5</f>
        <v>4.5</v>
      </c>
      <c r="M11" s="3">
        <f t="shared" si="5"/>
        <v>272.40000000000003</v>
      </c>
      <c r="N11" s="3">
        <f t="shared" si="6"/>
        <v>177.10000000000002</v>
      </c>
      <c r="O11" s="15">
        <f t="shared" si="2"/>
        <v>65.01468428781205</v>
      </c>
      <c r="P11" s="3">
        <v>4.5</v>
      </c>
      <c r="Q11" s="3">
        <v>47.5</v>
      </c>
      <c r="R11" s="15">
        <f aca="true" t="shared" si="14" ref="R11:R19">Q11/P11*100</f>
        <v>1055.5555555555554</v>
      </c>
      <c r="S11" s="3">
        <v>7.2</v>
      </c>
      <c r="T11" s="3">
        <v>11.3</v>
      </c>
      <c r="U11" s="15">
        <f aca="true" t="shared" si="15" ref="U11:U19">T11/S11*100</f>
        <v>156.94444444444443</v>
      </c>
      <c r="V11" s="3"/>
      <c r="W11" s="3">
        <v>3.8</v>
      </c>
      <c r="X11" s="30" t="e">
        <f>W11/V11*100</f>
        <v>#DIV/0!</v>
      </c>
      <c r="Y11" s="3">
        <f aca="true" t="shared" si="16" ref="Y11:Y19">P11+S11+V11</f>
        <v>11.7</v>
      </c>
      <c r="Z11" s="3">
        <f aca="true" t="shared" si="17" ref="Z11:Z19">Q11+T11+W11</f>
        <v>62.599999999999994</v>
      </c>
      <c r="AA11" s="15">
        <f aca="true" t="shared" si="18" ref="AA11:AA28">Z11/Y11*100</f>
        <v>535.042735042735</v>
      </c>
      <c r="AB11" s="3"/>
      <c r="AC11" s="3">
        <v>0</v>
      </c>
      <c r="AD11" s="30" t="e">
        <f>AC11/AB11*100</f>
        <v>#DIV/0!</v>
      </c>
      <c r="AE11" s="3">
        <v>0</v>
      </c>
      <c r="AF11" s="3">
        <v>0</v>
      </c>
      <c r="AG11" s="30" t="e">
        <f t="shared" si="7"/>
        <v>#DIV/0!</v>
      </c>
      <c r="AH11" s="3">
        <v>0</v>
      </c>
      <c r="AI11" s="3">
        <f>58.6+2.3</f>
        <v>60.9</v>
      </c>
      <c r="AJ11" s="3">
        <f t="shared" si="8"/>
        <v>0</v>
      </c>
      <c r="AK11" s="3">
        <f t="shared" si="9"/>
        <v>60.9</v>
      </c>
      <c r="AL11" s="15" t="e">
        <f aca="true" t="shared" si="19" ref="AL11:AL28">AK11/AJ11*100</f>
        <v>#DIV/0!</v>
      </c>
      <c r="AM11" s="3">
        <v>8.4</v>
      </c>
      <c r="AN11" s="3">
        <v>-31.9</v>
      </c>
      <c r="AO11" s="3">
        <f>107.3+59.7</f>
        <v>167</v>
      </c>
      <c r="AP11" s="3">
        <v>118.1</v>
      </c>
      <c r="AQ11" s="3">
        <f>40+88.6</f>
        <v>128.6</v>
      </c>
      <c r="AR11" s="3">
        <f>96.6+121.3</f>
        <v>217.89999999999998</v>
      </c>
      <c r="AS11" s="3">
        <f t="shared" si="10"/>
        <v>588.1</v>
      </c>
      <c r="AT11" s="3">
        <f t="shared" si="11"/>
        <v>604.7</v>
      </c>
      <c r="AU11" s="15">
        <f>AT11/AS11*100</f>
        <v>102.82264920931814</v>
      </c>
      <c r="AV11" s="15">
        <f t="shared" si="12"/>
        <v>-16.600000000000023</v>
      </c>
      <c r="AW11" s="4">
        <f t="shared" si="13"/>
        <v>-15.399999999999977</v>
      </c>
    </row>
    <row r="12" spans="1:49" s="4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5">
        <f t="shared" si="0"/>
        <v>14.492753623188406</v>
      </c>
      <c r="G12" s="3">
        <v>189.6</v>
      </c>
      <c r="H12" s="3">
        <v>190.9</v>
      </c>
      <c r="I12" s="15">
        <f t="shared" si="3"/>
        <v>100.68565400843883</v>
      </c>
      <c r="J12" s="3">
        <v>125.4</v>
      </c>
      <c r="K12" s="3">
        <v>84.5</v>
      </c>
      <c r="L12" s="15">
        <f t="shared" si="4"/>
        <v>67.38437001594896</v>
      </c>
      <c r="M12" s="3">
        <f t="shared" si="5"/>
        <v>556.5</v>
      </c>
      <c r="N12" s="3">
        <f t="shared" si="6"/>
        <v>310.4</v>
      </c>
      <c r="O12" s="15">
        <f t="shared" si="2"/>
        <v>55.77717879604671</v>
      </c>
      <c r="P12" s="3">
        <v>1.4</v>
      </c>
      <c r="Q12" s="3">
        <v>286.9</v>
      </c>
      <c r="R12" s="15">
        <f t="shared" si="14"/>
        <v>20492.85714285714</v>
      </c>
      <c r="S12" s="3">
        <v>0</v>
      </c>
      <c r="T12" s="3">
        <v>44.2</v>
      </c>
      <c r="U12" s="15"/>
      <c r="V12" s="3">
        <v>0</v>
      </c>
      <c r="W12" s="3">
        <v>40</v>
      </c>
      <c r="X12" s="15"/>
      <c r="Y12" s="3">
        <f t="shared" si="16"/>
        <v>1.4</v>
      </c>
      <c r="Z12" s="3">
        <f t="shared" si="17"/>
        <v>371.09999999999997</v>
      </c>
      <c r="AA12" s="15">
        <f t="shared" si="18"/>
        <v>26507.142857142855</v>
      </c>
      <c r="AB12" s="3">
        <v>0</v>
      </c>
      <c r="AC12" s="3">
        <v>38.1</v>
      </c>
      <c r="AD12" s="15"/>
      <c r="AE12" s="3">
        <v>0</v>
      </c>
      <c r="AF12" s="3">
        <v>38.3</v>
      </c>
      <c r="AG12" s="30" t="e">
        <f t="shared" si="7"/>
        <v>#DIV/0!</v>
      </c>
      <c r="AH12" s="3">
        <v>0</v>
      </c>
      <c r="AI12" s="3">
        <v>114.6</v>
      </c>
      <c r="AJ12" s="3">
        <f t="shared" si="8"/>
        <v>0</v>
      </c>
      <c r="AK12" s="3">
        <f t="shared" si="9"/>
        <v>191</v>
      </c>
      <c r="AL12" s="15" t="e">
        <f t="shared" si="19"/>
        <v>#DIV/0!</v>
      </c>
      <c r="AM12" s="3">
        <v>53.6</v>
      </c>
      <c r="AN12" s="3">
        <v>35.5</v>
      </c>
      <c r="AO12" s="3">
        <v>149.3</v>
      </c>
      <c r="AP12" s="3">
        <v>108.7</v>
      </c>
      <c r="AQ12" s="3">
        <v>230.2</v>
      </c>
      <c r="AR12" s="3">
        <v>400.9</v>
      </c>
      <c r="AS12" s="3">
        <f t="shared" si="10"/>
        <v>991</v>
      </c>
      <c r="AT12" s="3">
        <f t="shared" si="11"/>
        <v>1417.6</v>
      </c>
      <c r="AU12" s="15">
        <f>AT12/AS12*100</f>
        <v>143.04742684157418</v>
      </c>
      <c r="AV12" s="15">
        <f t="shared" si="12"/>
        <v>-426.5999999999999</v>
      </c>
      <c r="AW12" s="4">
        <f t="shared" si="13"/>
        <v>-61.09999999999991</v>
      </c>
    </row>
    <row r="13" spans="1:49" s="4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5">
        <f t="shared" si="0"/>
        <v>18.437900128040972</v>
      </c>
      <c r="G13" s="3">
        <v>68.8</v>
      </c>
      <c r="H13" s="3">
        <v>56.7</v>
      </c>
      <c r="I13" s="15">
        <f t="shared" si="3"/>
        <v>82.41279069767442</v>
      </c>
      <c r="J13" s="3">
        <v>44.7</v>
      </c>
      <c r="K13" s="3">
        <v>58.9</v>
      </c>
      <c r="L13" s="15">
        <f t="shared" si="4"/>
        <v>131.76733780760625</v>
      </c>
      <c r="M13" s="3">
        <f t="shared" si="5"/>
        <v>191.59999999999997</v>
      </c>
      <c r="N13" s="3">
        <f t="shared" si="6"/>
        <v>130</v>
      </c>
      <c r="O13" s="15">
        <f t="shared" si="2"/>
        <v>67.84968684759917</v>
      </c>
      <c r="P13" s="3">
        <v>0</v>
      </c>
      <c r="Q13" s="3">
        <v>18.7</v>
      </c>
      <c r="R13" s="30" t="e">
        <f t="shared" si="14"/>
        <v>#DIV/0!</v>
      </c>
      <c r="S13" s="3">
        <v>0</v>
      </c>
      <c r="T13" s="3">
        <v>19.9</v>
      </c>
      <c r="U13" s="15"/>
      <c r="V13" s="3">
        <v>0</v>
      </c>
      <c r="W13" s="3">
        <v>16.8</v>
      </c>
      <c r="X13" s="15"/>
      <c r="Y13" s="3">
        <f t="shared" si="16"/>
        <v>0</v>
      </c>
      <c r="Z13" s="3">
        <f t="shared" si="17"/>
        <v>55.39999999999999</v>
      </c>
      <c r="AA13" s="30" t="e">
        <f t="shared" si="18"/>
        <v>#DIV/0!</v>
      </c>
      <c r="AB13" s="3">
        <v>0</v>
      </c>
      <c r="AC13" s="3">
        <v>16</v>
      </c>
      <c r="AD13" s="15"/>
      <c r="AE13" s="3">
        <v>0</v>
      </c>
      <c r="AF13" s="3">
        <v>15</v>
      </c>
      <c r="AG13" s="30" t="e">
        <f t="shared" si="7"/>
        <v>#DIV/0!</v>
      </c>
      <c r="AH13" s="3">
        <v>0</v>
      </c>
      <c r="AI13" s="3">
        <v>69.4</v>
      </c>
      <c r="AJ13" s="3">
        <f t="shared" si="8"/>
        <v>0</v>
      </c>
      <c r="AK13" s="3">
        <f t="shared" si="9"/>
        <v>100.4</v>
      </c>
      <c r="AL13" s="30" t="e">
        <f t="shared" si="19"/>
        <v>#DIV/0!</v>
      </c>
      <c r="AM13" s="3">
        <v>36.8</v>
      </c>
      <c r="AN13" s="3">
        <v>-14.2</v>
      </c>
      <c r="AO13" s="3">
        <v>100.3</v>
      </c>
      <c r="AP13" s="3">
        <v>21.9</v>
      </c>
      <c r="AQ13" s="3">
        <v>94.5</v>
      </c>
      <c r="AR13" s="3">
        <v>130.4</v>
      </c>
      <c r="AS13" s="3">
        <f t="shared" si="10"/>
        <v>423.2</v>
      </c>
      <c r="AT13" s="3">
        <f t="shared" si="11"/>
        <v>423.9</v>
      </c>
      <c r="AU13" s="15">
        <f>AT13/AS13*100</f>
        <v>100.16540642722116</v>
      </c>
      <c r="AV13" s="15">
        <f t="shared" si="12"/>
        <v>-0.6999999999999886</v>
      </c>
      <c r="AW13" s="4">
        <f t="shared" si="13"/>
        <v>98.60000000000002</v>
      </c>
    </row>
    <row r="14" spans="1:49" s="4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5">
        <f t="shared" si="0"/>
        <v>0</v>
      </c>
      <c r="G14" s="46">
        <v>165.5</v>
      </c>
      <c r="H14" s="46">
        <v>169.9</v>
      </c>
      <c r="I14" s="15">
        <f t="shared" si="3"/>
        <v>102.65861027190333</v>
      </c>
      <c r="J14" s="46">
        <v>116.8</v>
      </c>
      <c r="K14" s="46">
        <v>183.5</v>
      </c>
      <c r="L14" s="15">
        <f t="shared" si="4"/>
        <v>157.10616438356163</v>
      </c>
      <c r="M14" s="3">
        <f t="shared" si="5"/>
        <v>481.3</v>
      </c>
      <c r="N14" s="3">
        <f t="shared" si="6"/>
        <v>353.4</v>
      </c>
      <c r="O14" s="15">
        <f t="shared" si="2"/>
        <v>73.42613754415125</v>
      </c>
      <c r="P14" s="46">
        <v>1.5</v>
      </c>
      <c r="Q14" s="46">
        <v>16.9</v>
      </c>
      <c r="R14" s="15">
        <f t="shared" si="14"/>
        <v>1126.6666666666665</v>
      </c>
      <c r="S14" s="46">
        <v>0</v>
      </c>
      <c r="T14" s="46">
        <v>0</v>
      </c>
      <c r="U14" s="15"/>
      <c r="V14" s="46">
        <v>0</v>
      </c>
      <c r="W14" s="46">
        <v>1.1</v>
      </c>
      <c r="X14" s="15"/>
      <c r="Y14" s="3">
        <f t="shared" si="16"/>
        <v>1.5</v>
      </c>
      <c r="Z14" s="3">
        <f t="shared" si="17"/>
        <v>18</v>
      </c>
      <c r="AA14" s="15">
        <f t="shared" si="18"/>
        <v>1200</v>
      </c>
      <c r="AB14" s="46">
        <v>0</v>
      </c>
      <c r="AC14" s="46">
        <v>0</v>
      </c>
      <c r="AD14" s="15"/>
      <c r="AE14" s="46">
        <v>0</v>
      </c>
      <c r="AF14" s="46">
        <v>14.8</v>
      </c>
      <c r="AG14" s="35" t="e">
        <f t="shared" si="7"/>
        <v>#DIV/0!</v>
      </c>
      <c r="AH14" s="46">
        <v>0</v>
      </c>
      <c r="AI14" s="46">
        <v>31.1</v>
      </c>
      <c r="AJ14" s="3">
        <f t="shared" si="8"/>
        <v>0</v>
      </c>
      <c r="AK14" s="3">
        <f t="shared" si="9"/>
        <v>45.900000000000006</v>
      </c>
      <c r="AL14" s="15" t="e">
        <f t="shared" si="19"/>
        <v>#DIV/0!</v>
      </c>
      <c r="AM14" s="46">
        <v>47.6</v>
      </c>
      <c r="AN14" s="46">
        <v>65.4</v>
      </c>
      <c r="AO14" s="46">
        <v>127.8</v>
      </c>
      <c r="AP14" s="46">
        <v>28.5</v>
      </c>
      <c r="AQ14" s="46">
        <v>136.4</v>
      </c>
      <c r="AR14" s="46">
        <v>335.3</v>
      </c>
      <c r="AS14" s="3">
        <f t="shared" si="10"/>
        <v>794.5999999999999</v>
      </c>
      <c r="AT14" s="3">
        <f t="shared" si="11"/>
        <v>846.5</v>
      </c>
      <c r="AU14" s="15">
        <f aca="true" t="shared" si="20" ref="AU14:AU22">AT14/AS14*100</f>
        <v>106.53158822048832</v>
      </c>
      <c r="AV14" s="15">
        <f t="shared" si="12"/>
        <v>-51.90000000000009</v>
      </c>
      <c r="AW14" s="4">
        <f t="shared" si="13"/>
        <v>-56.100000000000136</v>
      </c>
    </row>
    <row r="15" spans="1:49" s="4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5">
        <f t="shared" si="0"/>
        <v>1.0392849719393056</v>
      </c>
      <c r="G15" s="3">
        <v>357.2</v>
      </c>
      <c r="H15" s="3">
        <v>403.4</v>
      </c>
      <c r="I15" s="15">
        <f t="shared" si="3"/>
        <v>112.9339305711086</v>
      </c>
      <c r="J15" s="3">
        <v>243</v>
      </c>
      <c r="K15" s="3">
        <v>334.5</v>
      </c>
      <c r="L15" s="15">
        <f t="shared" si="4"/>
        <v>137.6543209876543</v>
      </c>
      <c r="M15" s="3">
        <f t="shared" si="5"/>
        <v>1081.3</v>
      </c>
      <c r="N15" s="3">
        <f t="shared" si="6"/>
        <v>742.9</v>
      </c>
      <c r="O15" s="15">
        <f t="shared" si="2"/>
        <v>68.70433737168223</v>
      </c>
      <c r="P15" s="3">
        <v>13.2</v>
      </c>
      <c r="Q15" s="3">
        <v>235.9</v>
      </c>
      <c r="R15" s="15">
        <f t="shared" si="14"/>
        <v>1787.121212121212</v>
      </c>
      <c r="S15" s="3">
        <v>0</v>
      </c>
      <c r="T15" s="3">
        <v>0</v>
      </c>
      <c r="U15" s="15"/>
      <c r="V15" s="3">
        <v>0</v>
      </c>
      <c r="W15" s="3">
        <v>0</v>
      </c>
      <c r="X15" s="15"/>
      <c r="Y15" s="3">
        <f t="shared" si="16"/>
        <v>13.2</v>
      </c>
      <c r="Z15" s="3">
        <f t="shared" si="17"/>
        <v>235.9</v>
      </c>
      <c r="AA15" s="15">
        <f t="shared" si="18"/>
        <v>1787.121212121212</v>
      </c>
      <c r="AB15" s="3">
        <v>0</v>
      </c>
      <c r="AC15" s="3">
        <v>0</v>
      </c>
      <c r="AD15" s="15"/>
      <c r="AE15" s="3">
        <v>0</v>
      </c>
      <c r="AF15" s="3">
        <v>0</v>
      </c>
      <c r="AG15" s="30" t="e">
        <f t="shared" si="7"/>
        <v>#DIV/0!</v>
      </c>
      <c r="AH15" s="3">
        <v>0</v>
      </c>
      <c r="AI15" s="3">
        <v>98.1</v>
      </c>
      <c r="AJ15" s="3">
        <f t="shared" si="8"/>
        <v>0</v>
      </c>
      <c r="AK15" s="3">
        <f t="shared" si="9"/>
        <v>98.1</v>
      </c>
      <c r="AL15" s="15" t="e">
        <f t="shared" si="19"/>
        <v>#DIV/0!</v>
      </c>
      <c r="AM15" s="3">
        <v>139.6</v>
      </c>
      <c r="AN15" s="3">
        <v>0</v>
      </c>
      <c r="AO15" s="3">
        <v>392.9</v>
      </c>
      <c r="AP15" s="3">
        <v>118.1</v>
      </c>
      <c r="AQ15" s="3">
        <v>404.3</v>
      </c>
      <c r="AR15" s="3">
        <v>674.1</v>
      </c>
      <c r="AS15" s="3">
        <f t="shared" si="10"/>
        <v>2031.3</v>
      </c>
      <c r="AT15" s="3">
        <f t="shared" si="11"/>
        <v>1869.1</v>
      </c>
      <c r="AU15" s="15">
        <f t="shared" si="20"/>
        <v>92.01496578545758</v>
      </c>
      <c r="AV15" s="15">
        <f t="shared" si="12"/>
        <v>162.20000000000005</v>
      </c>
      <c r="AW15" s="4">
        <f t="shared" si="13"/>
        <v>158.70000000000005</v>
      </c>
    </row>
    <row r="16" spans="1:49" s="4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5">
        <f t="shared" si="0"/>
        <v>0</v>
      </c>
      <c r="G16" s="3">
        <v>73.3</v>
      </c>
      <c r="H16" s="3">
        <v>50</v>
      </c>
      <c r="I16" s="15">
        <f t="shared" si="3"/>
        <v>68.21282401091405</v>
      </c>
      <c r="J16" s="3">
        <v>48.7</v>
      </c>
      <c r="K16" s="3">
        <v>76.1</v>
      </c>
      <c r="L16" s="15">
        <f t="shared" si="4"/>
        <v>156.26283367556465</v>
      </c>
      <c r="M16" s="3">
        <f t="shared" si="5"/>
        <v>156.7</v>
      </c>
      <c r="N16" s="3">
        <f t="shared" si="6"/>
        <v>126.1</v>
      </c>
      <c r="O16" s="15">
        <f t="shared" si="2"/>
        <v>80.47223994894703</v>
      </c>
      <c r="P16" s="3">
        <v>0</v>
      </c>
      <c r="Q16" s="3">
        <v>2</v>
      </c>
      <c r="R16" s="30" t="e">
        <f t="shared" si="14"/>
        <v>#DIV/0!</v>
      </c>
      <c r="S16" s="3">
        <v>0</v>
      </c>
      <c r="T16" s="3">
        <v>1.7</v>
      </c>
      <c r="U16" s="30" t="e">
        <f t="shared" si="15"/>
        <v>#DIV/0!</v>
      </c>
      <c r="V16" s="3">
        <v>0</v>
      </c>
      <c r="W16" s="3">
        <v>0</v>
      </c>
      <c r="X16" s="30" t="e">
        <f>W16/V16*100</f>
        <v>#DIV/0!</v>
      </c>
      <c r="Y16" s="3">
        <f t="shared" si="16"/>
        <v>0</v>
      </c>
      <c r="Z16" s="3">
        <f t="shared" si="17"/>
        <v>3.7</v>
      </c>
      <c r="AA16" s="30" t="e">
        <f t="shared" si="18"/>
        <v>#DIV/0!</v>
      </c>
      <c r="AB16" s="3">
        <v>0</v>
      </c>
      <c r="AC16" s="3">
        <v>0</v>
      </c>
      <c r="AD16" s="30" t="e">
        <f>AC16/AB16*100</f>
        <v>#DIV/0!</v>
      </c>
      <c r="AE16" s="3">
        <v>0</v>
      </c>
      <c r="AF16" s="3">
        <v>0</v>
      </c>
      <c r="AG16" s="30"/>
      <c r="AH16" s="3">
        <v>0</v>
      </c>
      <c r="AI16" s="3">
        <v>25.9</v>
      </c>
      <c r="AJ16" s="3">
        <f t="shared" si="8"/>
        <v>0</v>
      </c>
      <c r="AK16" s="3">
        <f t="shared" si="9"/>
        <v>25.9</v>
      </c>
      <c r="AL16" s="30" t="e">
        <f t="shared" si="19"/>
        <v>#DIV/0!</v>
      </c>
      <c r="AM16" s="3">
        <v>2.9</v>
      </c>
      <c r="AN16" s="3">
        <v>0</v>
      </c>
      <c r="AO16" s="3">
        <v>44.7</v>
      </c>
      <c r="AP16" s="3">
        <v>17.1</v>
      </c>
      <c r="AQ16" s="3">
        <v>55.2</v>
      </c>
      <c r="AR16" s="3">
        <v>82.6</v>
      </c>
      <c r="AS16" s="3">
        <f t="shared" si="10"/>
        <v>259.5</v>
      </c>
      <c r="AT16" s="3">
        <f t="shared" si="11"/>
        <v>255.39999999999998</v>
      </c>
      <c r="AU16" s="15">
        <f t="shared" si="20"/>
        <v>98.42003853564546</v>
      </c>
      <c r="AV16" s="15">
        <f t="shared" si="12"/>
        <v>4.100000000000023</v>
      </c>
      <c r="AW16" s="4">
        <f t="shared" si="13"/>
        <v>9.400000000000034</v>
      </c>
    </row>
    <row r="17" spans="1:49" s="45" customFormat="1" ht="24" customHeight="1">
      <c r="A17" s="6">
        <v>10</v>
      </c>
      <c r="B17" s="16" t="s">
        <v>55</v>
      </c>
      <c r="C17" s="2">
        <v>989.9</v>
      </c>
      <c r="D17" s="3">
        <v>706</v>
      </c>
      <c r="E17" s="3">
        <v>0</v>
      </c>
      <c r="F17" s="15">
        <f t="shared" si="0"/>
        <v>0</v>
      </c>
      <c r="G17" s="3">
        <v>604.5</v>
      </c>
      <c r="H17" s="3">
        <v>59.7</v>
      </c>
      <c r="I17" s="15">
        <f t="shared" si="3"/>
        <v>9.875930521091812</v>
      </c>
      <c r="J17" s="3">
        <v>108.3</v>
      </c>
      <c r="K17" s="3">
        <v>339.2</v>
      </c>
      <c r="L17" s="15">
        <f t="shared" si="4"/>
        <v>313.2040627885503</v>
      </c>
      <c r="M17" s="3">
        <f t="shared" si="5"/>
        <v>1418.8</v>
      </c>
      <c r="N17" s="3">
        <f t="shared" si="6"/>
        <v>398.9</v>
      </c>
      <c r="O17" s="15">
        <f t="shared" si="2"/>
        <v>28.115308711587257</v>
      </c>
      <c r="P17" s="3">
        <v>0.4</v>
      </c>
      <c r="Q17" s="3">
        <v>170.4</v>
      </c>
      <c r="R17" s="15">
        <f t="shared" si="14"/>
        <v>42600</v>
      </c>
      <c r="S17" s="3">
        <v>0</v>
      </c>
      <c r="T17" s="3">
        <v>150</v>
      </c>
      <c r="U17" s="15"/>
      <c r="V17" s="3">
        <v>0</v>
      </c>
      <c r="W17" s="3">
        <v>150</v>
      </c>
      <c r="X17" s="15"/>
      <c r="Y17" s="3">
        <f t="shared" si="16"/>
        <v>0.4</v>
      </c>
      <c r="Z17" s="3">
        <f t="shared" si="17"/>
        <v>470.4</v>
      </c>
      <c r="AA17" s="15">
        <f t="shared" si="18"/>
        <v>117599.99999999997</v>
      </c>
      <c r="AB17" s="3">
        <v>0</v>
      </c>
      <c r="AC17" s="3">
        <v>161.2</v>
      </c>
      <c r="AD17" s="15"/>
      <c r="AE17" s="3">
        <v>0</v>
      </c>
      <c r="AF17" s="3">
        <v>0</v>
      </c>
      <c r="AG17" s="30" t="e">
        <f>AF17/AE17*100</f>
        <v>#DIV/0!</v>
      </c>
      <c r="AH17" s="3">
        <v>0</v>
      </c>
      <c r="AI17" s="3">
        <v>200</v>
      </c>
      <c r="AJ17" s="3">
        <f t="shared" si="8"/>
        <v>0</v>
      </c>
      <c r="AK17" s="3">
        <f t="shared" si="9"/>
        <v>361.2</v>
      </c>
      <c r="AL17" s="15" t="e">
        <f t="shared" si="19"/>
        <v>#DIV/0!</v>
      </c>
      <c r="AM17" s="3">
        <v>25.6</v>
      </c>
      <c r="AN17" s="3">
        <v>650</v>
      </c>
      <c r="AO17" s="3">
        <v>419.5</v>
      </c>
      <c r="AP17" s="3">
        <f>528.9+0</f>
        <v>528.9</v>
      </c>
      <c r="AQ17" s="3">
        <v>553.7</v>
      </c>
      <c r="AR17" s="3">
        <v>1519.4</v>
      </c>
      <c r="AS17" s="3">
        <f t="shared" si="10"/>
        <v>2418</v>
      </c>
      <c r="AT17" s="3">
        <f t="shared" si="11"/>
        <v>3928.8</v>
      </c>
      <c r="AU17" s="15">
        <f t="shared" si="20"/>
        <v>162.48138957816377</v>
      </c>
      <c r="AV17" s="15">
        <f t="shared" si="12"/>
        <v>-1510.8000000000002</v>
      </c>
      <c r="AW17" s="4">
        <f t="shared" si="13"/>
        <v>-520.9000000000001</v>
      </c>
    </row>
    <row r="18" spans="1:49" ht="24" customHeight="1">
      <c r="A18" s="6">
        <v>11</v>
      </c>
      <c r="B18" s="16" t="s">
        <v>56</v>
      </c>
      <c r="C18" s="2">
        <v>54.3</v>
      </c>
      <c r="D18" s="3">
        <v>172.6</v>
      </c>
      <c r="E18" s="3">
        <v>25.8</v>
      </c>
      <c r="F18" s="15">
        <f t="shared" si="0"/>
        <v>14.947856315179605</v>
      </c>
      <c r="G18" s="3">
        <v>128.4</v>
      </c>
      <c r="H18" s="3">
        <v>41.2</v>
      </c>
      <c r="I18" s="15">
        <f t="shared" si="3"/>
        <v>32.08722741433022</v>
      </c>
      <c r="J18" s="3">
        <v>57.7</v>
      </c>
      <c r="K18" s="3">
        <v>126.2</v>
      </c>
      <c r="L18" s="15">
        <f t="shared" si="4"/>
        <v>218.7175043327556</v>
      </c>
      <c r="M18" s="3">
        <f t="shared" si="5"/>
        <v>358.7</v>
      </c>
      <c r="N18" s="3">
        <f t="shared" si="6"/>
        <v>193.2</v>
      </c>
      <c r="O18" s="15">
        <f t="shared" si="2"/>
        <v>53.86116531920825</v>
      </c>
      <c r="P18" s="3"/>
      <c r="Q18" s="3"/>
      <c r="R18" s="30" t="e">
        <f t="shared" si="14"/>
        <v>#DIV/0!</v>
      </c>
      <c r="S18" s="3"/>
      <c r="T18" s="3"/>
      <c r="U18" s="30" t="e">
        <f t="shared" si="15"/>
        <v>#DIV/0!</v>
      </c>
      <c r="V18" s="3"/>
      <c r="W18" s="3"/>
      <c r="X18" s="30" t="e">
        <f>W18/V18*100</f>
        <v>#DIV/0!</v>
      </c>
      <c r="Y18" s="3">
        <f t="shared" si="16"/>
        <v>0</v>
      </c>
      <c r="Z18" s="3">
        <f t="shared" si="17"/>
        <v>0</v>
      </c>
      <c r="AA18" s="30" t="e">
        <f t="shared" si="18"/>
        <v>#DIV/0!</v>
      </c>
      <c r="AB18" s="3"/>
      <c r="AC18" s="3"/>
      <c r="AD18" s="30" t="e">
        <f>AC18/AB18*100</f>
        <v>#DIV/0!</v>
      </c>
      <c r="AE18" s="3"/>
      <c r="AF18" s="3"/>
      <c r="AG18" s="30" t="e">
        <f>AF18/AE18*100</f>
        <v>#DIV/0!</v>
      </c>
      <c r="AH18" s="3"/>
      <c r="AI18" s="3"/>
      <c r="AJ18" s="3">
        <f t="shared" si="8"/>
        <v>0</v>
      </c>
      <c r="AK18" s="3">
        <f t="shared" si="9"/>
        <v>0</v>
      </c>
      <c r="AL18" s="30" t="e">
        <f t="shared" si="19"/>
        <v>#DIV/0!</v>
      </c>
      <c r="AM18" s="3">
        <v>12.3</v>
      </c>
      <c r="AN18" s="3">
        <v>59.9</v>
      </c>
      <c r="AO18" s="3">
        <v>93.3</v>
      </c>
      <c r="AP18" s="3">
        <v>210.2</v>
      </c>
      <c r="AQ18" s="3">
        <v>127.5</v>
      </c>
      <c r="AR18" s="3">
        <v>147.2</v>
      </c>
      <c r="AS18" s="3">
        <f t="shared" si="10"/>
        <v>591.8</v>
      </c>
      <c r="AT18" s="3">
        <f t="shared" si="11"/>
        <v>610.5</v>
      </c>
      <c r="AU18" s="15">
        <f t="shared" si="20"/>
        <v>103.15985130111525</v>
      </c>
      <c r="AV18" s="15">
        <f t="shared" si="12"/>
        <v>-18.700000000000045</v>
      </c>
      <c r="AW18" s="4">
        <f t="shared" si="13"/>
        <v>35.59999999999991</v>
      </c>
    </row>
    <row r="19" spans="1:49" s="4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5">
        <f t="shared" si="0"/>
        <v>27.344521224086872</v>
      </c>
      <c r="G19" s="3">
        <v>247.7</v>
      </c>
      <c r="H19" s="3">
        <v>127.4</v>
      </c>
      <c r="I19" s="15">
        <f t="shared" si="3"/>
        <v>51.433185304804205</v>
      </c>
      <c r="J19" s="3">
        <v>132.4</v>
      </c>
      <c r="K19" s="3">
        <v>162.4</v>
      </c>
      <c r="L19" s="15">
        <f t="shared" si="4"/>
        <v>122.65861027190333</v>
      </c>
      <c r="M19" s="3">
        <f t="shared" si="5"/>
        <v>582.6999999999999</v>
      </c>
      <c r="N19" s="3">
        <f t="shared" si="6"/>
        <v>345.20000000000005</v>
      </c>
      <c r="O19" s="15">
        <f t="shared" si="2"/>
        <v>59.241462158915404</v>
      </c>
      <c r="P19" s="3"/>
      <c r="Q19" s="3"/>
      <c r="R19" s="30" t="e">
        <f t="shared" si="14"/>
        <v>#DIV/0!</v>
      </c>
      <c r="S19" s="3"/>
      <c r="T19" s="3"/>
      <c r="U19" s="30" t="e">
        <f t="shared" si="15"/>
        <v>#DIV/0!</v>
      </c>
      <c r="V19" s="3"/>
      <c r="W19" s="3"/>
      <c r="X19" s="30" t="e">
        <f>W19/V19*100</f>
        <v>#DIV/0!</v>
      </c>
      <c r="Y19" s="3">
        <f t="shared" si="16"/>
        <v>0</v>
      </c>
      <c r="Z19" s="3">
        <f t="shared" si="17"/>
        <v>0</v>
      </c>
      <c r="AA19" s="30" t="e">
        <f t="shared" si="18"/>
        <v>#DIV/0!</v>
      </c>
      <c r="AB19" s="3"/>
      <c r="AC19" s="3"/>
      <c r="AD19" s="30" t="e">
        <f>AC19/AB19*100</f>
        <v>#DIV/0!</v>
      </c>
      <c r="AE19" s="3"/>
      <c r="AF19" s="3"/>
      <c r="AG19" s="30" t="e">
        <f>AF19/AE19*100</f>
        <v>#DIV/0!</v>
      </c>
      <c r="AH19" s="3"/>
      <c r="AI19" s="3"/>
      <c r="AJ19" s="3">
        <f t="shared" si="8"/>
        <v>0</v>
      </c>
      <c r="AK19" s="3">
        <f t="shared" si="9"/>
        <v>0</v>
      </c>
      <c r="AL19" s="30" t="e">
        <f t="shared" si="19"/>
        <v>#DIV/0!</v>
      </c>
      <c r="AM19" s="3">
        <v>41</v>
      </c>
      <c r="AN19" s="3">
        <v>8.8</v>
      </c>
      <c r="AO19" s="3">
        <v>144.1</v>
      </c>
      <c r="AP19" s="3">
        <v>273</v>
      </c>
      <c r="AQ19" s="3">
        <v>226.3</v>
      </c>
      <c r="AR19" s="3">
        <v>346.4</v>
      </c>
      <c r="AS19" s="3">
        <f t="shared" si="10"/>
        <v>994.0999999999999</v>
      </c>
      <c r="AT19" s="3">
        <f t="shared" si="11"/>
        <v>973.4</v>
      </c>
      <c r="AU19" s="15">
        <f t="shared" si="20"/>
        <v>97.9177145156423</v>
      </c>
      <c r="AV19" s="15">
        <f t="shared" si="12"/>
        <v>20.699999999999932</v>
      </c>
      <c r="AW19" s="4">
        <f t="shared" si="13"/>
        <v>22.299999999999955</v>
      </c>
    </row>
    <row r="20" spans="1:49" s="45" customFormat="1" ht="24" customHeight="1">
      <c r="A20" s="6">
        <v>13</v>
      </c>
      <c r="B20" s="16" t="s">
        <v>57</v>
      </c>
      <c r="C20" s="2">
        <v>0</v>
      </c>
      <c r="D20" s="23">
        <v>0</v>
      </c>
      <c r="E20" s="23">
        <v>0</v>
      </c>
      <c r="F20" s="30" t="e">
        <f t="shared" si="0"/>
        <v>#DIV/0!</v>
      </c>
      <c r="G20" s="23"/>
      <c r="H20" s="23"/>
      <c r="I20" s="15" t="e">
        <f t="shared" si="3"/>
        <v>#DIV/0!</v>
      </c>
      <c r="J20" s="23"/>
      <c r="K20" s="23"/>
      <c r="L20" s="15"/>
      <c r="M20" s="3"/>
      <c r="N20" s="3"/>
      <c r="O20" s="30" t="e">
        <f t="shared" si="2"/>
        <v>#DIV/0!</v>
      </c>
      <c r="P20" s="23"/>
      <c r="Q20" s="23"/>
      <c r="R20" s="15"/>
      <c r="S20" s="23"/>
      <c r="T20" s="23"/>
      <c r="U20" s="15"/>
      <c r="V20" s="23"/>
      <c r="W20" s="23"/>
      <c r="X20" s="15"/>
      <c r="Y20" s="3"/>
      <c r="Z20" s="3"/>
      <c r="AA20" s="30" t="e">
        <f t="shared" si="18"/>
        <v>#DIV/0!</v>
      </c>
      <c r="AB20" s="23"/>
      <c r="AC20" s="23"/>
      <c r="AD20" s="15"/>
      <c r="AE20" s="23"/>
      <c r="AF20" s="23"/>
      <c r="AG20" s="30"/>
      <c r="AH20" s="23"/>
      <c r="AI20" s="23"/>
      <c r="AJ20" s="3"/>
      <c r="AK20" s="3"/>
      <c r="AL20" s="30" t="e">
        <f t="shared" si="19"/>
        <v>#DIV/0!</v>
      </c>
      <c r="AM20" s="23"/>
      <c r="AN20" s="23"/>
      <c r="AO20" s="23"/>
      <c r="AP20" s="23"/>
      <c r="AQ20" s="23"/>
      <c r="AR20" s="23"/>
      <c r="AS20" s="3"/>
      <c r="AT20" s="3"/>
      <c r="AU20" s="15"/>
      <c r="AV20" s="15">
        <f t="shared" si="12"/>
        <v>0</v>
      </c>
      <c r="AW20" s="4">
        <f t="shared" si="13"/>
        <v>0</v>
      </c>
    </row>
    <row r="21" spans="1:49" ht="24" customHeight="1">
      <c r="A21" s="6">
        <v>14</v>
      </c>
      <c r="B21" s="16" t="s">
        <v>58</v>
      </c>
      <c r="C21" s="2">
        <v>0</v>
      </c>
      <c r="D21" s="23"/>
      <c r="E21" s="23"/>
      <c r="F21" s="30" t="e">
        <f t="shared" si="0"/>
        <v>#DIV/0!</v>
      </c>
      <c r="G21" s="23"/>
      <c r="H21" s="23"/>
      <c r="I21" s="30" t="e">
        <f t="shared" si="3"/>
        <v>#DIV/0!</v>
      </c>
      <c r="J21" s="23"/>
      <c r="K21" s="23"/>
      <c r="L21" s="15"/>
      <c r="M21" s="3"/>
      <c r="N21" s="3"/>
      <c r="O21" s="30" t="e">
        <f t="shared" si="2"/>
        <v>#DIV/0!</v>
      </c>
      <c r="P21" s="23"/>
      <c r="Q21" s="23"/>
      <c r="R21" s="15"/>
      <c r="S21" s="23"/>
      <c r="T21" s="23"/>
      <c r="U21" s="15"/>
      <c r="V21" s="23"/>
      <c r="W21" s="23"/>
      <c r="X21" s="15"/>
      <c r="Y21" s="3"/>
      <c r="Z21" s="3"/>
      <c r="AA21" s="30" t="e">
        <f t="shared" si="18"/>
        <v>#DIV/0!</v>
      </c>
      <c r="AB21" s="23"/>
      <c r="AC21" s="23"/>
      <c r="AD21" s="15"/>
      <c r="AE21" s="23"/>
      <c r="AF21" s="23"/>
      <c r="AG21" s="30"/>
      <c r="AH21" s="23"/>
      <c r="AI21" s="23"/>
      <c r="AJ21" s="3"/>
      <c r="AK21" s="3"/>
      <c r="AL21" s="30" t="e">
        <f t="shared" si="19"/>
        <v>#DIV/0!</v>
      </c>
      <c r="AM21" s="23"/>
      <c r="AN21" s="23"/>
      <c r="AO21" s="23"/>
      <c r="AP21" s="23"/>
      <c r="AQ21" s="23"/>
      <c r="AR21" s="23"/>
      <c r="AS21" s="3"/>
      <c r="AT21" s="3"/>
      <c r="AU21" s="15"/>
      <c r="AV21" s="15">
        <f t="shared" si="12"/>
        <v>0</v>
      </c>
      <c r="AW21" s="4">
        <f t="shared" si="13"/>
        <v>0</v>
      </c>
    </row>
    <row r="22" spans="1:49" ht="31.5" customHeight="1">
      <c r="A22" s="6">
        <v>15</v>
      </c>
      <c r="B22" s="16" t="s">
        <v>59</v>
      </c>
      <c r="C22" s="2">
        <v>198.4</v>
      </c>
      <c r="D22" s="3">
        <v>85.8</v>
      </c>
      <c r="E22" s="3">
        <v>13.4</v>
      </c>
      <c r="F22" s="15">
        <f>E22/D22*100</f>
        <v>15.61771561771562</v>
      </c>
      <c r="G22" s="46">
        <v>99</v>
      </c>
      <c r="H22" s="46">
        <v>26.3</v>
      </c>
      <c r="I22" s="15">
        <f t="shared" si="3"/>
        <v>26.565656565656564</v>
      </c>
      <c r="J22" s="46">
        <v>55</v>
      </c>
      <c r="K22" s="46">
        <v>99.6</v>
      </c>
      <c r="L22" s="15">
        <f t="shared" si="4"/>
        <v>181.0909090909091</v>
      </c>
      <c r="M22" s="3">
        <f t="shared" si="5"/>
        <v>239.8</v>
      </c>
      <c r="N22" s="3">
        <f t="shared" si="6"/>
        <v>139.3</v>
      </c>
      <c r="O22" s="15">
        <f t="shared" si="2"/>
        <v>58.090075062552124</v>
      </c>
      <c r="P22" s="46">
        <v>0</v>
      </c>
      <c r="Q22" s="46">
        <v>71.6</v>
      </c>
      <c r="R22" s="30" t="e">
        <f>Q22/P22*100</f>
        <v>#DIV/0!</v>
      </c>
      <c r="S22" s="46">
        <v>0</v>
      </c>
      <c r="T22" s="46">
        <v>44.6</v>
      </c>
      <c r="U22" s="30" t="e">
        <f>T22/S22*100</f>
        <v>#DIV/0!</v>
      </c>
      <c r="V22" s="46">
        <v>0</v>
      </c>
      <c r="W22" s="46">
        <v>31.9</v>
      </c>
      <c r="X22" s="30" t="e">
        <f>W22/V22*100</f>
        <v>#DIV/0!</v>
      </c>
      <c r="Y22" s="3">
        <f>P22+S22+V22</f>
        <v>0</v>
      </c>
      <c r="Z22" s="3">
        <f>Q22+T22+W22</f>
        <v>148.1</v>
      </c>
      <c r="AA22" s="30" t="e">
        <f t="shared" si="18"/>
        <v>#DIV/0!</v>
      </c>
      <c r="AB22" s="46">
        <v>0</v>
      </c>
      <c r="AC22" s="46">
        <v>28.9</v>
      </c>
      <c r="AD22" s="30" t="e">
        <f>AC22/AB22*100</f>
        <v>#DIV/0!</v>
      </c>
      <c r="AE22" s="3">
        <v>0</v>
      </c>
      <c r="AF22" s="3">
        <v>31.9</v>
      </c>
      <c r="AG22" s="30"/>
      <c r="AH22" s="3">
        <v>0</v>
      </c>
      <c r="AI22" s="3">
        <v>35.6</v>
      </c>
      <c r="AJ22" s="3">
        <f t="shared" si="8"/>
        <v>0</v>
      </c>
      <c r="AK22" s="3">
        <f t="shared" si="9"/>
        <v>96.4</v>
      </c>
      <c r="AL22" s="30" t="e">
        <f t="shared" si="19"/>
        <v>#DIV/0!</v>
      </c>
      <c r="AM22" s="3">
        <v>20.6</v>
      </c>
      <c r="AN22" s="3">
        <v>41.2</v>
      </c>
      <c r="AO22" s="3">
        <v>65.4</v>
      </c>
      <c r="AP22" s="3">
        <v>44.4</v>
      </c>
      <c r="AQ22" s="3">
        <v>75.1</v>
      </c>
      <c r="AR22" s="3">
        <v>98.6</v>
      </c>
      <c r="AS22" s="3">
        <f t="shared" si="10"/>
        <v>400.9000000000001</v>
      </c>
      <c r="AT22" s="3">
        <f t="shared" si="11"/>
        <v>567.9999999999999</v>
      </c>
      <c r="AU22" s="15">
        <f t="shared" si="20"/>
        <v>141.68121726116232</v>
      </c>
      <c r="AV22" s="15">
        <f t="shared" si="12"/>
        <v>-167.0999999999998</v>
      </c>
      <c r="AW22" s="4">
        <f t="shared" si="13"/>
        <v>31.300000000000182</v>
      </c>
    </row>
    <row r="23" spans="1:49" ht="22.5" customHeight="1">
      <c r="A23" s="6">
        <v>16</v>
      </c>
      <c r="B23" s="16" t="s">
        <v>60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"/>
      <c r="N23" s="3"/>
      <c r="O23" s="30" t="e">
        <f t="shared" si="2"/>
        <v>#DIV/0!</v>
      </c>
      <c r="P23" s="47"/>
      <c r="Q23" s="47"/>
      <c r="R23" s="47"/>
      <c r="S23" s="47"/>
      <c r="T23" s="47"/>
      <c r="U23" s="47"/>
      <c r="V23" s="47"/>
      <c r="W23" s="47"/>
      <c r="X23" s="47"/>
      <c r="Y23" s="3"/>
      <c r="Z23" s="3"/>
      <c r="AA23" s="30" t="e">
        <f t="shared" si="18"/>
        <v>#DIV/0!</v>
      </c>
      <c r="AB23" s="47"/>
      <c r="AC23" s="47"/>
      <c r="AD23" s="47"/>
      <c r="AE23" s="92"/>
      <c r="AF23" s="92"/>
      <c r="AG23" s="112"/>
      <c r="AH23" s="92"/>
      <c r="AI23" s="92"/>
      <c r="AJ23" s="3"/>
      <c r="AK23" s="3"/>
      <c r="AL23" s="30" t="e">
        <f t="shared" si="19"/>
        <v>#DIV/0!</v>
      </c>
      <c r="AM23" s="92"/>
      <c r="AN23" s="92"/>
      <c r="AO23" s="92"/>
      <c r="AP23" s="92"/>
      <c r="AQ23" s="92"/>
      <c r="AR23" s="92"/>
      <c r="AS23" s="3"/>
      <c r="AT23" s="3"/>
      <c r="AU23" s="47"/>
      <c r="AV23" s="15">
        <f t="shared" si="12"/>
        <v>0</v>
      </c>
      <c r="AW23" s="4">
        <f t="shared" si="13"/>
        <v>0</v>
      </c>
    </row>
    <row r="24" spans="1:49" s="45" customFormat="1" ht="36.75" customHeight="1">
      <c r="A24" s="6">
        <v>17</v>
      </c>
      <c r="B24" s="16" t="s">
        <v>61</v>
      </c>
      <c r="C24" s="2">
        <v>173.5</v>
      </c>
      <c r="D24" s="3">
        <v>520.5</v>
      </c>
      <c r="E24" s="3">
        <v>46</v>
      </c>
      <c r="F24" s="15">
        <f>E24/D24*100</f>
        <v>8.837656099903938</v>
      </c>
      <c r="G24" s="3">
        <v>406.7</v>
      </c>
      <c r="H24" s="3">
        <v>276.7</v>
      </c>
      <c r="I24" s="15">
        <f>H24/G24*100</f>
        <v>68.03540693385787</v>
      </c>
      <c r="J24" s="3">
        <v>167</v>
      </c>
      <c r="K24" s="3">
        <v>172.8</v>
      </c>
      <c r="L24" s="15">
        <f>K24/J24*100</f>
        <v>103.47305389221557</v>
      </c>
      <c r="M24" s="3">
        <f t="shared" si="5"/>
        <v>1094.2</v>
      </c>
      <c r="N24" s="3">
        <f t="shared" si="6"/>
        <v>495.5</v>
      </c>
      <c r="O24" s="15">
        <f t="shared" si="2"/>
        <v>45.28422591847925</v>
      </c>
      <c r="P24" s="3">
        <v>0</v>
      </c>
      <c r="Q24" s="3">
        <v>40</v>
      </c>
      <c r="R24" s="30" t="e">
        <f>Q24/P24*100</f>
        <v>#DIV/0!</v>
      </c>
      <c r="S24" s="3">
        <v>0</v>
      </c>
      <c r="T24" s="3">
        <v>87.1</v>
      </c>
      <c r="U24" s="30" t="e">
        <f>T24/S24*100</f>
        <v>#DIV/0!</v>
      </c>
      <c r="V24" s="3">
        <v>0</v>
      </c>
      <c r="W24" s="3">
        <v>51.9</v>
      </c>
      <c r="X24" s="30" t="e">
        <f>W24/V24*100</f>
        <v>#DIV/0!</v>
      </c>
      <c r="Y24" s="3">
        <f>P24+S24+V24</f>
        <v>0</v>
      </c>
      <c r="Z24" s="3">
        <f>Q24+T24+W24</f>
        <v>179</v>
      </c>
      <c r="AA24" s="30" t="e">
        <f t="shared" si="18"/>
        <v>#DIV/0!</v>
      </c>
      <c r="AB24" s="3">
        <v>0</v>
      </c>
      <c r="AC24" s="3">
        <v>103.5</v>
      </c>
      <c r="AD24" s="30" t="e">
        <f>AC24/AB24*100</f>
        <v>#DIV/0!</v>
      </c>
      <c r="AE24" s="3">
        <v>0</v>
      </c>
      <c r="AF24" s="3">
        <v>180.7</v>
      </c>
      <c r="AG24" s="30" t="e">
        <f>AF24/AE24*100</f>
        <v>#DIV/0!</v>
      </c>
      <c r="AH24" s="3">
        <v>0</v>
      </c>
      <c r="AI24" s="3">
        <v>163.3</v>
      </c>
      <c r="AJ24" s="3">
        <f t="shared" si="8"/>
        <v>0</v>
      </c>
      <c r="AK24" s="3">
        <f t="shared" si="9"/>
        <v>447.5</v>
      </c>
      <c r="AL24" s="30" t="e">
        <f t="shared" si="19"/>
        <v>#DIV/0!</v>
      </c>
      <c r="AM24" s="3">
        <v>54.6</v>
      </c>
      <c r="AN24" s="3">
        <v>33</v>
      </c>
      <c r="AO24" s="3">
        <v>449.1</v>
      </c>
      <c r="AP24" s="3">
        <v>162.3</v>
      </c>
      <c r="AQ24" s="3">
        <v>523.4</v>
      </c>
      <c r="AR24" s="3">
        <v>1162.4</v>
      </c>
      <c r="AS24" s="3">
        <f t="shared" si="10"/>
        <v>2121.3</v>
      </c>
      <c r="AT24" s="3">
        <f t="shared" si="11"/>
        <v>2479.7</v>
      </c>
      <c r="AU24" s="15">
        <f>AT24/AS24*100</f>
        <v>116.89530005185497</v>
      </c>
      <c r="AV24" s="15">
        <f t="shared" si="12"/>
        <v>-358.39999999999964</v>
      </c>
      <c r="AW24" s="4">
        <f t="shared" si="13"/>
        <v>-184.89999999999964</v>
      </c>
    </row>
    <row r="25" spans="1:49" s="4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5">
        <f>E25/D25*100</f>
        <v>7.171991842284162</v>
      </c>
      <c r="G25" s="46">
        <v>208.9</v>
      </c>
      <c r="H25" s="46">
        <v>182.7</v>
      </c>
      <c r="I25" s="15">
        <f>H25/G25*100</f>
        <v>87.45811393011009</v>
      </c>
      <c r="J25" s="46">
        <v>134.5</v>
      </c>
      <c r="K25" s="46">
        <v>98.4</v>
      </c>
      <c r="L25" s="15">
        <f>K25/J25*100</f>
        <v>73.15985130111524</v>
      </c>
      <c r="M25" s="3">
        <f t="shared" si="5"/>
        <v>637.6</v>
      </c>
      <c r="N25" s="3">
        <f t="shared" si="6"/>
        <v>302.2</v>
      </c>
      <c r="O25" s="15">
        <f t="shared" si="2"/>
        <v>47.39648682559598</v>
      </c>
      <c r="P25" s="46">
        <v>0</v>
      </c>
      <c r="Q25" s="46">
        <v>36.8</v>
      </c>
      <c r="R25" s="30" t="e">
        <f>Q25/P25*100</f>
        <v>#DIV/0!</v>
      </c>
      <c r="S25" s="46">
        <v>0</v>
      </c>
      <c r="T25" s="46">
        <v>95.4</v>
      </c>
      <c r="U25" s="30" t="e">
        <f>T25/S25*100</f>
        <v>#DIV/0!</v>
      </c>
      <c r="V25" s="46">
        <v>0</v>
      </c>
      <c r="W25" s="46">
        <v>34.2</v>
      </c>
      <c r="X25" s="30" t="e">
        <f>W25/V25*100</f>
        <v>#DIV/0!</v>
      </c>
      <c r="Y25" s="3">
        <f>P25+S25+V25</f>
        <v>0</v>
      </c>
      <c r="Z25" s="3">
        <f>Q25+T25+W25</f>
        <v>166.39999999999998</v>
      </c>
      <c r="AA25" s="30" t="e">
        <f t="shared" si="18"/>
        <v>#DIV/0!</v>
      </c>
      <c r="AB25" s="46">
        <v>0</v>
      </c>
      <c r="AC25" s="46">
        <v>17</v>
      </c>
      <c r="AD25" s="30" t="e">
        <f>AC25/AB25*100</f>
        <v>#DIV/0!</v>
      </c>
      <c r="AE25" s="3">
        <v>0</v>
      </c>
      <c r="AF25" s="3">
        <v>44.5</v>
      </c>
      <c r="AG25" s="15"/>
      <c r="AH25" s="3">
        <v>0</v>
      </c>
      <c r="AI25" s="3">
        <v>80.3</v>
      </c>
      <c r="AJ25" s="3">
        <f t="shared" si="8"/>
        <v>0</v>
      </c>
      <c r="AK25" s="3">
        <f t="shared" si="9"/>
        <v>141.8</v>
      </c>
      <c r="AL25" s="30" t="e">
        <f t="shared" si="19"/>
        <v>#DIV/0!</v>
      </c>
      <c r="AM25" s="3">
        <v>63.2</v>
      </c>
      <c r="AN25" s="3">
        <v>26</v>
      </c>
      <c r="AO25" s="3">
        <v>163.4</v>
      </c>
      <c r="AP25" s="3">
        <v>48.5</v>
      </c>
      <c r="AQ25" s="3">
        <v>264.1</v>
      </c>
      <c r="AR25" s="3">
        <v>510.8</v>
      </c>
      <c r="AS25" s="3">
        <f t="shared" si="10"/>
        <v>1128.3000000000002</v>
      </c>
      <c r="AT25" s="3">
        <f t="shared" si="11"/>
        <v>1195.7</v>
      </c>
      <c r="AU25" s="15">
        <f>AT25/AS25*100</f>
        <v>105.97358858459629</v>
      </c>
      <c r="AV25" s="15">
        <f t="shared" si="12"/>
        <v>-67.39999999999986</v>
      </c>
      <c r="AW25" s="4">
        <f t="shared" si="13"/>
        <v>-57.19999999999982</v>
      </c>
    </row>
    <row r="26" spans="1:49" ht="25.5" customHeight="1">
      <c r="A26" s="6">
        <v>19</v>
      </c>
      <c r="B26" s="16" t="s">
        <v>63</v>
      </c>
      <c r="C26" s="2"/>
      <c r="D26" s="46"/>
      <c r="E26" s="46"/>
      <c r="F26" s="38"/>
      <c r="G26" s="3"/>
      <c r="H26" s="3"/>
      <c r="I26" s="15"/>
      <c r="J26" s="3"/>
      <c r="K26" s="3"/>
      <c r="L26" s="15"/>
      <c r="M26" s="3"/>
      <c r="N26" s="3"/>
      <c r="O26" s="30" t="e">
        <f t="shared" si="2"/>
        <v>#DIV/0!</v>
      </c>
      <c r="P26" s="3"/>
      <c r="Q26" s="3"/>
      <c r="R26" s="15"/>
      <c r="S26" s="3"/>
      <c r="T26" s="3"/>
      <c r="U26" s="15"/>
      <c r="V26" s="3"/>
      <c r="W26" s="3"/>
      <c r="X26" s="15"/>
      <c r="Y26" s="3"/>
      <c r="Z26" s="3"/>
      <c r="AA26" s="30" t="e">
        <f t="shared" si="18"/>
        <v>#DIV/0!</v>
      </c>
      <c r="AB26" s="3"/>
      <c r="AC26" s="3"/>
      <c r="AD26" s="15"/>
      <c r="AE26" s="3"/>
      <c r="AF26" s="3"/>
      <c r="AG26" s="30" t="e">
        <f>AF26/AE26*100</f>
        <v>#DIV/0!</v>
      </c>
      <c r="AH26" s="3"/>
      <c r="AI26" s="3"/>
      <c r="AJ26" s="3"/>
      <c r="AK26" s="3"/>
      <c r="AL26" s="30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5"/>
      <c r="AV26" s="15"/>
      <c r="AW26" s="4"/>
    </row>
    <row r="27" spans="1:49" ht="27.75" customHeight="1">
      <c r="A27" s="6">
        <v>20</v>
      </c>
      <c r="B27" s="16" t="s">
        <v>93</v>
      </c>
      <c r="C27" s="2">
        <v>5.2</v>
      </c>
      <c r="D27" s="3">
        <v>35.8</v>
      </c>
      <c r="E27" s="3">
        <v>14.3</v>
      </c>
      <c r="F27" s="15">
        <f>E27/D27*100</f>
        <v>39.944134078212294</v>
      </c>
      <c r="G27" s="3">
        <v>19.5</v>
      </c>
      <c r="H27" s="3">
        <v>0</v>
      </c>
      <c r="I27" s="15">
        <f>H27/G27*100</f>
        <v>0</v>
      </c>
      <c r="J27" s="3">
        <v>8.2</v>
      </c>
      <c r="K27" s="3">
        <v>7.3</v>
      </c>
      <c r="L27" s="15">
        <f>K27/J27*100</f>
        <v>89.02439024390245</v>
      </c>
      <c r="M27" s="3">
        <f t="shared" si="5"/>
        <v>63.5</v>
      </c>
      <c r="N27" s="3">
        <f t="shared" si="6"/>
        <v>21.6</v>
      </c>
      <c r="O27" s="15">
        <f t="shared" si="2"/>
        <v>34.01574803149606</v>
      </c>
      <c r="P27" s="3">
        <v>1.5</v>
      </c>
      <c r="Q27" s="3">
        <v>6.8</v>
      </c>
      <c r="R27" s="15">
        <f>Q27/P27*100</f>
        <v>453.3333333333333</v>
      </c>
      <c r="S27" s="3">
        <v>0</v>
      </c>
      <c r="T27" s="3">
        <v>6.8</v>
      </c>
      <c r="U27" s="15"/>
      <c r="V27" s="3">
        <v>0</v>
      </c>
      <c r="W27" s="3">
        <v>12.5</v>
      </c>
      <c r="X27" s="15"/>
      <c r="Y27" s="3">
        <f>P27+S27+V27</f>
        <v>1.5</v>
      </c>
      <c r="Z27" s="3">
        <f>Q27+T27+W27</f>
        <v>26.1</v>
      </c>
      <c r="AA27" s="15">
        <f t="shared" si="18"/>
        <v>1740.0000000000002</v>
      </c>
      <c r="AB27" s="3">
        <v>0</v>
      </c>
      <c r="AC27" s="3">
        <v>6.1</v>
      </c>
      <c r="AD27" s="15"/>
      <c r="AE27" s="3">
        <v>0</v>
      </c>
      <c r="AF27" s="3">
        <v>5.3</v>
      </c>
      <c r="AG27" s="30" t="e">
        <f>AF27/AE27*100</f>
        <v>#DIV/0!</v>
      </c>
      <c r="AH27" s="3">
        <v>0</v>
      </c>
      <c r="AI27" s="3">
        <v>0</v>
      </c>
      <c r="AJ27" s="3">
        <f t="shared" si="8"/>
        <v>0</v>
      </c>
      <c r="AK27" s="3">
        <f t="shared" si="9"/>
        <v>11.399999999999999</v>
      </c>
      <c r="AL27" s="15" t="e">
        <f t="shared" si="19"/>
        <v>#DIV/0!</v>
      </c>
      <c r="AM27" s="3">
        <v>3.9</v>
      </c>
      <c r="AN27" s="3">
        <v>6.9</v>
      </c>
      <c r="AO27" s="3">
        <v>18.7</v>
      </c>
      <c r="AP27" s="3">
        <v>3.9</v>
      </c>
      <c r="AQ27" s="3">
        <v>20.8</v>
      </c>
      <c r="AR27" s="3">
        <v>14.9</v>
      </c>
      <c r="AS27" s="3">
        <f t="shared" si="10"/>
        <v>108.4</v>
      </c>
      <c r="AT27" s="3">
        <f t="shared" si="11"/>
        <v>84.80000000000001</v>
      </c>
      <c r="AU27" s="15">
        <f>AT27/AS27*100</f>
        <v>78.22878228782288</v>
      </c>
      <c r="AV27" s="15">
        <f t="shared" si="12"/>
        <v>23.599999999999994</v>
      </c>
      <c r="AW27" s="4">
        <f t="shared" si="13"/>
        <v>28.799999999999997</v>
      </c>
    </row>
    <row r="28" spans="1:49" s="4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5">
        <f>E28/D28*100</f>
        <v>0</v>
      </c>
      <c r="G28" s="46">
        <v>224.7</v>
      </c>
      <c r="H28" s="46">
        <v>268.1</v>
      </c>
      <c r="I28" s="15">
        <f>H28/G28*100</f>
        <v>119.31464174454831</v>
      </c>
      <c r="J28" s="46">
        <v>183.9</v>
      </c>
      <c r="K28" s="46">
        <v>144.7</v>
      </c>
      <c r="L28" s="15">
        <f>K28/J28*100</f>
        <v>78.68406742794997</v>
      </c>
      <c r="M28" s="3">
        <f t="shared" si="5"/>
        <v>664.3</v>
      </c>
      <c r="N28" s="3">
        <f t="shared" si="6"/>
        <v>412.8</v>
      </c>
      <c r="O28" s="15">
        <f t="shared" si="2"/>
        <v>62.1405991269005</v>
      </c>
      <c r="P28" s="46">
        <v>7.4</v>
      </c>
      <c r="Q28" s="46">
        <v>63.3</v>
      </c>
      <c r="R28" s="15">
        <f>Q28/P28*100</f>
        <v>855.4054054054053</v>
      </c>
      <c r="S28" s="46">
        <v>0</v>
      </c>
      <c r="T28" s="46">
        <v>86.6</v>
      </c>
      <c r="U28" s="15"/>
      <c r="V28" s="46">
        <v>0</v>
      </c>
      <c r="W28" s="46">
        <v>216.5</v>
      </c>
      <c r="X28" s="15"/>
      <c r="Y28" s="3">
        <f>P28+S28+V28</f>
        <v>7.4</v>
      </c>
      <c r="Z28" s="3">
        <f>Q28+T28+W28</f>
        <v>366.4</v>
      </c>
      <c r="AA28" s="15">
        <f t="shared" si="18"/>
        <v>4951.351351351351</v>
      </c>
      <c r="AB28" s="46">
        <v>0</v>
      </c>
      <c r="AC28" s="46">
        <v>0</v>
      </c>
      <c r="AD28" s="15"/>
      <c r="AE28" s="23">
        <v>0</v>
      </c>
      <c r="AF28" s="23">
        <v>0</v>
      </c>
      <c r="AG28" s="30"/>
      <c r="AH28" s="23"/>
      <c r="AI28" s="23"/>
      <c r="AJ28" s="3">
        <f t="shared" si="8"/>
        <v>0</v>
      </c>
      <c r="AK28" s="3">
        <f t="shared" si="9"/>
        <v>0</v>
      </c>
      <c r="AL28" s="15" t="e">
        <f t="shared" si="19"/>
        <v>#DIV/0!</v>
      </c>
      <c r="AM28" s="46">
        <v>62.5</v>
      </c>
      <c r="AN28" s="46">
        <v>0</v>
      </c>
      <c r="AO28" s="46">
        <v>179.7</v>
      </c>
      <c r="AP28" s="46">
        <v>41</v>
      </c>
      <c r="AQ28" s="46">
        <v>183.4</v>
      </c>
      <c r="AR28" s="46">
        <v>603.7</v>
      </c>
      <c r="AS28" s="3">
        <f t="shared" si="10"/>
        <v>1097.3</v>
      </c>
      <c r="AT28" s="3">
        <f t="shared" si="11"/>
        <v>1423.9</v>
      </c>
      <c r="AU28" s="15">
        <f>AT28/AS28*100</f>
        <v>129.76396609860566</v>
      </c>
      <c r="AV28" s="15">
        <f t="shared" si="12"/>
        <v>-326.60000000000014</v>
      </c>
      <c r="AW28" s="4">
        <f t="shared" si="13"/>
        <v>-240.9000000000001</v>
      </c>
    </row>
    <row r="29" spans="1:49" ht="24" customHeight="1">
      <c r="A29" s="6">
        <v>22</v>
      </c>
      <c r="B29" s="1" t="s">
        <v>65</v>
      </c>
      <c r="C29" s="48"/>
      <c r="D29" s="37"/>
      <c r="E29" s="37"/>
      <c r="F29" s="37"/>
      <c r="G29" s="48"/>
      <c r="H29" s="48"/>
      <c r="I29" s="48"/>
      <c r="J29" s="48"/>
      <c r="K29" s="48"/>
      <c r="L29" s="48"/>
      <c r="M29" s="3"/>
      <c r="N29" s="3"/>
      <c r="O29" s="15"/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15"/>
      <c r="AB29" s="48"/>
      <c r="AC29" s="48"/>
      <c r="AD29" s="48"/>
      <c r="AE29" s="48"/>
      <c r="AF29" s="48"/>
      <c r="AG29" s="113"/>
      <c r="AH29" s="48"/>
      <c r="AI29" s="48"/>
      <c r="AJ29" s="3"/>
      <c r="AK29" s="3"/>
      <c r="AL29" s="15"/>
      <c r="AM29" s="48"/>
      <c r="AN29" s="48"/>
      <c r="AO29" s="48"/>
      <c r="AP29" s="48"/>
      <c r="AQ29" s="48"/>
      <c r="AR29" s="48"/>
      <c r="AS29" s="3"/>
      <c r="AT29" s="3"/>
      <c r="AU29" s="48"/>
      <c r="AV29" s="15"/>
      <c r="AW29" s="4"/>
    </row>
    <row r="30" spans="1:49" ht="24" customHeight="1">
      <c r="A30" s="6">
        <v>23</v>
      </c>
      <c r="B30" s="16" t="s">
        <v>66</v>
      </c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"/>
      <c r="N30" s="3"/>
      <c r="O30" s="15"/>
      <c r="P30" s="37"/>
      <c r="Q30" s="37"/>
      <c r="R30" s="37"/>
      <c r="S30" s="37"/>
      <c r="T30" s="37"/>
      <c r="U30" s="37"/>
      <c r="V30" s="37"/>
      <c r="W30" s="37"/>
      <c r="X30" s="37"/>
      <c r="Y30" s="3"/>
      <c r="Z30" s="3"/>
      <c r="AA30" s="15"/>
      <c r="AB30" s="37"/>
      <c r="AC30" s="37"/>
      <c r="AD30" s="37"/>
      <c r="AE30" s="48"/>
      <c r="AF30" s="48"/>
      <c r="AG30" s="113"/>
      <c r="AH30" s="48"/>
      <c r="AI30" s="48"/>
      <c r="AJ30" s="3"/>
      <c r="AK30" s="3"/>
      <c r="AL30" s="15"/>
      <c r="AM30" s="48"/>
      <c r="AN30" s="48"/>
      <c r="AO30" s="48"/>
      <c r="AP30" s="48"/>
      <c r="AQ30" s="48"/>
      <c r="AR30" s="48"/>
      <c r="AS30" s="3"/>
      <c r="AT30" s="3"/>
      <c r="AU30" s="37"/>
      <c r="AV30" s="15"/>
      <c r="AW30" s="4"/>
    </row>
    <row r="31" spans="1:49" ht="24" customHeight="1">
      <c r="A31" s="6">
        <v>24</v>
      </c>
      <c r="B31" s="16" t="s">
        <v>67</v>
      </c>
      <c r="C31" s="49"/>
      <c r="D31" s="37"/>
      <c r="E31" s="37"/>
      <c r="F31" s="37"/>
      <c r="G31" s="48"/>
      <c r="H31" s="48"/>
      <c r="I31" s="48"/>
      <c r="J31" s="48"/>
      <c r="K31" s="48"/>
      <c r="L31" s="48"/>
      <c r="M31" s="3"/>
      <c r="N31" s="3"/>
      <c r="O31" s="15"/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15"/>
      <c r="AB31" s="48"/>
      <c r="AC31" s="48"/>
      <c r="AD31" s="48"/>
      <c r="AE31" s="48"/>
      <c r="AF31" s="48"/>
      <c r="AG31" s="113"/>
      <c r="AH31" s="48"/>
      <c r="AI31" s="48"/>
      <c r="AJ31" s="3"/>
      <c r="AK31" s="3"/>
      <c r="AL31" s="15"/>
      <c r="AM31" s="48"/>
      <c r="AN31" s="48"/>
      <c r="AO31" s="48"/>
      <c r="AP31" s="48"/>
      <c r="AQ31" s="48"/>
      <c r="AR31" s="48"/>
      <c r="AS31" s="3"/>
      <c r="AT31" s="3"/>
      <c r="AU31" s="48"/>
      <c r="AV31" s="15"/>
      <c r="AW31" s="4"/>
    </row>
    <row r="32" spans="1:49" s="45" customFormat="1" ht="24" customHeight="1">
      <c r="A32" s="6">
        <v>25</v>
      </c>
      <c r="B32" s="16" t="s">
        <v>68</v>
      </c>
      <c r="C32" s="2"/>
      <c r="D32" s="23"/>
      <c r="E32" s="23"/>
      <c r="F32" s="38"/>
      <c r="G32" s="23"/>
      <c r="H32" s="23"/>
      <c r="I32" s="38"/>
      <c r="J32" s="23"/>
      <c r="K32" s="23"/>
      <c r="L32" s="38"/>
      <c r="M32" s="3"/>
      <c r="N32" s="3"/>
      <c r="O32" s="15"/>
      <c r="P32" s="23"/>
      <c r="Q32" s="23"/>
      <c r="R32" s="38"/>
      <c r="S32" s="23"/>
      <c r="T32" s="23"/>
      <c r="U32" s="38"/>
      <c r="V32" s="23"/>
      <c r="W32" s="23"/>
      <c r="X32" s="38"/>
      <c r="Y32" s="3"/>
      <c r="Z32" s="3"/>
      <c r="AA32" s="15"/>
      <c r="AB32" s="23"/>
      <c r="AC32" s="23"/>
      <c r="AD32" s="38"/>
      <c r="AE32" s="23"/>
      <c r="AF32" s="23"/>
      <c r="AG32" s="30"/>
      <c r="AH32" s="23"/>
      <c r="AI32" s="23"/>
      <c r="AJ32" s="3"/>
      <c r="AK32" s="3"/>
      <c r="AL32" s="15"/>
      <c r="AM32" s="23"/>
      <c r="AN32" s="23"/>
      <c r="AO32" s="23"/>
      <c r="AP32" s="23"/>
      <c r="AQ32" s="23"/>
      <c r="AR32" s="23"/>
      <c r="AS32" s="3"/>
      <c r="AT32" s="3"/>
      <c r="AU32" s="38"/>
      <c r="AV32" s="15"/>
      <c r="AW32" s="4"/>
    </row>
    <row r="33" spans="1:49" s="45" customFormat="1" ht="24" customHeight="1">
      <c r="A33" s="6"/>
      <c r="B33" s="16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5">
        <f aca="true" t="shared" si="21" ref="F33:F45">E33/D33*100</f>
        <v>0</v>
      </c>
      <c r="G33" s="3">
        <f>1961.6+26.9</f>
        <v>1988.5</v>
      </c>
      <c r="H33" s="3">
        <f>153.2+13.9</f>
        <v>167.1</v>
      </c>
      <c r="I33" s="15">
        <f aca="true" t="shared" si="22" ref="I33:I45">H33/G33*100</f>
        <v>8.40331908473724</v>
      </c>
      <c r="J33" s="3">
        <v>1</v>
      </c>
      <c r="K33" s="3">
        <f>300.1+43.9</f>
        <v>344</v>
      </c>
      <c r="L33" s="15">
        <f aca="true" t="shared" si="23" ref="L33:L46">K33/J33*100</f>
        <v>34400</v>
      </c>
      <c r="M33" s="3">
        <f t="shared" si="5"/>
        <v>4353.8</v>
      </c>
      <c r="N33" s="3">
        <f t="shared" si="6"/>
        <v>511.1</v>
      </c>
      <c r="O33" s="15">
        <f t="shared" si="2"/>
        <v>11.73917037989802</v>
      </c>
      <c r="P33" s="3">
        <f>381.8+20.1</f>
        <v>401.90000000000003</v>
      </c>
      <c r="Q33" s="3">
        <f>2330.7+11.5</f>
        <v>2342.2</v>
      </c>
      <c r="R33" s="15">
        <f aca="true" t="shared" si="24" ref="R33:R42">Q33/P33*100</f>
        <v>582.7817865140581</v>
      </c>
      <c r="S33" s="3">
        <v>0</v>
      </c>
      <c r="T33" s="3">
        <v>12.3</v>
      </c>
      <c r="U33" s="15"/>
      <c r="V33" s="3">
        <v>0</v>
      </c>
      <c r="W33" s="3">
        <v>80</v>
      </c>
      <c r="X33" s="15"/>
      <c r="Y33" s="3">
        <f>P33+S33+V33</f>
        <v>401.90000000000003</v>
      </c>
      <c r="Z33" s="3">
        <f>Q33+T33+W33</f>
        <v>2434.5</v>
      </c>
      <c r="AA33" s="15">
        <f aca="true" t="shared" si="25" ref="AA33:AA46">Z33/Y33*100</f>
        <v>605.7476984324459</v>
      </c>
      <c r="AB33" s="3">
        <v>0</v>
      </c>
      <c r="AC33" s="3">
        <v>0</v>
      </c>
      <c r="AD33" s="15">
        <v>0</v>
      </c>
      <c r="AE33" s="3">
        <v>0</v>
      </c>
      <c r="AF33" s="3">
        <v>0</v>
      </c>
      <c r="AG33" s="30" t="e">
        <f>AF33/AE33*100</f>
        <v>#DIV/0!</v>
      </c>
      <c r="AH33" s="3">
        <v>0</v>
      </c>
      <c r="AI33" s="3">
        <f>11+1</f>
        <v>12</v>
      </c>
      <c r="AJ33" s="3">
        <f t="shared" si="8"/>
        <v>0</v>
      </c>
      <c r="AK33" s="3">
        <f t="shared" si="9"/>
        <v>12</v>
      </c>
      <c r="AL33" s="15" t="e">
        <f aca="true" t="shared" si="26" ref="AL33:AL46">AK33/AJ33*100</f>
        <v>#DIV/0!</v>
      </c>
      <c r="AM33" s="3">
        <v>11.3</v>
      </c>
      <c r="AN33" s="3">
        <v>0</v>
      </c>
      <c r="AO33" s="3">
        <v>23.7</v>
      </c>
      <c r="AP33" s="3">
        <v>6.6</v>
      </c>
      <c r="AQ33" s="3">
        <v>24.6</v>
      </c>
      <c r="AR33" s="3">
        <v>58.1</v>
      </c>
      <c r="AS33" s="3">
        <f t="shared" si="10"/>
        <v>4815.3</v>
      </c>
      <c r="AT33" s="3">
        <f t="shared" si="11"/>
        <v>3022.2999999999997</v>
      </c>
      <c r="AU33" s="15">
        <f>AT33/AS33*100</f>
        <v>62.76452142130292</v>
      </c>
      <c r="AV33" s="15">
        <f t="shared" si="12"/>
        <v>1793.0000000000005</v>
      </c>
      <c r="AW33" s="4">
        <f t="shared" si="13"/>
        <v>4531.5</v>
      </c>
    </row>
    <row r="34" spans="1:49" ht="24.75" customHeight="1">
      <c r="A34" s="20"/>
      <c r="B34" s="16" t="s">
        <v>69</v>
      </c>
      <c r="C34" s="2"/>
      <c r="D34" s="23"/>
      <c r="E34" s="23"/>
      <c r="F34" s="38"/>
      <c r="G34" s="3"/>
      <c r="H34" s="3"/>
      <c r="I34" s="38" t="e">
        <f t="shared" si="22"/>
        <v>#DIV/0!</v>
      </c>
      <c r="J34" s="3"/>
      <c r="K34" s="3"/>
      <c r="L34" s="38" t="e">
        <f t="shared" si="23"/>
        <v>#DIV/0!</v>
      </c>
      <c r="M34" s="3"/>
      <c r="N34" s="3"/>
      <c r="O34" s="30" t="e">
        <f t="shared" si="2"/>
        <v>#DIV/0!</v>
      </c>
      <c r="P34" s="3"/>
      <c r="Q34" s="3"/>
      <c r="R34" s="38" t="e">
        <f t="shared" si="24"/>
        <v>#DIV/0!</v>
      </c>
      <c r="S34" s="3"/>
      <c r="T34" s="3"/>
      <c r="U34" s="38" t="e">
        <f aca="true" t="shared" si="27" ref="U34:U41">T34/S34*100</f>
        <v>#DIV/0!</v>
      </c>
      <c r="V34" s="3"/>
      <c r="W34" s="3"/>
      <c r="X34" s="38" t="e">
        <f>W34/V34*100</f>
        <v>#DIV/0!</v>
      </c>
      <c r="Y34" s="3"/>
      <c r="Z34" s="3"/>
      <c r="AA34" s="30" t="e">
        <f t="shared" si="25"/>
        <v>#DIV/0!</v>
      </c>
      <c r="AB34" s="3"/>
      <c r="AC34" s="3"/>
      <c r="AD34" s="38" t="e">
        <f>AC34/AB34*100</f>
        <v>#DIV/0!</v>
      </c>
      <c r="AE34" s="3"/>
      <c r="AF34" s="3"/>
      <c r="AG34" s="30"/>
      <c r="AH34" s="3"/>
      <c r="AI34" s="3"/>
      <c r="AJ34" s="3"/>
      <c r="AK34" s="3"/>
      <c r="AL34" s="30" t="e">
        <f t="shared" si="26"/>
        <v>#DIV/0!</v>
      </c>
      <c r="AM34" s="3"/>
      <c r="AN34" s="3"/>
      <c r="AO34" s="3"/>
      <c r="AP34" s="3"/>
      <c r="AQ34" s="3"/>
      <c r="AR34" s="3"/>
      <c r="AS34" s="3"/>
      <c r="AT34" s="3"/>
      <c r="AU34" s="15"/>
      <c r="AV34" s="15"/>
      <c r="AW34" s="4"/>
    </row>
    <row r="35" spans="1:49" s="45" customFormat="1" ht="36.75" customHeight="1">
      <c r="A35" s="6">
        <v>26</v>
      </c>
      <c r="B35" s="16" t="s">
        <v>94</v>
      </c>
      <c r="C35" s="2">
        <v>307.2</v>
      </c>
      <c r="D35" s="3">
        <v>381.3</v>
      </c>
      <c r="E35" s="3">
        <v>0</v>
      </c>
      <c r="F35" s="15">
        <f t="shared" si="21"/>
        <v>0</v>
      </c>
      <c r="G35" s="3">
        <v>303.6</v>
      </c>
      <c r="H35" s="3">
        <v>0</v>
      </c>
      <c r="I35" s="15">
        <f t="shared" si="22"/>
        <v>0</v>
      </c>
      <c r="J35" s="3">
        <v>96.5</v>
      </c>
      <c r="K35" s="3">
        <v>151</v>
      </c>
      <c r="L35" s="15">
        <f t="shared" si="23"/>
        <v>156.47668393782382</v>
      </c>
      <c r="M35" s="3">
        <f t="shared" si="5"/>
        <v>781.4000000000001</v>
      </c>
      <c r="N35" s="3">
        <f t="shared" si="6"/>
        <v>151</v>
      </c>
      <c r="O35" s="15">
        <f t="shared" si="2"/>
        <v>19.324289736370616</v>
      </c>
      <c r="P35" s="3">
        <v>11.3</v>
      </c>
      <c r="Q35" s="3">
        <v>134.3</v>
      </c>
      <c r="R35" s="15">
        <f t="shared" si="24"/>
        <v>1188.495575221239</v>
      </c>
      <c r="S35" s="3">
        <v>0</v>
      </c>
      <c r="T35" s="3">
        <v>48.2</v>
      </c>
      <c r="U35" s="15"/>
      <c r="V35" s="3">
        <v>0</v>
      </c>
      <c r="W35" s="3">
        <v>176.7</v>
      </c>
      <c r="X35" s="15"/>
      <c r="Y35" s="3">
        <f aca="true" t="shared" si="28" ref="Y35:Z42">P35+S35+V35</f>
        <v>11.3</v>
      </c>
      <c r="Z35" s="3">
        <f t="shared" si="28"/>
        <v>359.2</v>
      </c>
      <c r="AA35" s="15">
        <f t="shared" si="25"/>
        <v>3178.7610619469024</v>
      </c>
      <c r="AB35" s="3">
        <v>0</v>
      </c>
      <c r="AC35" s="3">
        <v>100</v>
      </c>
      <c r="AD35" s="15"/>
      <c r="AE35" s="3">
        <v>0</v>
      </c>
      <c r="AF35" s="3">
        <v>355.8</v>
      </c>
      <c r="AG35" s="30" t="e">
        <f>AF35/AE35*100</f>
        <v>#DIV/0!</v>
      </c>
      <c r="AH35" s="3">
        <v>0</v>
      </c>
      <c r="AI35" s="3">
        <v>17</v>
      </c>
      <c r="AJ35" s="3">
        <f t="shared" si="8"/>
        <v>0</v>
      </c>
      <c r="AK35" s="3">
        <f t="shared" si="9"/>
        <v>472.8</v>
      </c>
      <c r="AL35" s="15" t="e">
        <f t="shared" si="26"/>
        <v>#DIV/0!</v>
      </c>
      <c r="AM35" s="3">
        <v>67</v>
      </c>
      <c r="AN35" s="3">
        <v>117</v>
      </c>
      <c r="AO35" s="3">
        <v>268.5</v>
      </c>
      <c r="AP35" s="3">
        <v>0</v>
      </c>
      <c r="AQ35" s="3">
        <v>350.5</v>
      </c>
      <c r="AR35" s="3">
        <v>699.6</v>
      </c>
      <c r="AS35" s="3">
        <f t="shared" si="10"/>
        <v>1478.7</v>
      </c>
      <c r="AT35" s="3">
        <f t="shared" si="11"/>
        <v>1799.6</v>
      </c>
      <c r="AU35" s="15">
        <f aca="true" t="shared" si="29" ref="AU35:AU45">AT35/AS35*100</f>
        <v>121.70149455602895</v>
      </c>
      <c r="AV35" s="15">
        <f t="shared" si="12"/>
        <v>-320.89999999999986</v>
      </c>
      <c r="AW35" s="4">
        <f t="shared" si="13"/>
        <v>-13.699999999999818</v>
      </c>
    </row>
    <row r="36" spans="1:49" s="4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5">
        <f t="shared" si="21"/>
        <v>9.929078014184398</v>
      </c>
      <c r="G36" s="3">
        <v>119.8</v>
      </c>
      <c r="H36" s="3">
        <v>51</v>
      </c>
      <c r="I36" s="15">
        <f t="shared" si="22"/>
        <v>42.57095158597663</v>
      </c>
      <c r="J36" s="3">
        <v>65.3</v>
      </c>
      <c r="K36" s="3">
        <v>136.8</v>
      </c>
      <c r="L36" s="15">
        <f t="shared" si="23"/>
        <v>209.4946401225115</v>
      </c>
      <c r="M36" s="3">
        <f t="shared" si="5"/>
        <v>326.1</v>
      </c>
      <c r="N36" s="3">
        <f t="shared" si="6"/>
        <v>201.8</v>
      </c>
      <c r="O36" s="15">
        <f t="shared" si="2"/>
        <v>61.88285801901257</v>
      </c>
      <c r="P36" s="3">
        <v>2.9</v>
      </c>
      <c r="Q36" s="3">
        <v>26.1</v>
      </c>
      <c r="R36" s="15">
        <f t="shared" si="24"/>
        <v>900</v>
      </c>
      <c r="S36" s="3">
        <v>0</v>
      </c>
      <c r="T36" s="3">
        <v>16.4</v>
      </c>
      <c r="U36" s="15"/>
      <c r="V36" s="3">
        <v>0</v>
      </c>
      <c r="W36" s="3">
        <v>24.9</v>
      </c>
      <c r="X36" s="15"/>
      <c r="Y36" s="3">
        <f t="shared" si="28"/>
        <v>2.9</v>
      </c>
      <c r="Z36" s="3">
        <f t="shared" si="28"/>
        <v>67.4</v>
      </c>
      <c r="AA36" s="15">
        <f t="shared" si="25"/>
        <v>2324.137931034483</v>
      </c>
      <c r="AB36" s="3">
        <v>0</v>
      </c>
      <c r="AC36" s="3">
        <v>10.5</v>
      </c>
      <c r="AD36" s="15"/>
      <c r="AE36" s="3">
        <v>0</v>
      </c>
      <c r="AF36" s="3">
        <v>10.5</v>
      </c>
      <c r="AG36" s="30">
        <v>0</v>
      </c>
      <c r="AH36" s="3">
        <v>0</v>
      </c>
      <c r="AI36" s="3">
        <v>31.3</v>
      </c>
      <c r="AJ36" s="3">
        <f t="shared" si="8"/>
        <v>0</v>
      </c>
      <c r="AK36" s="3">
        <f t="shared" si="9"/>
        <v>52.3</v>
      </c>
      <c r="AL36" s="15" t="e">
        <f t="shared" si="26"/>
        <v>#DIV/0!</v>
      </c>
      <c r="AM36" s="3">
        <v>37</v>
      </c>
      <c r="AN36" s="3">
        <f>67.3+23.8</f>
        <v>91.1</v>
      </c>
      <c r="AO36" s="3">
        <v>165.9</v>
      </c>
      <c r="AP36" s="3">
        <f>45.2+11</f>
        <v>56.2</v>
      </c>
      <c r="AQ36" s="3">
        <v>165.7</v>
      </c>
      <c r="AR36" s="3">
        <f>397.8+3.3</f>
        <v>401.1</v>
      </c>
      <c r="AS36" s="3">
        <f t="shared" si="10"/>
        <v>697.5999999999999</v>
      </c>
      <c r="AT36" s="3">
        <f t="shared" si="11"/>
        <v>869.9000000000001</v>
      </c>
      <c r="AU36" s="15">
        <f t="shared" si="29"/>
        <v>124.69896788990829</v>
      </c>
      <c r="AV36" s="15">
        <f t="shared" si="12"/>
        <v>-172.30000000000018</v>
      </c>
      <c r="AW36" s="4">
        <f t="shared" si="13"/>
        <v>-143.60000000000014</v>
      </c>
    </row>
    <row r="37" spans="1:49" s="45" customFormat="1" ht="24" customHeight="1">
      <c r="A37" s="6">
        <v>28</v>
      </c>
      <c r="B37" s="16" t="s">
        <v>71</v>
      </c>
      <c r="C37" s="2">
        <v>-127.2</v>
      </c>
      <c r="D37" s="3">
        <v>404.6</v>
      </c>
      <c r="E37" s="3">
        <v>8.8</v>
      </c>
      <c r="F37" s="15">
        <f t="shared" si="21"/>
        <v>2.1749876421156698</v>
      </c>
      <c r="G37" s="3">
        <v>352.1</v>
      </c>
      <c r="H37" s="3">
        <v>216.7</v>
      </c>
      <c r="I37" s="15">
        <f t="shared" si="22"/>
        <v>61.54501562056234</v>
      </c>
      <c r="J37" s="3">
        <v>221.1</v>
      </c>
      <c r="K37" s="3">
        <v>309.8</v>
      </c>
      <c r="L37" s="15">
        <f t="shared" si="23"/>
        <v>140.11759384893713</v>
      </c>
      <c r="M37" s="3">
        <f t="shared" si="5"/>
        <v>977.8000000000001</v>
      </c>
      <c r="N37" s="3">
        <f t="shared" si="6"/>
        <v>535.3</v>
      </c>
      <c r="O37" s="15">
        <f t="shared" si="2"/>
        <v>54.745346696665976</v>
      </c>
      <c r="P37" s="3">
        <v>2.3</v>
      </c>
      <c r="Q37" s="3">
        <v>135.6</v>
      </c>
      <c r="R37" s="15">
        <f t="shared" si="24"/>
        <v>5895.652173913044</v>
      </c>
      <c r="S37" s="3">
        <v>0</v>
      </c>
      <c r="T37" s="3">
        <v>46.4</v>
      </c>
      <c r="U37" s="15"/>
      <c r="V37" s="3">
        <v>0</v>
      </c>
      <c r="W37" s="3">
        <v>7.8</v>
      </c>
      <c r="X37" s="15"/>
      <c r="Y37" s="3">
        <f t="shared" si="28"/>
        <v>2.3</v>
      </c>
      <c r="Z37" s="3">
        <f t="shared" si="28"/>
        <v>189.8</v>
      </c>
      <c r="AA37" s="15">
        <f t="shared" si="25"/>
        <v>8252.17391304348</v>
      </c>
      <c r="AB37" s="3">
        <v>0</v>
      </c>
      <c r="AC37" s="3">
        <v>51.6</v>
      </c>
      <c r="AD37" s="15"/>
      <c r="AE37" s="3">
        <v>0</v>
      </c>
      <c r="AF37" s="3">
        <v>0</v>
      </c>
      <c r="AG37" s="30" t="e">
        <f aca="true" t="shared" si="30" ref="AG37:AG42">AF37/AE37*100</f>
        <v>#DIV/0!</v>
      </c>
      <c r="AH37" s="3">
        <v>0</v>
      </c>
      <c r="AI37" s="3">
        <v>126.5</v>
      </c>
      <c r="AJ37" s="3">
        <f t="shared" si="8"/>
        <v>0</v>
      </c>
      <c r="AK37" s="3">
        <f t="shared" si="9"/>
        <v>178.1</v>
      </c>
      <c r="AL37" s="15" t="e">
        <f t="shared" si="26"/>
        <v>#DIV/0!</v>
      </c>
      <c r="AM37" s="3">
        <v>75.8</v>
      </c>
      <c r="AN37" s="3">
        <v>7</v>
      </c>
      <c r="AO37" s="3">
        <v>240.2</v>
      </c>
      <c r="AP37" s="3">
        <v>52</v>
      </c>
      <c r="AQ37" s="3">
        <v>294</v>
      </c>
      <c r="AR37" s="3">
        <v>931.9</v>
      </c>
      <c r="AS37" s="3">
        <f t="shared" si="10"/>
        <v>1590.1000000000001</v>
      </c>
      <c r="AT37" s="3">
        <f t="shared" si="11"/>
        <v>1894.1</v>
      </c>
      <c r="AU37" s="15">
        <f t="shared" si="29"/>
        <v>119.11829444689013</v>
      </c>
      <c r="AV37" s="15">
        <f t="shared" si="12"/>
        <v>-303.9999999999998</v>
      </c>
      <c r="AW37" s="4">
        <f t="shared" si="13"/>
        <v>-431.1999999999998</v>
      </c>
    </row>
    <row r="38" spans="1:49" s="45" customFormat="1" ht="24" customHeight="1">
      <c r="A38" s="6">
        <v>29</v>
      </c>
      <c r="B38" s="16" t="s">
        <v>72</v>
      </c>
      <c r="C38" s="2">
        <v>34</v>
      </c>
      <c r="D38" s="3">
        <v>653.9</v>
      </c>
      <c r="E38" s="3">
        <v>0</v>
      </c>
      <c r="F38" s="15">
        <f t="shared" si="21"/>
        <v>0</v>
      </c>
      <c r="G38" s="3">
        <v>511.4</v>
      </c>
      <c r="H38" s="3">
        <v>485.7</v>
      </c>
      <c r="I38" s="15">
        <f t="shared" si="22"/>
        <v>94.9745795854517</v>
      </c>
      <c r="J38" s="3">
        <v>277.2</v>
      </c>
      <c r="K38" s="3">
        <v>251.4</v>
      </c>
      <c r="L38" s="15">
        <f t="shared" si="23"/>
        <v>90.69264069264071</v>
      </c>
      <c r="M38" s="3">
        <f t="shared" si="5"/>
        <v>1442.5</v>
      </c>
      <c r="N38" s="3">
        <f t="shared" si="6"/>
        <v>737.1</v>
      </c>
      <c r="O38" s="15">
        <f t="shared" si="2"/>
        <v>51.09878682842288</v>
      </c>
      <c r="P38" s="3">
        <v>-20.9</v>
      </c>
      <c r="Q38" s="3">
        <v>543.2</v>
      </c>
      <c r="R38" s="15">
        <f t="shared" si="24"/>
        <v>-2599.043062200957</v>
      </c>
      <c r="S38" s="3">
        <v>0</v>
      </c>
      <c r="T38" s="3">
        <v>4.1</v>
      </c>
      <c r="U38" s="15"/>
      <c r="V38" s="3">
        <v>0</v>
      </c>
      <c r="W38" s="3">
        <v>20.6</v>
      </c>
      <c r="X38" s="15"/>
      <c r="Y38" s="3">
        <f t="shared" si="28"/>
        <v>-20.9</v>
      </c>
      <c r="Z38" s="3">
        <f t="shared" si="28"/>
        <v>567.9000000000001</v>
      </c>
      <c r="AA38" s="15">
        <f t="shared" si="25"/>
        <v>-2717.2248803827756</v>
      </c>
      <c r="AB38" s="3">
        <v>0</v>
      </c>
      <c r="AC38" s="3">
        <v>0</v>
      </c>
      <c r="AD38" s="15"/>
      <c r="AE38" s="3">
        <v>0</v>
      </c>
      <c r="AF38" s="3">
        <v>0</v>
      </c>
      <c r="AG38" s="30" t="e">
        <f>AF38/AE38*100</f>
        <v>#DIV/0!</v>
      </c>
      <c r="AH38" s="3">
        <v>0</v>
      </c>
      <c r="AI38" s="3">
        <v>6.4</v>
      </c>
      <c r="AJ38" s="3">
        <f t="shared" si="8"/>
        <v>0</v>
      </c>
      <c r="AK38" s="3">
        <f t="shared" si="9"/>
        <v>6.4</v>
      </c>
      <c r="AL38" s="15" t="e">
        <f t="shared" si="26"/>
        <v>#DIV/0!</v>
      </c>
      <c r="AM38" s="3">
        <v>219</v>
      </c>
      <c r="AN38" s="3">
        <v>57.2</v>
      </c>
      <c r="AO38" s="3">
        <v>1103.1</v>
      </c>
      <c r="AP38" s="3">
        <v>239.2</v>
      </c>
      <c r="AQ38" s="3">
        <v>1134.7</v>
      </c>
      <c r="AR38" s="3">
        <f>2880.5+57.4</f>
        <v>2937.9</v>
      </c>
      <c r="AS38" s="3">
        <f t="shared" si="10"/>
        <v>3878.3999999999996</v>
      </c>
      <c r="AT38" s="3">
        <f t="shared" si="11"/>
        <v>4545.700000000001</v>
      </c>
      <c r="AU38" s="15">
        <f t="shared" si="29"/>
        <v>117.20554867986802</v>
      </c>
      <c r="AV38" s="15">
        <f t="shared" si="12"/>
        <v>-667.3000000000011</v>
      </c>
      <c r="AW38" s="4">
        <f t="shared" si="13"/>
        <v>-633.3000000000011</v>
      </c>
    </row>
    <row r="39" spans="1:49" ht="36.75" customHeight="1">
      <c r="A39" s="6">
        <v>30</v>
      </c>
      <c r="B39" s="16" t="s">
        <v>95</v>
      </c>
      <c r="C39" s="2">
        <v>-476.4</v>
      </c>
      <c r="D39" s="3">
        <v>1109.5</v>
      </c>
      <c r="E39" s="3">
        <v>17.3</v>
      </c>
      <c r="F39" s="15">
        <f t="shared" si="21"/>
        <v>1.5592609283461019</v>
      </c>
      <c r="G39" s="3">
        <v>857.9</v>
      </c>
      <c r="H39" s="3">
        <v>138.6</v>
      </c>
      <c r="I39" s="15">
        <f t="shared" si="22"/>
        <v>16.155729105956404</v>
      </c>
      <c r="J39" s="3">
        <v>389.1</v>
      </c>
      <c r="K39" s="3">
        <v>756</v>
      </c>
      <c r="L39" s="15">
        <f t="shared" si="23"/>
        <v>194.2945258288358</v>
      </c>
      <c r="M39" s="3">
        <f t="shared" si="5"/>
        <v>2356.5</v>
      </c>
      <c r="N39" s="3">
        <f t="shared" si="6"/>
        <v>911.9</v>
      </c>
      <c r="O39" s="15">
        <f t="shared" si="2"/>
        <v>38.69722045406323</v>
      </c>
      <c r="P39" s="3">
        <v>0</v>
      </c>
      <c r="Q39" s="3">
        <v>519.3</v>
      </c>
      <c r="R39" s="30" t="e">
        <f t="shared" si="24"/>
        <v>#DIV/0!</v>
      </c>
      <c r="S39" s="3">
        <v>0</v>
      </c>
      <c r="T39" s="3">
        <v>21</v>
      </c>
      <c r="U39" s="30" t="e">
        <f t="shared" si="27"/>
        <v>#DIV/0!</v>
      </c>
      <c r="V39" s="3">
        <v>0</v>
      </c>
      <c r="W39" s="3">
        <v>120.2</v>
      </c>
      <c r="X39" s="30" t="e">
        <f>W39/V39*100</f>
        <v>#DIV/0!</v>
      </c>
      <c r="Y39" s="3">
        <f t="shared" si="28"/>
        <v>0</v>
      </c>
      <c r="Z39" s="3">
        <f t="shared" si="28"/>
        <v>660.5</v>
      </c>
      <c r="AA39" s="30" t="e">
        <f t="shared" si="25"/>
        <v>#DIV/0!</v>
      </c>
      <c r="AB39" s="3">
        <v>0</v>
      </c>
      <c r="AC39" s="3">
        <v>215.1</v>
      </c>
      <c r="AD39" s="30" t="e">
        <f>AC39/AB39*100</f>
        <v>#DIV/0!</v>
      </c>
      <c r="AE39" s="3">
        <v>0</v>
      </c>
      <c r="AF39" s="3">
        <v>0</v>
      </c>
      <c r="AG39" s="30" t="e">
        <f t="shared" si="30"/>
        <v>#DIV/0!</v>
      </c>
      <c r="AH39" s="3">
        <v>0</v>
      </c>
      <c r="AI39" s="3">
        <v>102</v>
      </c>
      <c r="AJ39" s="3">
        <f t="shared" si="8"/>
        <v>0</v>
      </c>
      <c r="AK39" s="3">
        <f t="shared" si="9"/>
        <v>317.1</v>
      </c>
      <c r="AL39" s="30" t="e">
        <f t="shared" si="26"/>
        <v>#DIV/0!</v>
      </c>
      <c r="AM39" s="3">
        <v>151.5</v>
      </c>
      <c r="AN39" s="3">
        <v>0</v>
      </c>
      <c r="AO39" s="3">
        <v>965.2</v>
      </c>
      <c r="AP39" s="3">
        <v>282.3</v>
      </c>
      <c r="AQ39" s="3">
        <v>1381.4</v>
      </c>
      <c r="AR39" s="3">
        <v>3595.3</v>
      </c>
      <c r="AS39" s="3">
        <f t="shared" si="10"/>
        <v>4854.6</v>
      </c>
      <c r="AT39" s="3">
        <f t="shared" si="11"/>
        <v>5767.1</v>
      </c>
      <c r="AU39" s="15">
        <f t="shared" si="29"/>
        <v>118.7966052815886</v>
      </c>
      <c r="AV39" s="15">
        <f t="shared" si="12"/>
        <v>-912.5</v>
      </c>
      <c r="AW39" s="4">
        <f t="shared" si="13"/>
        <v>-1388.8999999999996</v>
      </c>
    </row>
    <row r="40" spans="1:49" ht="24.75" customHeight="1">
      <c r="A40" s="6">
        <v>31</v>
      </c>
      <c r="B40" s="16" t="s">
        <v>73</v>
      </c>
      <c r="C40" s="2">
        <v>16.6</v>
      </c>
      <c r="D40" s="3">
        <v>10</v>
      </c>
      <c r="E40" s="3">
        <v>0.6</v>
      </c>
      <c r="F40" s="15">
        <v>31</v>
      </c>
      <c r="G40" s="3">
        <v>8</v>
      </c>
      <c r="H40" s="3">
        <v>5.4</v>
      </c>
      <c r="I40" s="15">
        <f t="shared" si="22"/>
        <v>67.5</v>
      </c>
      <c r="J40" s="3">
        <v>2.4</v>
      </c>
      <c r="K40" s="3">
        <v>4.3</v>
      </c>
      <c r="L40" s="15">
        <f t="shared" si="23"/>
        <v>179.16666666666669</v>
      </c>
      <c r="M40" s="3">
        <f t="shared" si="5"/>
        <v>20.4</v>
      </c>
      <c r="N40" s="3">
        <f t="shared" si="6"/>
        <v>10.3</v>
      </c>
      <c r="O40" s="15">
        <f t="shared" si="2"/>
        <v>50.49019607843138</v>
      </c>
      <c r="P40" s="3">
        <v>0</v>
      </c>
      <c r="Q40" s="3">
        <v>1.3</v>
      </c>
      <c r="R40" s="30" t="e">
        <f t="shared" si="24"/>
        <v>#DIV/0!</v>
      </c>
      <c r="S40" s="3">
        <v>0</v>
      </c>
      <c r="T40" s="3">
        <v>0</v>
      </c>
      <c r="U40" s="30" t="e">
        <f t="shared" si="27"/>
        <v>#DIV/0!</v>
      </c>
      <c r="V40" s="3">
        <v>0</v>
      </c>
      <c r="W40" s="3">
        <v>0</v>
      </c>
      <c r="X40" s="30" t="e">
        <f>W40/V40*100</f>
        <v>#DIV/0!</v>
      </c>
      <c r="Y40" s="3">
        <f t="shared" si="28"/>
        <v>0</v>
      </c>
      <c r="Z40" s="3">
        <f t="shared" si="28"/>
        <v>1.3</v>
      </c>
      <c r="AA40" s="30" t="e">
        <f t="shared" si="25"/>
        <v>#DIV/0!</v>
      </c>
      <c r="AB40" s="3">
        <v>0</v>
      </c>
      <c r="AC40" s="3">
        <v>0</v>
      </c>
      <c r="AD40" s="30" t="e">
        <f>AC40/AB40*100</f>
        <v>#DIV/0!</v>
      </c>
      <c r="AE40" s="3">
        <v>0</v>
      </c>
      <c r="AF40" s="3">
        <v>0</v>
      </c>
      <c r="AG40" s="30" t="e">
        <f t="shared" si="30"/>
        <v>#DIV/0!</v>
      </c>
      <c r="AH40" s="3">
        <v>0</v>
      </c>
      <c r="AI40" s="3">
        <v>0</v>
      </c>
      <c r="AJ40" s="3">
        <f t="shared" si="8"/>
        <v>0</v>
      </c>
      <c r="AK40" s="3">
        <f t="shared" si="9"/>
        <v>0</v>
      </c>
      <c r="AL40" s="30" t="e">
        <f t="shared" si="26"/>
        <v>#DIV/0!</v>
      </c>
      <c r="AM40" s="3">
        <v>0</v>
      </c>
      <c r="AN40" s="3">
        <v>0</v>
      </c>
      <c r="AO40" s="3">
        <v>0</v>
      </c>
      <c r="AP40" s="3">
        <v>9.4</v>
      </c>
      <c r="AQ40" s="3">
        <v>0</v>
      </c>
      <c r="AR40" s="3">
        <v>0</v>
      </c>
      <c r="AS40" s="3">
        <f t="shared" si="10"/>
        <v>20.4</v>
      </c>
      <c r="AT40" s="3">
        <f t="shared" si="11"/>
        <v>21</v>
      </c>
      <c r="AU40" s="15">
        <f t="shared" si="29"/>
        <v>102.94117647058825</v>
      </c>
      <c r="AV40" s="15">
        <f t="shared" si="12"/>
        <v>-0.6000000000000014</v>
      </c>
      <c r="AW40" s="4">
        <f t="shared" si="13"/>
        <v>16</v>
      </c>
    </row>
    <row r="41" spans="1:49" s="4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5">
        <f t="shared" si="21"/>
        <v>2.3721155397773113</v>
      </c>
      <c r="G41" s="3">
        <v>489.2</v>
      </c>
      <c r="H41" s="3">
        <v>524.6</v>
      </c>
      <c r="I41" s="15">
        <f t="shared" si="22"/>
        <v>107.2363041700736</v>
      </c>
      <c r="J41" s="3">
        <v>295.7</v>
      </c>
      <c r="K41" s="3">
        <v>456.3</v>
      </c>
      <c r="L41" s="15">
        <f t="shared" si="23"/>
        <v>154.31180250253635</v>
      </c>
      <c r="M41" s="3">
        <f t="shared" si="5"/>
        <v>1404.6000000000001</v>
      </c>
      <c r="N41" s="3">
        <f t="shared" si="6"/>
        <v>995.6000000000001</v>
      </c>
      <c r="O41" s="15">
        <f t="shared" si="2"/>
        <v>70.88138971949309</v>
      </c>
      <c r="P41" s="3">
        <v>0</v>
      </c>
      <c r="Q41" s="3">
        <v>251.4</v>
      </c>
      <c r="R41" s="30" t="e">
        <f t="shared" si="24"/>
        <v>#DIV/0!</v>
      </c>
      <c r="S41" s="3">
        <v>0</v>
      </c>
      <c r="T41" s="3">
        <v>3.4</v>
      </c>
      <c r="U41" s="30" t="e">
        <f t="shared" si="27"/>
        <v>#DIV/0!</v>
      </c>
      <c r="V41" s="3">
        <v>0</v>
      </c>
      <c r="W41" s="3">
        <v>14.9</v>
      </c>
      <c r="X41" s="30" t="e">
        <f>W41/V41*100</f>
        <v>#DIV/0!</v>
      </c>
      <c r="Y41" s="3">
        <f t="shared" si="28"/>
        <v>0</v>
      </c>
      <c r="Z41" s="3">
        <f t="shared" si="28"/>
        <v>269.7</v>
      </c>
      <c r="AA41" s="30" t="e">
        <f t="shared" si="25"/>
        <v>#DIV/0!</v>
      </c>
      <c r="AB41" s="3">
        <v>0</v>
      </c>
      <c r="AC41" s="3">
        <v>1.3</v>
      </c>
      <c r="AD41" s="30" t="e">
        <f>AC41/AB41*100</f>
        <v>#DIV/0!</v>
      </c>
      <c r="AE41" s="3">
        <v>0</v>
      </c>
      <c r="AF41" s="3">
        <v>1.3</v>
      </c>
      <c r="AG41" s="30" t="e">
        <f t="shared" si="30"/>
        <v>#DIV/0!</v>
      </c>
      <c r="AH41" s="3">
        <v>0</v>
      </c>
      <c r="AI41" s="3">
        <v>68</v>
      </c>
      <c r="AJ41" s="3">
        <f t="shared" si="8"/>
        <v>0</v>
      </c>
      <c r="AK41" s="3">
        <f t="shared" si="9"/>
        <v>70.6</v>
      </c>
      <c r="AL41" s="30" t="e">
        <f t="shared" si="26"/>
        <v>#DIV/0!</v>
      </c>
      <c r="AM41" s="3">
        <v>128.2</v>
      </c>
      <c r="AN41" s="3">
        <v>10.6</v>
      </c>
      <c r="AO41" s="3">
        <v>439</v>
      </c>
      <c r="AP41" s="3">
        <v>160</v>
      </c>
      <c r="AQ41" s="3">
        <v>506.3</v>
      </c>
      <c r="AR41" s="3">
        <v>1196.8</v>
      </c>
      <c r="AS41" s="3">
        <f t="shared" si="10"/>
        <v>2478.1000000000004</v>
      </c>
      <c r="AT41" s="3">
        <f t="shared" si="11"/>
        <v>2703.3</v>
      </c>
      <c r="AU41" s="15">
        <f t="shared" si="29"/>
        <v>109.08760744118477</v>
      </c>
      <c r="AV41" s="15">
        <f t="shared" si="12"/>
        <v>-225.19999999999982</v>
      </c>
      <c r="AW41" s="4">
        <f t="shared" si="13"/>
        <v>-272.89999999999964</v>
      </c>
    </row>
    <row r="42" spans="1:49" s="45" customFormat="1" ht="25.5" customHeight="1">
      <c r="A42" s="6">
        <v>33</v>
      </c>
      <c r="B42" s="16" t="s">
        <v>75</v>
      </c>
      <c r="C42" s="2">
        <v>-248</v>
      </c>
      <c r="D42" s="3">
        <v>1003.7</v>
      </c>
      <c r="E42" s="3">
        <v>14</v>
      </c>
      <c r="F42" s="15">
        <v>1.8</v>
      </c>
      <c r="G42" s="3">
        <v>1004.5</v>
      </c>
      <c r="H42" s="3">
        <v>247.1</v>
      </c>
      <c r="I42" s="15">
        <f t="shared" si="22"/>
        <v>24.5993031358885</v>
      </c>
      <c r="J42" s="3">
        <v>709.1</v>
      </c>
      <c r="K42" s="3">
        <v>253.2</v>
      </c>
      <c r="L42" s="15">
        <f t="shared" si="23"/>
        <v>35.70723452263432</v>
      </c>
      <c r="M42" s="3">
        <f t="shared" si="5"/>
        <v>2717.3</v>
      </c>
      <c r="N42" s="3">
        <f t="shared" si="6"/>
        <v>514.3</v>
      </c>
      <c r="O42" s="15">
        <f t="shared" si="2"/>
        <v>18.926875943031682</v>
      </c>
      <c r="P42" s="3">
        <v>30.7</v>
      </c>
      <c r="Q42" s="3">
        <v>2112.4</v>
      </c>
      <c r="R42" s="15">
        <f t="shared" si="24"/>
        <v>6880.781758957656</v>
      </c>
      <c r="S42" s="3">
        <v>0</v>
      </c>
      <c r="T42" s="3">
        <v>44.8</v>
      </c>
      <c r="U42" s="15"/>
      <c r="V42" s="3">
        <v>0</v>
      </c>
      <c r="W42" s="3">
        <v>6.7</v>
      </c>
      <c r="X42" s="15"/>
      <c r="Y42" s="3">
        <f t="shared" si="28"/>
        <v>30.7</v>
      </c>
      <c r="Z42" s="3">
        <f t="shared" si="28"/>
        <v>2163.9</v>
      </c>
      <c r="AA42" s="15">
        <f t="shared" si="25"/>
        <v>7048.534201954398</v>
      </c>
      <c r="AB42" s="3">
        <v>0</v>
      </c>
      <c r="AC42" s="3">
        <v>7.6</v>
      </c>
      <c r="AD42" s="15"/>
      <c r="AE42" s="3">
        <v>0</v>
      </c>
      <c r="AF42" s="3">
        <v>0</v>
      </c>
      <c r="AG42" s="30" t="e">
        <f t="shared" si="30"/>
        <v>#DIV/0!</v>
      </c>
      <c r="AH42" s="3">
        <v>0</v>
      </c>
      <c r="AI42" s="3">
        <v>28.5</v>
      </c>
      <c r="AJ42" s="3">
        <f t="shared" si="8"/>
        <v>0</v>
      </c>
      <c r="AK42" s="3">
        <f t="shared" si="9"/>
        <v>36.1</v>
      </c>
      <c r="AL42" s="15" t="e">
        <f t="shared" si="26"/>
        <v>#DIV/0!</v>
      </c>
      <c r="AM42" s="3">
        <v>239.1</v>
      </c>
      <c r="AN42" s="3">
        <v>100</v>
      </c>
      <c r="AO42" s="3">
        <v>942.7</v>
      </c>
      <c r="AP42" s="3">
        <v>200.5</v>
      </c>
      <c r="AQ42" s="3">
        <v>966.8</v>
      </c>
      <c r="AR42" s="3">
        <v>2766</v>
      </c>
      <c r="AS42" s="3">
        <f t="shared" si="10"/>
        <v>4896.6</v>
      </c>
      <c r="AT42" s="3">
        <f t="shared" si="11"/>
        <v>5780.799999999999</v>
      </c>
      <c r="AU42" s="15">
        <f t="shared" si="29"/>
        <v>118.05742760282642</v>
      </c>
      <c r="AV42" s="15">
        <f t="shared" si="12"/>
        <v>-884.1999999999989</v>
      </c>
      <c r="AW42" s="4">
        <f t="shared" si="13"/>
        <v>-1132.199999999999</v>
      </c>
    </row>
    <row r="43" spans="1:49" s="8" customFormat="1" ht="24.75" customHeight="1">
      <c r="A43" s="40">
        <v>34</v>
      </c>
      <c r="B43" s="17" t="s">
        <v>76</v>
      </c>
      <c r="C43" s="50">
        <f>C44+C45</f>
        <v>15431.2</v>
      </c>
      <c r="D43" s="4">
        <f>D44+D45</f>
        <v>83705.4</v>
      </c>
      <c r="E43" s="4">
        <f>E44+E45</f>
        <v>5797</v>
      </c>
      <c r="F43" s="15">
        <f t="shared" si="21"/>
        <v>6.925479120821357</v>
      </c>
      <c r="G43" s="4">
        <f>G44+G45</f>
        <v>78248.2</v>
      </c>
      <c r="H43" s="4">
        <f>H44+H45</f>
        <v>31275</v>
      </c>
      <c r="I43" s="15">
        <f>H43/G43*100</f>
        <v>39.9689705322295</v>
      </c>
      <c r="J43" s="4">
        <f>J44+J45</f>
        <v>47175.7</v>
      </c>
      <c r="K43" s="4">
        <f>K44+K45</f>
        <v>97964.3</v>
      </c>
      <c r="L43" s="15">
        <f t="shared" si="23"/>
        <v>207.65839192635192</v>
      </c>
      <c r="M43" s="4">
        <f>M44+M45</f>
        <v>209129.3</v>
      </c>
      <c r="N43" s="4">
        <f>N44+N45</f>
        <v>135036.3</v>
      </c>
      <c r="O43" s="15">
        <f t="shared" si="2"/>
        <v>64.57072251473132</v>
      </c>
      <c r="P43" s="4">
        <f>P44+P45</f>
        <v>16399.5</v>
      </c>
      <c r="Q43" s="4">
        <f>Q44+Q45</f>
        <v>40799.6</v>
      </c>
      <c r="R43" s="15">
        <f>Q43/P43*100</f>
        <v>248.78563370834476</v>
      </c>
      <c r="S43" s="4">
        <f>S44+S45</f>
        <v>4023.7</v>
      </c>
      <c r="T43" s="4">
        <f>T44+T45</f>
        <v>15852.7</v>
      </c>
      <c r="U43" s="15">
        <f>T43/S43*100</f>
        <v>393.9831498372145</v>
      </c>
      <c r="V43" s="4">
        <f>V44+V45</f>
        <v>3200.3</v>
      </c>
      <c r="W43" s="4">
        <f>W44+W45</f>
        <v>10188.7</v>
      </c>
      <c r="X43" s="15">
        <f>W43/V43*100</f>
        <v>318.3670280911165</v>
      </c>
      <c r="Y43" s="4">
        <f>Y44+Y45</f>
        <v>23623.5</v>
      </c>
      <c r="Z43" s="4">
        <f>Z44+Z45</f>
        <v>66841</v>
      </c>
      <c r="AA43" s="15">
        <f t="shared" si="25"/>
        <v>282.9428323491439</v>
      </c>
      <c r="AB43" s="4">
        <f>AB44+AB45</f>
        <v>1529.6</v>
      </c>
      <c r="AC43" s="4">
        <f>AC44+AC45</f>
        <v>4131.4</v>
      </c>
      <c r="AD43" s="15">
        <f>AC43/AB43*100</f>
        <v>270.09675732217573</v>
      </c>
      <c r="AE43" s="4">
        <f>AE44+AE45</f>
        <v>874.5</v>
      </c>
      <c r="AF43" s="4">
        <f>AF44+AF45</f>
        <v>11377.7</v>
      </c>
      <c r="AG43" s="30">
        <f>AF43/AE43*100</f>
        <v>1301.052029731275</v>
      </c>
      <c r="AH43" s="4">
        <f>AH44+AH45</f>
        <v>2090.6</v>
      </c>
      <c r="AI43" s="4">
        <f>AI44+AI45</f>
        <v>17501</v>
      </c>
      <c r="AJ43" s="4">
        <f>AJ44+AJ45</f>
        <v>4494.7</v>
      </c>
      <c r="AK43" s="4">
        <f>AK44+AK45</f>
        <v>33010.1</v>
      </c>
      <c r="AL43" s="15">
        <f t="shared" si="26"/>
        <v>734.4227645894053</v>
      </c>
      <c r="AM43" s="4">
        <f aca="true" t="shared" si="31" ref="AM43:AT43">AM44+AM45</f>
        <v>10643.5</v>
      </c>
      <c r="AN43" s="4">
        <f t="shared" si="31"/>
        <v>7843.9</v>
      </c>
      <c r="AO43" s="4">
        <f t="shared" si="31"/>
        <v>52944.2</v>
      </c>
      <c r="AP43" s="4">
        <f t="shared" si="31"/>
        <v>22748.9</v>
      </c>
      <c r="AQ43" s="4">
        <f>AQ44+AQ45</f>
        <v>75529.5</v>
      </c>
      <c r="AR43" s="4">
        <f>AR44+AR45</f>
        <v>125189.2</v>
      </c>
      <c r="AS43" s="4">
        <f t="shared" si="31"/>
        <v>376364.7</v>
      </c>
      <c r="AT43" s="4">
        <f t="shared" si="31"/>
        <v>390669.4</v>
      </c>
      <c r="AU43" s="15">
        <f t="shared" si="29"/>
        <v>103.80075495921908</v>
      </c>
      <c r="AV43" s="51">
        <f>AV44+AV45</f>
        <v>-14304.699999999999</v>
      </c>
      <c r="AW43" s="51">
        <f>AW44+AW45</f>
        <v>1126.500000000001</v>
      </c>
    </row>
    <row r="44" spans="1:49" s="52" customFormat="1" ht="24.75" customHeight="1">
      <c r="A44" s="40"/>
      <c r="B44" s="1" t="s">
        <v>98</v>
      </c>
      <c r="C44" s="2">
        <v>17049</v>
      </c>
      <c r="D44" s="3">
        <v>81879</v>
      </c>
      <c r="E44" s="3">
        <v>5797</v>
      </c>
      <c r="F44" s="15">
        <f t="shared" si="21"/>
        <v>7.079959452362633</v>
      </c>
      <c r="G44" s="3">
        <v>76700</v>
      </c>
      <c r="H44" s="3">
        <v>31275</v>
      </c>
      <c r="I44" s="15">
        <f t="shared" si="22"/>
        <v>40.77574967405476</v>
      </c>
      <c r="J44" s="3">
        <v>46450</v>
      </c>
      <c r="K44" s="3">
        <v>97423</v>
      </c>
      <c r="L44" s="15">
        <f t="shared" si="23"/>
        <v>209.73735199138858</v>
      </c>
      <c r="M44" s="3">
        <f>D44+G44+J44</f>
        <v>205029</v>
      </c>
      <c r="N44" s="3">
        <f>E44+H44+K44</f>
        <v>134495</v>
      </c>
      <c r="O44" s="15">
        <f t="shared" si="2"/>
        <v>65.59803735081378</v>
      </c>
      <c r="P44" s="3">
        <v>16239</v>
      </c>
      <c r="Q44" s="3">
        <v>39990</v>
      </c>
      <c r="R44" s="15">
        <f>Q44/P44*100</f>
        <v>246.25900609643452</v>
      </c>
      <c r="S44" s="3">
        <v>3995</v>
      </c>
      <c r="T44" s="3">
        <v>15427</v>
      </c>
      <c r="U44" s="15">
        <f>T44/S44*100</f>
        <v>386.1576971214018</v>
      </c>
      <c r="V44" s="3">
        <v>3170</v>
      </c>
      <c r="W44" s="3">
        <v>9909</v>
      </c>
      <c r="X44" s="15">
        <f>W44/V44*100</f>
        <v>312.58675078864354</v>
      </c>
      <c r="Y44" s="3">
        <f>P44+S44+V44</f>
        <v>23404</v>
      </c>
      <c r="Z44" s="3">
        <f>Q44+T44+W44</f>
        <v>65326</v>
      </c>
      <c r="AA44" s="15">
        <f t="shared" si="25"/>
        <v>279.12322679883783</v>
      </c>
      <c r="AB44" s="3">
        <v>1501</v>
      </c>
      <c r="AC44" s="3">
        <v>4020</v>
      </c>
      <c r="AD44" s="15">
        <f>AC44/AB44*100</f>
        <v>267.8214523650899</v>
      </c>
      <c r="AE44" s="3">
        <v>851</v>
      </c>
      <c r="AF44" s="3">
        <v>11124</v>
      </c>
      <c r="AG44" s="30">
        <f>AF44/AE44*100</f>
        <v>1307.1680376028203</v>
      </c>
      <c r="AH44" s="3">
        <v>2070</v>
      </c>
      <c r="AI44" s="3">
        <v>17501</v>
      </c>
      <c r="AJ44" s="3">
        <f>AB44+AE44+AH44</f>
        <v>4422</v>
      </c>
      <c r="AK44" s="3">
        <f>AC44+AF44+AI44</f>
        <v>32645</v>
      </c>
      <c r="AL44" s="15">
        <f t="shared" si="26"/>
        <v>738.2406151062868</v>
      </c>
      <c r="AM44" s="3">
        <v>10148</v>
      </c>
      <c r="AN44" s="3">
        <v>7392</v>
      </c>
      <c r="AO44" s="3">
        <v>51590</v>
      </c>
      <c r="AP44" s="3">
        <v>21719</v>
      </c>
      <c r="AQ44" s="3">
        <v>73468</v>
      </c>
      <c r="AR44" s="3">
        <v>122039</v>
      </c>
      <c r="AS44" s="3">
        <f>M44+Y44+AJ44+AM44+AO44+AQ44</f>
        <v>368061</v>
      </c>
      <c r="AT44" s="3">
        <f>N44+Z44+AK44+AN44+AP44+AR44</f>
        <v>383616</v>
      </c>
      <c r="AU44" s="15">
        <f t="shared" si="29"/>
        <v>104.22620163505505</v>
      </c>
      <c r="AV44" s="15">
        <f>AS44-AT44</f>
        <v>-15555</v>
      </c>
      <c r="AW44" s="4">
        <f>C44+AS44-AT44</f>
        <v>1494</v>
      </c>
    </row>
    <row r="45" spans="1:49" s="8" customFormat="1" ht="24.75" customHeight="1">
      <c r="A45" s="40"/>
      <c r="B45" s="1" t="s">
        <v>69</v>
      </c>
      <c r="C45" s="2">
        <v>-1617.8</v>
      </c>
      <c r="D45" s="3">
        <v>1826.4</v>
      </c>
      <c r="E45" s="3">
        <v>0</v>
      </c>
      <c r="F45" s="15">
        <f t="shared" si="21"/>
        <v>0</v>
      </c>
      <c r="G45" s="46">
        <v>1548.2</v>
      </c>
      <c r="H45" s="46">
        <v>0</v>
      </c>
      <c r="I45" s="15">
        <f t="shared" si="22"/>
        <v>0</v>
      </c>
      <c r="J45" s="46">
        <v>725.7</v>
      </c>
      <c r="K45" s="46">
        <v>541.3</v>
      </c>
      <c r="L45" s="15">
        <f t="shared" si="23"/>
        <v>74.5900509852556</v>
      </c>
      <c r="M45" s="3">
        <f>D45+G45+J45</f>
        <v>4100.3</v>
      </c>
      <c r="N45" s="3">
        <f>E45+H45+K45</f>
        <v>541.3</v>
      </c>
      <c r="O45" s="15">
        <f t="shared" si="2"/>
        <v>13.201473062946611</v>
      </c>
      <c r="P45" s="46">
        <v>160.5</v>
      </c>
      <c r="Q45" s="46">
        <v>809.6</v>
      </c>
      <c r="R45" s="15">
        <f>Q45/P45*100</f>
        <v>504.4236760124611</v>
      </c>
      <c r="S45" s="46">
        <v>28.7</v>
      </c>
      <c r="T45" s="46">
        <v>425.7</v>
      </c>
      <c r="U45" s="15">
        <f>T45/S45*100</f>
        <v>1483.2752613240418</v>
      </c>
      <c r="V45" s="46">
        <v>30.3</v>
      </c>
      <c r="W45" s="46">
        <v>279.7</v>
      </c>
      <c r="X45" s="15">
        <f>W45/V45*100</f>
        <v>923.102310231023</v>
      </c>
      <c r="Y45" s="3">
        <f>P45+S45+V45</f>
        <v>219.5</v>
      </c>
      <c r="Z45" s="3">
        <f>Q45+T45+W45</f>
        <v>1515</v>
      </c>
      <c r="AA45" s="15">
        <f t="shared" si="25"/>
        <v>690.2050113895217</v>
      </c>
      <c r="AB45" s="46">
        <v>28.6</v>
      </c>
      <c r="AC45" s="46">
        <v>111.4</v>
      </c>
      <c r="AD45" s="15">
        <f>AC45/AB45*100</f>
        <v>389.5104895104895</v>
      </c>
      <c r="AE45" s="46">
        <v>23.5</v>
      </c>
      <c r="AF45" s="46">
        <v>253.7</v>
      </c>
      <c r="AG45" s="38">
        <f>AF45/AE45*100</f>
        <v>1079.5744680851064</v>
      </c>
      <c r="AH45" s="46">
        <v>20.6</v>
      </c>
      <c r="AI45" s="46">
        <v>0</v>
      </c>
      <c r="AJ45" s="3">
        <f>AB45+AE45+AH45</f>
        <v>72.7</v>
      </c>
      <c r="AK45" s="3">
        <f>AC45+AF45+AI45</f>
        <v>365.1</v>
      </c>
      <c r="AL45" s="15">
        <f t="shared" si="26"/>
        <v>502.2008253094911</v>
      </c>
      <c r="AM45" s="46">
        <v>495.5</v>
      </c>
      <c r="AN45" s="46">
        <v>451.9</v>
      </c>
      <c r="AO45" s="46">
        <v>1354.2</v>
      </c>
      <c r="AP45" s="46">
        <v>1029.9</v>
      </c>
      <c r="AQ45" s="46">
        <v>2061.5</v>
      </c>
      <c r="AR45" s="46">
        <v>3150.2</v>
      </c>
      <c r="AS45" s="3">
        <f>M45+Y45+AJ45+AM45+AO45+AQ45</f>
        <v>8303.7</v>
      </c>
      <c r="AT45" s="3">
        <f>N45+Z45+AK45+AN45+AP45+AR45</f>
        <v>7053.4</v>
      </c>
      <c r="AU45" s="15">
        <f t="shared" si="29"/>
        <v>84.94285679877643</v>
      </c>
      <c r="AV45" s="15">
        <f>AS45-AT45</f>
        <v>1250.300000000001</v>
      </c>
      <c r="AW45" s="4">
        <f>C45+AS45-AT45</f>
        <v>-367.4999999999991</v>
      </c>
    </row>
    <row r="46" spans="1:51" s="8" customFormat="1" ht="24.75" customHeight="1">
      <c r="A46" s="40"/>
      <c r="B46" s="17" t="s">
        <v>78</v>
      </c>
      <c r="C46" s="50">
        <f>C7+C43</f>
        <v>19928.4</v>
      </c>
      <c r="D46" s="4">
        <f>D7+D43</f>
        <v>94410.9</v>
      </c>
      <c r="E46" s="4">
        <f>E7+E43</f>
        <v>6293</v>
      </c>
      <c r="F46" s="15">
        <f>E46/D46*100</f>
        <v>6.665543914950499</v>
      </c>
      <c r="G46" s="4">
        <f>G7+G43</f>
        <v>87275.79999999999</v>
      </c>
      <c r="H46" s="4">
        <f>H7+H43</f>
        <v>35226.2</v>
      </c>
      <c r="I46" s="15">
        <f>H46/G46*100</f>
        <v>40.36193309027245</v>
      </c>
      <c r="J46" s="4">
        <f>J7+J43</f>
        <v>51007.7</v>
      </c>
      <c r="K46" s="4">
        <f>K7+K43</f>
        <v>102902.1</v>
      </c>
      <c r="L46" s="15">
        <f t="shared" si="23"/>
        <v>201.73836499195224</v>
      </c>
      <c r="M46" s="4">
        <f>M7+M43</f>
        <v>232694.4</v>
      </c>
      <c r="N46" s="4">
        <f>N7+N43</f>
        <v>144421.3</v>
      </c>
      <c r="O46" s="15">
        <f t="shared" si="2"/>
        <v>62.064793995901915</v>
      </c>
      <c r="P46" s="4">
        <f>P7+P43</f>
        <v>16880.5</v>
      </c>
      <c r="Q46" s="4">
        <f>Q7+Q43</f>
        <v>48112.299999999996</v>
      </c>
      <c r="R46" s="15">
        <f>Q46/P46*100</f>
        <v>285.01703148603417</v>
      </c>
      <c r="S46" s="4">
        <f>S7+S43</f>
        <v>4030.8999999999996</v>
      </c>
      <c r="T46" s="4">
        <f>T7+T43</f>
        <v>16685.8</v>
      </c>
      <c r="U46" s="15">
        <f>T46/S46*100</f>
        <v>413.94725743630454</v>
      </c>
      <c r="V46" s="4">
        <f>V7+V43</f>
        <v>3200.3</v>
      </c>
      <c r="W46" s="4">
        <f>W7+W43</f>
        <v>11292.5</v>
      </c>
      <c r="X46" s="15">
        <f>W46/V46*100</f>
        <v>352.85754460519325</v>
      </c>
      <c r="Y46" s="4">
        <f>Y7+Y43</f>
        <v>24111.7</v>
      </c>
      <c r="Z46" s="4">
        <f>Z7+Z43</f>
        <v>76090.6</v>
      </c>
      <c r="AA46" s="15">
        <f t="shared" si="25"/>
        <v>315.5754260379816</v>
      </c>
      <c r="AB46" s="4">
        <f>AB7+AB43</f>
        <v>1529.6</v>
      </c>
      <c r="AC46" s="4">
        <f>AC7+AC43</f>
        <v>4949.9</v>
      </c>
      <c r="AD46" s="15">
        <f>AC46/AB46*100</f>
        <v>323.6074790794979</v>
      </c>
      <c r="AE46" s="4">
        <f>AE7+AE43</f>
        <v>874.5</v>
      </c>
      <c r="AF46" s="4">
        <f>AF7+AF43</f>
        <v>12132.6</v>
      </c>
      <c r="AG46" s="15">
        <f>AF46/AE46*100</f>
        <v>1387.3756432246998</v>
      </c>
      <c r="AH46" s="4">
        <f>AH7+AH43</f>
        <v>2090.6</v>
      </c>
      <c r="AI46" s="4">
        <f>AI7+AI43</f>
        <v>19067.9</v>
      </c>
      <c r="AJ46" s="4">
        <f>AJ7+AJ43</f>
        <v>4494.7</v>
      </c>
      <c r="AK46" s="4">
        <f>AK7+AK43</f>
        <v>36150.4</v>
      </c>
      <c r="AL46" s="15">
        <f t="shared" si="26"/>
        <v>804.2894965181214</v>
      </c>
      <c r="AM46" s="4">
        <f aca="true" t="shared" si="32" ref="AM46:AT46">AM7+AM43</f>
        <v>12253.7</v>
      </c>
      <c r="AN46" s="4">
        <f t="shared" si="32"/>
        <v>9196.5</v>
      </c>
      <c r="AO46" s="4">
        <f t="shared" si="32"/>
        <v>60242.899999999994</v>
      </c>
      <c r="AP46" s="4">
        <f t="shared" si="32"/>
        <v>25822.600000000002</v>
      </c>
      <c r="AQ46" s="4">
        <f>AQ7+AQ43</f>
        <v>84076.1</v>
      </c>
      <c r="AR46" s="4">
        <f>AR7+AR43</f>
        <v>145361.7</v>
      </c>
      <c r="AS46" s="4">
        <f t="shared" si="32"/>
        <v>417873.5</v>
      </c>
      <c r="AT46" s="4">
        <f t="shared" si="32"/>
        <v>437043.10000000003</v>
      </c>
      <c r="AU46" s="15">
        <f>AT46/AS46*100</f>
        <v>104.5874170053856</v>
      </c>
      <c r="AV46" s="51">
        <f>AV7+AV43</f>
        <v>-19169.6</v>
      </c>
      <c r="AW46" s="51">
        <f>AW7+AW43</f>
        <v>758.800000000002</v>
      </c>
      <c r="AX46" s="22">
        <f>AS46-AT46</f>
        <v>-19169.600000000035</v>
      </c>
      <c r="AY46" s="19">
        <f>C46+AS46-AT46</f>
        <v>758.7999999999884</v>
      </c>
    </row>
    <row r="47" spans="1:49" ht="17.25" customHeigh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1:49" ht="4.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</row>
    <row r="49" spans="1:49" ht="18.75" customHeight="1" hidden="1">
      <c r="A49" s="6"/>
      <c r="B49" s="8" t="s">
        <v>82</v>
      </c>
      <c r="C49" s="53"/>
      <c r="D49" s="54"/>
      <c r="E49" s="55"/>
      <c r="F49" s="5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9"/>
    </row>
    <row r="50" spans="2:49" ht="7.5" customHeight="1" hidden="1">
      <c r="B50" s="8"/>
      <c r="C50" s="53"/>
      <c r="D50" s="53"/>
      <c r="E50" s="53"/>
      <c r="F50" s="5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9"/>
    </row>
    <row r="51" spans="1:49" ht="18.75" customHeight="1" hidden="1">
      <c r="A51" s="6"/>
      <c r="B51" s="8" t="s">
        <v>83</v>
      </c>
      <c r="C51" s="53"/>
      <c r="D51" s="55"/>
      <c r="E51" s="53"/>
      <c r="F51" s="56"/>
      <c r="G51" s="33"/>
      <c r="H51" s="33"/>
      <c r="I51" s="57"/>
      <c r="J51" s="33"/>
      <c r="K51" s="33"/>
      <c r="L51" s="57"/>
      <c r="M51" s="57"/>
      <c r="N51" s="57"/>
      <c r="O51" s="57"/>
      <c r="P51" s="33"/>
      <c r="Q51" s="33"/>
      <c r="R51" s="57"/>
      <c r="S51" s="33"/>
      <c r="T51" s="33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8"/>
      <c r="AT51" s="58"/>
      <c r="AU51" s="57"/>
      <c r="AV51" s="33"/>
      <c r="AW51" s="59" t="s">
        <v>97</v>
      </c>
    </row>
    <row r="52" spans="1:49" ht="24.75" customHeight="1">
      <c r="A52" s="60"/>
      <c r="B52" s="132"/>
      <c r="C52" s="132"/>
      <c r="G52" s="33"/>
      <c r="H52" s="33"/>
      <c r="I52" s="57"/>
      <c r="J52" s="33"/>
      <c r="K52" s="33"/>
      <c r="L52" s="57"/>
      <c r="M52" s="57"/>
      <c r="N52" s="57"/>
      <c r="O52" s="57"/>
      <c r="P52" s="33"/>
      <c r="Q52" s="33"/>
      <c r="R52" s="57"/>
      <c r="S52" s="33"/>
      <c r="T52" s="33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33"/>
      <c r="AT52" s="33"/>
      <c r="AU52" s="57"/>
      <c r="AV52" s="33"/>
      <c r="AW52" s="33"/>
    </row>
    <row r="53" spans="1:49" s="66" customFormat="1" ht="52.5" customHeight="1">
      <c r="A53" s="61"/>
      <c r="B53" s="129" t="s">
        <v>101</v>
      </c>
      <c r="C53" s="129"/>
      <c r="D53" s="129"/>
      <c r="E53" s="62"/>
      <c r="F53" s="63"/>
      <c r="G53" s="64"/>
      <c r="H53" s="64"/>
      <c r="I53" s="63"/>
      <c r="J53" s="64"/>
      <c r="K53" s="64"/>
      <c r="L53" s="63"/>
      <c r="M53" s="63"/>
      <c r="N53" s="63"/>
      <c r="O53" s="63"/>
      <c r="P53" s="64"/>
      <c r="Q53" s="64"/>
      <c r="R53" s="63"/>
      <c r="S53" s="64"/>
      <c r="T53" s="64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2"/>
      <c r="AT53" s="62"/>
      <c r="AU53" s="63"/>
      <c r="AV53" s="64"/>
      <c r="AW53" s="65" t="s">
        <v>100</v>
      </c>
    </row>
    <row r="54" spans="1:49" ht="49.5" customHeight="1" hidden="1">
      <c r="A54" s="60"/>
      <c r="B54" s="136" t="s">
        <v>37</v>
      </c>
      <c r="C54" s="136"/>
      <c r="D54" s="8"/>
      <c r="E54" s="8"/>
      <c r="G54" s="29"/>
      <c r="H54" s="29"/>
      <c r="I54" s="67"/>
      <c r="J54" s="29"/>
      <c r="K54" s="29"/>
      <c r="L54" s="67"/>
      <c r="M54" s="67"/>
      <c r="N54" s="67"/>
      <c r="O54" s="67"/>
      <c r="P54" s="29"/>
      <c r="Q54" s="29"/>
      <c r="R54" s="67"/>
      <c r="S54" s="29"/>
      <c r="T54" s="29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29"/>
      <c r="AT54" s="29"/>
      <c r="AU54" s="67"/>
      <c r="AV54" s="29"/>
      <c r="AW54" s="29"/>
    </row>
    <row r="55" spans="1:54" ht="73.5" customHeight="1" hidden="1">
      <c r="A55" s="130" t="s">
        <v>99</v>
      </c>
      <c r="B55" s="130"/>
      <c r="C55" s="130"/>
      <c r="D55" s="58"/>
      <c r="E55" s="58"/>
      <c r="F55" s="57"/>
      <c r="G55" s="3">
        <v>142.7</v>
      </c>
      <c r="H55" s="3">
        <v>103.3</v>
      </c>
      <c r="I55" s="15"/>
      <c r="J55" s="3">
        <v>142.7</v>
      </c>
      <c r="K55" s="3">
        <v>103.3</v>
      </c>
      <c r="L55" s="15"/>
      <c r="M55" s="15"/>
      <c r="N55" s="15"/>
      <c r="O55" s="15"/>
      <c r="P55" s="3">
        <v>142.7</v>
      </c>
      <c r="Q55" s="3">
        <v>103.3</v>
      </c>
      <c r="R55" s="15"/>
      <c r="S55" s="3">
        <v>142.7</v>
      </c>
      <c r="T55" s="3">
        <v>103.3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3">
        <v>1154.2</v>
      </c>
      <c r="AT55" s="3">
        <v>1213.3</v>
      </c>
      <c r="AU55" s="15"/>
      <c r="AV55" s="3"/>
      <c r="AW55" s="4">
        <f>C55+D55-E55</f>
        <v>0</v>
      </c>
      <c r="AX55" s="33"/>
      <c r="AY55" s="33"/>
      <c r="AZ55" s="33"/>
      <c r="BA55" s="57"/>
      <c r="BB55" s="59" t="s">
        <v>97</v>
      </c>
    </row>
    <row r="56" spans="2:49" ht="18.75">
      <c r="B56" s="5" t="s">
        <v>40</v>
      </c>
      <c r="C56" s="68">
        <v>91.5</v>
      </c>
      <c r="D56" s="33"/>
      <c r="E56" s="33"/>
      <c r="F56" s="57"/>
      <c r="G56" s="29"/>
      <c r="H56" s="29"/>
      <c r="I56" s="67"/>
      <c r="J56" s="29"/>
      <c r="K56" s="29"/>
      <c r="L56" s="67"/>
      <c r="M56" s="67"/>
      <c r="N56" s="67"/>
      <c r="O56" s="67"/>
      <c r="P56" s="29"/>
      <c r="Q56" s="29"/>
      <c r="R56" s="67"/>
      <c r="S56" s="29"/>
      <c r="T56" s="29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29">
        <v>1415.7</v>
      </c>
      <c r="AT56" s="29">
        <v>1436.1</v>
      </c>
      <c r="AU56" s="67"/>
      <c r="AV56" s="29"/>
      <c r="AW56" s="4">
        <f>C56+D56-E56</f>
        <v>91.5</v>
      </c>
    </row>
    <row r="57" spans="3:49" ht="18.75">
      <c r="C57" s="68"/>
      <c r="D57" s="33"/>
      <c r="E57" s="33"/>
      <c r="F57" s="57"/>
      <c r="G57" s="29"/>
      <c r="H57" s="29"/>
      <c r="I57" s="67"/>
      <c r="J57" s="29"/>
      <c r="K57" s="29"/>
      <c r="L57" s="67"/>
      <c r="M57" s="67"/>
      <c r="N57" s="67"/>
      <c r="O57" s="67"/>
      <c r="P57" s="29"/>
      <c r="Q57" s="29"/>
      <c r="R57" s="67"/>
      <c r="S57" s="29"/>
      <c r="T57" s="29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29"/>
      <c r="AT57" s="29"/>
      <c r="AU57" s="67"/>
      <c r="AV57" s="29"/>
      <c r="AW57" s="29"/>
    </row>
    <row r="58" spans="3:49" ht="18.75">
      <c r="C58" s="68"/>
      <c r="D58" s="33"/>
      <c r="E58" s="33"/>
      <c r="F58" s="57"/>
      <c r="G58" s="29"/>
      <c r="H58" s="29"/>
      <c r="I58" s="67"/>
      <c r="J58" s="29"/>
      <c r="K58" s="29"/>
      <c r="L58" s="67"/>
      <c r="M58" s="67"/>
      <c r="N58" s="67"/>
      <c r="O58" s="67"/>
      <c r="P58" s="29"/>
      <c r="Q58" s="29"/>
      <c r="R58" s="67"/>
      <c r="S58" s="29"/>
      <c r="T58" s="29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29"/>
      <c r="AT58" s="29"/>
      <c r="AU58" s="67"/>
      <c r="AV58" s="29"/>
      <c r="AW58" s="29"/>
    </row>
    <row r="59" spans="2:49" ht="18.75">
      <c r="B59" s="5" t="s">
        <v>41</v>
      </c>
      <c r="C59" s="68">
        <f>C9+C17+C20+C26+C36+C38+C40</f>
        <v>1137.8999999999999</v>
      </c>
      <c r="D59" s="33"/>
      <c r="E59" s="33"/>
      <c r="F59" s="57"/>
      <c r="G59" s="29"/>
      <c r="H59" s="29"/>
      <c r="I59" s="67"/>
      <c r="J59" s="29"/>
      <c r="K59" s="29"/>
      <c r="L59" s="67"/>
      <c r="M59" s="67"/>
      <c r="N59" s="67"/>
      <c r="O59" s="67"/>
      <c r="P59" s="29"/>
      <c r="Q59" s="29"/>
      <c r="R59" s="67"/>
      <c r="S59" s="29"/>
      <c r="T59" s="29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29"/>
      <c r="AT59" s="29"/>
      <c r="AU59" s="67"/>
      <c r="AV59" s="29"/>
      <c r="AW59" s="29">
        <f>AW9+AW17+AW20+AW26+AW36+AW38+AW40</f>
        <v>-1354.9000000000015</v>
      </c>
    </row>
    <row r="60" spans="2:49" ht="18.75">
      <c r="B60" s="5" t="s">
        <v>42</v>
      </c>
      <c r="C60" s="68">
        <f>C11+C13+C14+C16+C18+C19+C25</f>
        <v>167.69999999999996</v>
      </c>
      <c r="D60" s="33"/>
      <c r="E60" s="33"/>
      <c r="F60" s="57"/>
      <c r="G60" s="29"/>
      <c r="H60" s="29"/>
      <c r="I60" s="67"/>
      <c r="J60" s="29"/>
      <c r="K60" s="29"/>
      <c r="L60" s="67"/>
      <c r="M60" s="67"/>
      <c r="N60" s="67"/>
      <c r="O60" s="67"/>
      <c r="P60" s="29"/>
      <c r="Q60" s="29"/>
      <c r="R60" s="67"/>
      <c r="S60" s="29"/>
      <c r="T60" s="29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29"/>
      <c r="AT60" s="29"/>
      <c r="AU60" s="67"/>
      <c r="AV60" s="29"/>
      <c r="AW60" s="29">
        <f>AW11+AW13+AW14+AW16+AW18+AW19+AW25</f>
        <v>37.19999999999999</v>
      </c>
    </row>
    <row r="61" spans="3:49" ht="18.75">
      <c r="C61" s="68"/>
      <c r="D61" s="33"/>
      <c r="E61" s="33"/>
      <c r="F61" s="57"/>
      <c r="G61" s="29"/>
      <c r="H61" s="29"/>
      <c r="I61" s="67"/>
      <c r="J61" s="29"/>
      <c r="K61" s="29"/>
      <c r="L61" s="67"/>
      <c r="M61" s="67"/>
      <c r="N61" s="67"/>
      <c r="O61" s="67"/>
      <c r="P61" s="29"/>
      <c r="Q61" s="29"/>
      <c r="R61" s="67"/>
      <c r="S61" s="29"/>
      <c r="T61" s="29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29"/>
      <c r="AT61" s="29"/>
      <c r="AU61" s="67"/>
      <c r="AV61" s="29"/>
      <c r="AW61" s="29"/>
    </row>
    <row r="62" spans="7:49" ht="18.75">
      <c r="G62" s="29"/>
      <c r="H62" s="29"/>
      <c r="I62" s="67"/>
      <c r="J62" s="29"/>
      <c r="K62" s="29"/>
      <c r="L62" s="67"/>
      <c r="M62" s="67"/>
      <c r="N62" s="67"/>
      <c r="O62" s="67"/>
      <c r="P62" s="29"/>
      <c r="Q62" s="29"/>
      <c r="R62" s="67"/>
      <c r="S62" s="29"/>
      <c r="T62" s="29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29"/>
      <c r="AT62" s="29"/>
      <c r="AU62" s="67"/>
      <c r="AV62" s="29"/>
      <c r="AW62" s="29"/>
    </row>
    <row r="63" spans="7:49" ht="18.75">
      <c r="G63" s="29"/>
      <c r="H63" s="29"/>
      <c r="I63" s="67"/>
      <c r="J63" s="29"/>
      <c r="K63" s="29"/>
      <c r="L63" s="67"/>
      <c r="M63" s="67"/>
      <c r="N63" s="67"/>
      <c r="O63" s="67"/>
      <c r="P63" s="29"/>
      <c r="Q63" s="29"/>
      <c r="R63" s="67"/>
      <c r="S63" s="29"/>
      <c r="T63" s="29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29"/>
      <c r="AT63" s="29"/>
      <c r="AU63" s="67"/>
      <c r="AV63" s="29"/>
      <c r="AW63" s="29"/>
    </row>
    <row r="64" spans="7:49" ht="18.75">
      <c r="G64" s="29"/>
      <c r="H64" s="29"/>
      <c r="I64" s="67"/>
      <c r="J64" s="29"/>
      <c r="K64" s="29"/>
      <c r="L64" s="67"/>
      <c r="M64" s="67"/>
      <c r="N64" s="67"/>
      <c r="O64" s="67"/>
      <c r="P64" s="29"/>
      <c r="Q64" s="29"/>
      <c r="R64" s="67"/>
      <c r="S64" s="29"/>
      <c r="T64" s="29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9"/>
      <c r="AT64" s="29"/>
      <c r="AU64" s="67"/>
      <c r="AV64" s="29"/>
      <c r="AW64" s="29"/>
    </row>
    <row r="65" spans="7:49" ht="18.75">
      <c r="G65" s="29"/>
      <c r="H65" s="29"/>
      <c r="I65" s="67"/>
      <c r="J65" s="29"/>
      <c r="K65" s="29"/>
      <c r="L65" s="67"/>
      <c r="M65" s="67"/>
      <c r="N65" s="67"/>
      <c r="O65" s="67"/>
      <c r="P65" s="29"/>
      <c r="Q65" s="29"/>
      <c r="R65" s="67"/>
      <c r="S65" s="29"/>
      <c r="T65" s="2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9"/>
      <c r="AT65" s="29"/>
      <c r="AU65" s="67"/>
      <c r="AV65" s="29"/>
      <c r="AW65" s="29"/>
    </row>
    <row r="66" spans="7:49" ht="18.75">
      <c r="G66" s="29"/>
      <c r="H66" s="29"/>
      <c r="I66" s="67"/>
      <c r="J66" s="29"/>
      <c r="K66" s="29"/>
      <c r="L66" s="67"/>
      <c r="M66" s="67"/>
      <c r="N66" s="67"/>
      <c r="O66" s="67"/>
      <c r="P66" s="29"/>
      <c r="Q66" s="29"/>
      <c r="R66" s="67"/>
      <c r="S66" s="29"/>
      <c r="T66" s="2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29"/>
      <c r="AT66" s="29"/>
      <c r="AU66" s="67"/>
      <c r="AV66" s="29"/>
      <c r="AW66" s="29"/>
    </row>
    <row r="67" spans="7:49" ht="18.75">
      <c r="G67" s="29"/>
      <c r="H67" s="29"/>
      <c r="I67" s="67"/>
      <c r="J67" s="29"/>
      <c r="K67" s="29"/>
      <c r="L67" s="67"/>
      <c r="M67" s="67"/>
      <c r="N67" s="67"/>
      <c r="O67" s="67"/>
      <c r="P67" s="29"/>
      <c r="Q67" s="29"/>
      <c r="R67" s="67"/>
      <c r="S67" s="29"/>
      <c r="T67" s="29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29"/>
      <c r="AT67" s="29"/>
      <c r="AU67" s="67"/>
      <c r="AV67" s="29"/>
      <c r="AW67" s="29"/>
    </row>
    <row r="68" spans="7:49" ht="18.75">
      <c r="G68" s="29"/>
      <c r="H68" s="29"/>
      <c r="I68" s="67"/>
      <c r="J68" s="29"/>
      <c r="K68" s="29"/>
      <c r="L68" s="67"/>
      <c r="M68" s="67"/>
      <c r="N68" s="67"/>
      <c r="O68" s="67"/>
      <c r="P68" s="29"/>
      <c r="Q68" s="29"/>
      <c r="R68" s="67"/>
      <c r="S68" s="29"/>
      <c r="T68" s="29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29"/>
      <c r="AT68" s="29"/>
      <c r="AU68" s="67"/>
      <c r="AV68" s="29"/>
      <c r="AW68" s="29"/>
    </row>
    <row r="69" spans="7:49" ht="18.75">
      <c r="G69" s="29"/>
      <c r="H69" s="29"/>
      <c r="I69" s="67"/>
      <c r="J69" s="29"/>
      <c r="K69" s="29"/>
      <c r="L69" s="67"/>
      <c r="M69" s="67"/>
      <c r="N69" s="67"/>
      <c r="O69" s="67"/>
      <c r="P69" s="29"/>
      <c r="Q69" s="29"/>
      <c r="R69" s="67"/>
      <c r="S69" s="29"/>
      <c r="T69" s="29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29"/>
      <c r="AT69" s="29"/>
      <c r="AU69" s="67"/>
      <c r="AV69" s="29"/>
      <c r="AW69" s="29"/>
    </row>
    <row r="70" spans="7:49" ht="18.75">
      <c r="G70" s="29"/>
      <c r="H70" s="29"/>
      <c r="I70" s="67"/>
      <c r="J70" s="29"/>
      <c r="K70" s="29"/>
      <c r="L70" s="67"/>
      <c r="M70" s="67"/>
      <c r="N70" s="67"/>
      <c r="O70" s="67"/>
      <c r="P70" s="29"/>
      <c r="Q70" s="29"/>
      <c r="R70" s="67"/>
      <c r="S70" s="29"/>
      <c r="T70" s="29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29"/>
      <c r="AT70" s="29"/>
      <c r="AU70" s="67"/>
      <c r="AV70" s="29"/>
      <c r="AW70" s="29"/>
    </row>
    <row r="71" spans="7:49" ht="18.75">
      <c r="G71" s="29"/>
      <c r="H71" s="29"/>
      <c r="I71" s="67"/>
      <c r="J71" s="29"/>
      <c r="K71" s="29"/>
      <c r="L71" s="67"/>
      <c r="M71" s="67"/>
      <c r="N71" s="67"/>
      <c r="O71" s="67"/>
      <c r="P71" s="29"/>
      <c r="Q71" s="29"/>
      <c r="R71" s="67"/>
      <c r="S71" s="29"/>
      <c r="T71" s="29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29"/>
      <c r="AT71" s="29"/>
      <c r="AU71" s="67"/>
      <c r="AV71" s="29"/>
      <c r="AW71" s="29"/>
    </row>
    <row r="72" spans="7:49" ht="18.75">
      <c r="G72" s="29"/>
      <c r="H72" s="29"/>
      <c r="I72" s="67"/>
      <c r="J72" s="29"/>
      <c r="K72" s="29"/>
      <c r="L72" s="67"/>
      <c r="M72" s="67"/>
      <c r="N72" s="67"/>
      <c r="O72" s="67"/>
      <c r="P72" s="29"/>
      <c r="Q72" s="29"/>
      <c r="R72" s="67"/>
      <c r="S72" s="29"/>
      <c r="T72" s="29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29"/>
      <c r="AT72" s="29"/>
      <c r="AU72" s="67"/>
      <c r="AV72" s="29"/>
      <c r="AW72" s="29"/>
    </row>
    <row r="73" spans="7:49" ht="18.75">
      <c r="G73" s="29"/>
      <c r="H73" s="29"/>
      <c r="I73" s="67"/>
      <c r="J73" s="29"/>
      <c r="K73" s="29"/>
      <c r="L73" s="67"/>
      <c r="M73" s="67"/>
      <c r="N73" s="67"/>
      <c r="O73" s="67"/>
      <c r="P73" s="29"/>
      <c r="Q73" s="29"/>
      <c r="R73" s="67"/>
      <c r="S73" s="29"/>
      <c r="T73" s="29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29"/>
      <c r="AT73" s="29"/>
      <c r="AU73" s="67"/>
      <c r="AV73" s="29"/>
      <c r="AW73" s="29"/>
    </row>
    <row r="74" spans="7:49" ht="18.75">
      <c r="G74" s="29"/>
      <c r="H74" s="29"/>
      <c r="I74" s="67"/>
      <c r="J74" s="29"/>
      <c r="K74" s="29"/>
      <c r="L74" s="67"/>
      <c r="M74" s="67"/>
      <c r="N74" s="67"/>
      <c r="O74" s="67"/>
      <c r="P74" s="29"/>
      <c r="Q74" s="29"/>
      <c r="R74" s="67"/>
      <c r="S74" s="29"/>
      <c r="T74" s="29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29"/>
      <c r="AT74" s="29"/>
      <c r="AU74" s="67"/>
      <c r="AV74" s="29"/>
      <c r="AW74" s="29"/>
    </row>
    <row r="75" spans="7:49" ht="18.75">
      <c r="G75" s="29"/>
      <c r="H75" s="29"/>
      <c r="I75" s="67"/>
      <c r="J75" s="29"/>
      <c r="K75" s="29"/>
      <c r="L75" s="67"/>
      <c r="M75" s="67"/>
      <c r="N75" s="67"/>
      <c r="O75" s="67"/>
      <c r="P75" s="29"/>
      <c r="Q75" s="29"/>
      <c r="R75" s="67"/>
      <c r="S75" s="29"/>
      <c r="T75" s="29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29"/>
      <c r="AT75" s="29"/>
      <c r="AU75" s="67"/>
      <c r="AV75" s="29"/>
      <c r="AW75" s="29"/>
    </row>
    <row r="76" spans="7:49" ht="18.75">
      <c r="G76" s="29"/>
      <c r="H76" s="29"/>
      <c r="I76" s="67"/>
      <c r="J76" s="29"/>
      <c r="K76" s="29"/>
      <c r="L76" s="67"/>
      <c r="M76" s="67"/>
      <c r="N76" s="67"/>
      <c r="O76" s="67"/>
      <c r="P76" s="29"/>
      <c r="Q76" s="29"/>
      <c r="R76" s="67"/>
      <c r="S76" s="29"/>
      <c r="T76" s="29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29"/>
      <c r="AT76" s="29"/>
      <c r="AU76" s="67"/>
      <c r="AV76" s="29"/>
      <c r="AW76" s="29"/>
    </row>
    <row r="77" spans="7:49" ht="18.75">
      <c r="G77" s="29"/>
      <c r="H77" s="29"/>
      <c r="I77" s="67"/>
      <c r="J77" s="29"/>
      <c r="K77" s="29"/>
      <c r="L77" s="67"/>
      <c r="M77" s="67"/>
      <c r="N77" s="67"/>
      <c r="O77" s="67"/>
      <c r="P77" s="29"/>
      <c r="Q77" s="29"/>
      <c r="R77" s="67"/>
      <c r="S77" s="29"/>
      <c r="T77" s="2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29"/>
      <c r="AT77" s="29"/>
      <c r="AU77" s="67"/>
      <c r="AV77" s="29"/>
      <c r="AW77" s="29"/>
    </row>
    <row r="78" spans="7:49" ht="18.75">
      <c r="G78" s="29"/>
      <c r="H78" s="29"/>
      <c r="I78" s="67"/>
      <c r="J78" s="29"/>
      <c r="K78" s="29"/>
      <c r="L78" s="67"/>
      <c r="M78" s="67"/>
      <c r="N78" s="67"/>
      <c r="O78" s="67"/>
      <c r="P78" s="29"/>
      <c r="Q78" s="29"/>
      <c r="R78" s="67"/>
      <c r="S78" s="29"/>
      <c r="T78" s="2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29"/>
      <c r="AT78" s="29"/>
      <c r="AU78" s="67"/>
      <c r="AV78" s="29"/>
      <c r="AW78" s="29"/>
    </row>
    <row r="79" spans="7:49" ht="18.75">
      <c r="G79" s="29"/>
      <c r="H79" s="29"/>
      <c r="I79" s="67"/>
      <c r="J79" s="29"/>
      <c r="K79" s="29"/>
      <c r="L79" s="67"/>
      <c r="M79" s="67"/>
      <c r="N79" s="67"/>
      <c r="O79" s="67"/>
      <c r="P79" s="29"/>
      <c r="Q79" s="29"/>
      <c r="R79" s="67"/>
      <c r="S79" s="29"/>
      <c r="T79" s="29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29"/>
      <c r="AT79" s="29"/>
      <c r="AU79" s="67"/>
      <c r="AV79" s="29"/>
      <c r="AW79" s="29"/>
    </row>
    <row r="80" spans="7:49" ht="18.75">
      <c r="G80" s="29"/>
      <c r="H80" s="29"/>
      <c r="I80" s="67"/>
      <c r="J80" s="29"/>
      <c r="K80" s="29"/>
      <c r="L80" s="67"/>
      <c r="M80" s="67"/>
      <c r="N80" s="67"/>
      <c r="O80" s="67"/>
      <c r="P80" s="29"/>
      <c r="Q80" s="29"/>
      <c r="R80" s="67"/>
      <c r="S80" s="29"/>
      <c r="T80" s="29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29"/>
      <c r="AT80" s="29"/>
      <c r="AU80" s="67"/>
      <c r="AV80" s="29"/>
      <c r="AW80" s="29"/>
    </row>
    <row r="81" spans="7:49" ht="18.75">
      <c r="G81" s="29"/>
      <c r="H81" s="29"/>
      <c r="I81" s="67"/>
      <c r="J81" s="29"/>
      <c r="K81" s="29"/>
      <c r="L81" s="67"/>
      <c r="M81" s="67"/>
      <c r="N81" s="67"/>
      <c r="O81" s="67"/>
      <c r="P81" s="29"/>
      <c r="Q81" s="29"/>
      <c r="R81" s="67"/>
      <c r="S81" s="29"/>
      <c r="T81" s="29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29"/>
      <c r="AT81" s="29"/>
      <c r="AU81" s="67"/>
      <c r="AV81" s="29"/>
      <c r="AW81" s="29"/>
    </row>
    <row r="82" spans="7:49" ht="18.75">
      <c r="G82" s="29"/>
      <c r="H82" s="29"/>
      <c r="I82" s="67"/>
      <c r="J82" s="29"/>
      <c r="K82" s="29"/>
      <c r="L82" s="67"/>
      <c r="M82" s="67"/>
      <c r="N82" s="67"/>
      <c r="O82" s="67"/>
      <c r="P82" s="29"/>
      <c r="Q82" s="29"/>
      <c r="R82" s="67"/>
      <c r="S82" s="29"/>
      <c r="T82" s="29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29"/>
      <c r="AT82" s="29"/>
      <c r="AU82" s="67"/>
      <c r="AV82" s="29"/>
      <c r="AW82" s="29"/>
    </row>
    <row r="83" spans="7:49" ht="18.75">
      <c r="G83" s="29"/>
      <c r="H83" s="29"/>
      <c r="I83" s="67"/>
      <c r="J83" s="29"/>
      <c r="K83" s="29"/>
      <c r="L83" s="67"/>
      <c r="M83" s="67"/>
      <c r="N83" s="67"/>
      <c r="O83" s="67"/>
      <c r="P83" s="29"/>
      <c r="Q83" s="29"/>
      <c r="R83" s="67"/>
      <c r="S83" s="29"/>
      <c r="T83" s="29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29"/>
      <c r="AT83" s="29"/>
      <c r="AU83" s="67"/>
      <c r="AV83" s="29"/>
      <c r="AW83" s="29"/>
    </row>
    <row r="84" spans="7:49" ht="18.75">
      <c r="G84" s="29"/>
      <c r="H84" s="29"/>
      <c r="I84" s="67"/>
      <c r="J84" s="29"/>
      <c r="K84" s="29"/>
      <c r="L84" s="67"/>
      <c r="M84" s="67"/>
      <c r="N84" s="67"/>
      <c r="O84" s="67"/>
      <c r="P84" s="29"/>
      <c r="Q84" s="29"/>
      <c r="R84" s="67"/>
      <c r="S84" s="29"/>
      <c r="T84" s="29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29"/>
      <c r="AT84" s="29"/>
      <c r="AU84" s="67"/>
      <c r="AV84" s="29"/>
      <c r="AW84" s="29"/>
    </row>
    <row r="85" spans="7:49" ht="18.75">
      <c r="G85" s="29"/>
      <c r="H85" s="29"/>
      <c r="I85" s="67"/>
      <c r="J85" s="29"/>
      <c r="K85" s="29"/>
      <c r="L85" s="67"/>
      <c r="M85" s="67"/>
      <c r="N85" s="67"/>
      <c r="O85" s="67"/>
      <c r="P85" s="29"/>
      <c r="Q85" s="29"/>
      <c r="R85" s="67"/>
      <c r="S85" s="29"/>
      <c r="T85" s="29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29"/>
      <c r="AT85" s="29"/>
      <c r="AU85" s="67"/>
      <c r="AV85" s="29"/>
      <c r="AW85" s="29"/>
    </row>
    <row r="86" spans="7:49" ht="18.75">
      <c r="G86" s="29"/>
      <c r="H86" s="29"/>
      <c r="I86" s="67"/>
      <c r="J86" s="29"/>
      <c r="K86" s="29"/>
      <c r="L86" s="67"/>
      <c r="M86" s="67"/>
      <c r="N86" s="67"/>
      <c r="O86" s="67"/>
      <c r="P86" s="29"/>
      <c r="Q86" s="29"/>
      <c r="R86" s="67"/>
      <c r="S86" s="29"/>
      <c r="T86" s="29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29"/>
      <c r="AT86" s="29"/>
      <c r="AU86" s="67"/>
      <c r="AV86" s="29"/>
      <c r="AW86" s="29"/>
    </row>
    <row r="87" spans="7:49" ht="18.75">
      <c r="G87" s="29"/>
      <c r="H87" s="29"/>
      <c r="I87" s="67"/>
      <c r="J87" s="29"/>
      <c r="K87" s="29"/>
      <c r="L87" s="67"/>
      <c r="M87" s="67"/>
      <c r="N87" s="67"/>
      <c r="O87" s="67"/>
      <c r="P87" s="29"/>
      <c r="Q87" s="29"/>
      <c r="R87" s="67"/>
      <c r="S87" s="29"/>
      <c r="T87" s="29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29"/>
      <c r="AT87" s="29"/>
      <c r="AU87" s="67"/>
      <c r="AV87" s="29"/>
      <c r="AW87" s="29"/>
    </row>
    <row r="88" spans="7:49" ht="18.75">
      <c r="G88" s="29"/>
      <c r="H88" s="29"/>
      <c r="I88" s="67"/>
      <c r="J88" s="29"/>
      <c r="K88" s="29"/>
      <c r="L88" s="67"/>
      <c r="M88" s="67"/>
      <c r="N88" s="67"/>
      <c r="O88" s="67"/>
      <c r="P88" s="29"/>
      <c r="Q88" s="29"/>
      <c r="R88" s="67"/>
      <c r="S88" s="29"/>
      <c r="T88" s="2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29"/>
      <c r="AT88" s="29"/>
      <c r="AU88" s="67"/>
      <c r="AV88" s="29"/>
      <c r="AW88" s="29"/>
    </row>
    <row r="89" spans="7:49" ht="18.75">
      <c r="G89" s="29"/>
      <c r="H89" s="29"/>
      <c r="I89" s="67"/>
      <c r="J89" s="29"/>
      <c r="K89" s="29"/>
      <c r="L89" s="67"/>
      <c r="M89" s="67"/>
      <c r="N89" s="67"/>
      <c r="O89" s="67"/>
      <c r="P89" s="29"/>
      <c r="Q89" s="29"/>
      <c r="R89" s="67"/>
      <c r="S89" s="29"/>
      <c r="T89" s="29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29"/>
      <c r="AT89" s="29"/>
      <c r="AU89" s="67"/>
      <c r="AV89" s="29"/>
      <c r="AW89" s="29"/>
    </row>
    <row r="90" spans="7:49" ht="18.75">
      <c r="G90" s="29"/>
      <c r="H90" s="29"/>
      <c r="I90" s="67"/>
      <c r="J90" s="29"/>
      <c r="K90" s="29"/>
      <c r="L90" s="67"/>
      <c r="M90" s="67"/>
      <c r="N90" s="67"/>
      <c r="O90" s="67"/>
      <c r="P90" s="29"/>
      <c r="Q90" s="29"/>
      <c r="R90" s="67"/>
      <c r="S90" s="29"/>
      <c r="T90" s="29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29"/>
      <c r="AT90" s="29"/>
      <c r="AU90" s="67"/>
      <c r="AV90" s="29"/>
      <c r="AW90" s="29"/>
    </row>
    <row r="91" spans="7:49" ht="18.75">
      <c r="G91" s="29"/>
      <c r="H91" s="29"/>
      <c r="I91" s="67"/>
      <c r="J91" s="29"/>
      <c r="K91" s="29"/>
      <c r="L91" s="67"/>
      <c r="M91" s="67"/>
      <c r="N91" s="67"/>
      <c r="O91" s="67"/>
      <c r="P91" s="29"/>
      <c r="Q91" s="29"/>
      <c r="R91" s="67"/>
      <c r="S91" s="29"/>
      <c r="T91" s="29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29"/>
      <c r="AT91" s="29"/>
      <c r="AU91" s="67"/>
      <c r="AV91" s="29"/>
      <c r="AW91" s="29"/>
    </row>
    <row r="92" spans="7:49" ht="18.75">
      <c r="G92" s="29"/>
      <c r="H92" s="29"/>
      <c r="I92" s="67"/>
      <c r="J92" s="29"/>
      <c r="K92" s="29"/>
      <c r="L92" s="67"/>
      <c r="M92" s="67"/>
      <c r="N92" s="67"/>
      <c r="O92" s="67"/>
      <c r="P92" s="29"/>
      <c r="Q92" s="29"/>
      <c r="R92" s="67"/>
      <c r="S92" s="29"/>
      <c r="T92" s="29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29"/>
      <c r="AT92" s="29"/>
      <c r="AU92" s="67"/>
      <c r="AV92" s="29"/>
      <c r="AW92" s="29"/>
    </row>
    <row r="93" spans="7:49" ht="18.75">
      <c r="G93" s="29"/>
      <c r="H93" s="29"/>
      <c r="I93" s="67"/>
      <c r="J93" s="29"/>
      <c r="K93" s="29"/>
      <c r="L93" s="67"/>
      <c r="M93" s="67"/>
      <c r="N93" s="67"/>
      <c r="O93" s="67"/>
      <c r="P93" s="29"/>
      <c r="Q93" s="29"/>
      <c r="R93" s="67"/>
      <c r="S93" s="29"/>
      <c r="T93" s="29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29"/>
      <c r="AT93" s="29"/>
      <c r="AU93" s="67"/>
      <c r="AV93" s="29"/>
      <c r="AW93" s="29"/>
    </row>
    <row r="94" spans="7:49" ht="18.75">
      <c r="G94" s="29"/>
      <c r="H94" s="29"/>
      <c r="I94" s="67"/>
      <c r="J94" s="29"/>
      <c r="K94" s="29"/>
      <c r="L94" s="67"/>
      <c r="M94" s="67"/>
      <c r="N94" s="67"/>
      <c r="O94" s="67"/>
      <c r="P94" s="29"/>
      <c r="Q94" s="29"/>
      <c r="R94" s="67"/>
      <c r="S94" s="29"/>
      <c r="T94" s="29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29"/>
      <c r="AT94" s="29"/>
      <c r="AU94" s="67"/>
      <c r="AV94" s="29"/>
      <c r="AW94" s="29"/>
    </row>
    <row r="95" spans="7:49" ht="18.75">
      <c r="G95" s="29"/>
      <c r="H95" s="29"/>
      <c r="I95" s="67"/>
      <c r="J95" s="29"/>
      <c r="K95" s="29"/>
      <c r="L95" s="67"/>
      <c r="M95" s="67"/>
      <c r="N95" s="67"/>
      <c r="O95" s="67"/>
      <c r="P95" s="29"/>
      <c r="Q95" s="29"/>
      <c r="R95" s="67"/>
      <c r="S95" s="29"/>
      <c r="T95" s="29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29"/>
      <c r="AT95" s="29"/>
      <c r="AU95" s="67"/>
      <c r="AV95" s="29"/>
      <c r="AW95" s="29"/>
    </row>
    <row r="96" spans="7:49" ht="18.75">
      <c r="G96" s="29"/>
      <c r="H96" s="29"/>
      <c r="I96" s="67"/>
      <c r="J96" s="29"/>
      <c r="K96" s="29"/>
      <c r="L96" s="67"/>
      <c r="M96" s="67"/>
      <c r="N96" s="67"/>
      <c r="O96" s="67"/>
      <c r="P96" s="29"/>
      <c r="Q96" s="29"/>
      <c r="R96" s="67"/>
      <c r="S96" s="29"/>
      <c r="T96" s="29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29"/>
      <c r="AT96" s="29"/>
      <c r="AU96" s="67"/>
      <c r="AV96" s="29"/>
      <c r="AW96" s="29"/>
    </row>
    <row r="97" spans="7:49" ht="18.75">
      <c r="G97" s="29"/>
      <c r="H97" s="29"/>
      <c r="I97" s="67"/>
      <c r="J97" s="29"/>
      <c r="K97" s="29"/>
      <c r="L97" s="67"/>
      <c r="M97" s="67"/>
      <c r="N97" s="67"/>
      <c r="O97" s="67"/>
      <c r="P97" s="29"/>
      <c r="Q97" s="29"/>
      <c r="R97" s="67"/>
      <c r="S97" s="29"/>
      <c r="T97" s="29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29"/>
      <c r="AT97" s="29"/>
      <c r="AU97" s="67"/>
      <c r="AV97" s="29"/>
      <c r="AW97" s="29"/>
    </row>
    <row r="98" spans="7:49" ht="18.75">
      <c r="G98" s="29"/>
      <c r="H98" s="29"/>
      <c r="I98" s="67"/>
      <c r="J98" s="29"/>
      <c r="K98" s="29"/>
      <c r="L98" s="67"/>
      <c r="M98" s="67"/>
      <c r="N98" s="67"/>
      <c r="O98" s="67"/>
      <c r="P98" s="29"/>
      <c r="Q98" s="29"/>
      <c r="R98" s="67"/>
      <c r="S98" s="29"/>
      <c r="T98" s="29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29"/>
      <c r="AT98" s="29"/>
      <c r="AU98" s="67"/>
      <c r="AV98" s="29"/>
      <c r="AW98" s="29"/>
    </row>
    <row r="99" spans="7:49" ht="18.75">
      <c r="G99" s="29"/>
      <c r="H99" s="29"/>
      <c r="I99" s="67"/>
      <c r="J99" s="29"/>
      <c r="K99" s="29"/>
      <c r="L99" s="67"/>
      <c r="M99" s="67"/>
      <c r="N99" s="67"/>
      <c r="O99" s="67"/>
      <c r="P99" s="29"/>
      <c r="Q99" s="29"/>
      <c r="R99" s="67"/>
      <c r="S99" s="29"/>
      <c r="T99" s="29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29"/>
      <c r="AT99" s="29"/>
      <c r="AU99" s="67"/>
      <c r="AV99" s="29"/>
      <c r="AW99" s="29"/>
    </row>
    <row r="100" spans="7:49" ht="18.75">
      <c r="G100" s="29"/>
      <c r="H100" s="29"/>
      <c r="I100" s="67"/>
      <c r="J100" s="29"/>
      <c r="K100" s="29"/>
      <c r="L100" s="67"/>
      <c r="M100" s="67"/>
      <c r="N100" s="67"/>
      <c r="O100" s="67"/>
      <c r="P100" s="29"/>
      <c r="Q100" s="29"/>
      <c r="R100" s="67"/>
      <c r="S100" s="29"/>
      <c r="T100" s="29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29"/>
      <c r="AT100" s="29"/>
      <c r="AU100" s="67"/>
      <c r="AV100" s="29"/>
      <c r="AW100" s="29"/>
    </row>
    <row r="101" spans="7:49" ht="18.75">
      <c r="G101" s="29"/>
      <c r="H101" s="29"/>
      <c r="I101" s="67"/>
      <c r="J101" s="29"/>
      <c r="K101" s="29"/>
      <c r="L101" s="67"/>
      <c r="M101" s="67"/>
      <c r="N101" s="67"/>
      <c r="O101" s="67"/>
      <c r="P101" s="29"/>
      <c r="Q101" s="29"/>
      <c r="R101" s="67"/>
      <c r="S101" s="29"/>
      <c r="T101" s="29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29"/>
      <c r="AT101" s="29"/>
      <c r="AU101" s="67"/>
      <c r="AV101" s="29"/>
      <c r="AW101" s="29"/>
    </row>
    <row r="102" spans="7:49" ht="18.75">
      <c r="G102" s="29"/>
      <c r="H102" s="29"/>
      <c r="I102" s="67"/>
      <c r="J102" s="29"/>
      <c r="K102" s="29"/>
      <c r="L102" s="67"/>
      <c r="M102" s="67"/>
      <c r="N102" s="67"/>
      <c r="O102" s="67"/>
      <c r="P102" s="29"/>
      <c r="Q102" s="29"/>
      <c r="R102" s="67"/>
      <c r="S102" s="29"/>
      <c r="T102" s="29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29"/>
      <c r="AT102" s="29"/>
      <c r="AU102" s="67"/>
      <c r="AV102" s="29"/>
      <c r="AW102" s="29"/>
    </row>
  </sheetData>
  <sheetProtection/>
  <mergeCells count="27">
    <mergeCell ref="AQ5:AR5"/>
    <mergeCell ref="J5:L5"/>
    <mergeCell ref="G5:I5"/>
    <mergeCell ref="AM5:AN5"/>
    <mergeCell ref="AJ5:AL5"/>
    <mergeCell ref="M5:O5"/>
    <mergeCell ref="Y5:AA5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B52:C52"/>
    <mergeCell ref="S5:U5"/>
    <mergeCell ref="AE5:AG5"/>
    <mergeCell ref="AB5:AD5"/>
    <mergeCell ref="A55:C55"/>
    <mergeCell ref="B3:AW3"/>
    <mergeCell ref="A47:AW48"/>
    <mergeCell ref="B54:C54"/>
    <mergeCell ref="B53:D53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2"/>
  <sheetViews>
    <sheetView view="pageBreakPreview" zoomScale="70" zoomScaleNormal="75" zoomScaleSheetLayoutView="70" zoomScalePageLayoutView="0" workbookViewId="0" topLeftCell="A1">
      <pane xSplit="6" ySplit="8" topLeftCell="AK1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4" sqref="AS24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41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customWidth="1"/>
    <col min="37" max="37" width="13.25390625" style="8" customWidth="1"/>
    <col min="38" max="38" width="11.875" style="8" hidden="1" customWidth="1"/>
    <col min="39" max="39" width="15.625" style="8" customWidth="1"/>
    <col min="40" max="40" width="13.25390625" style="8" customWidth="1"/>
    <col min="41" max="41" width="15.625" style="8" customWidth="1"/>
    <col min="42" max="42" width="13.25390625" style="8" customWidth="1"/>
    <col min="43" max="43" width="15.625" style="8" customWidth="1"/>
    <col min="44" max="44" width="13.25390625" style="8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1:49" s="32" customFormat="1" ht="42" customHeight="1">
      <c r="A2" s="31"/>
      <c r="B2" s="122" t="s">
        <v>85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</row>
    <row r="3" spans="1:49" s="32" customFormat="1" ht="42" customHeight="1">
      <c r="A3" s="31"/>
      <c r="B3" s="122" t="s">
        <v>130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</row>
    <row r="4" spans="2:49" ht="18.75">
      <c r="B4" s="69"/>
      <c r="C4" s="69"/>
      <c r="AW4" s="11" t="s">
        <v>48</v>
      </c>
    </row>
    <row r="5" spans="1:49" ht="36.75" customHeight="1">
      <c r="A5" s="24" t="s">
        <v>36</v>
      </c>
      <c r="B5" s="25"/>
      <c r="C5" s="26" t="s">
        <v>1</v>
      </c>
      <c r="D5" s="124" t="s">
        <v>111</v>
      </c>
      <c r="E5" s="125"/>
      <c r="F5" s="126"/>
      <c r="G5" s="119" t="s">
        <v>113</v>
      </c>
      <c r="H5" s="120"/>
      <c r="I5" s="121"/>
      <c r="J5" s="119" t="s">
        <v>116</v>
      </c>
      <c r="K5" s="120"/>
      <c r="L5" s="121"/>
      <c r="M5" s="119" t="s">
        <v>118</v>
      </c>
      <c r="N5" s="120"/>
      <c r="O5" s="121"/>
      <c r="P5" s="119" t="s">
        <v>117</v>
      </c>
      <c r="Q5" s="120"/>
      <c r="R5" s="121"/>
      <c r="S5" s="119" t="s">
        <v>119</v>
      </c>
      <c r="T5" s="120"/>
      <c r="U5" s="121"/>
      <c r="V5" s="119" t="s">
        <v>120</v>
      </c>
      <c r="W5" s="120"/>
      <c r="X5" s="121"/>
      <c r="Y5" s="119" t="s">
        <v>121</v>
      </c>
      <c r="Z5" s="120"/>
      <c r="AA5" s="121"/>
      <c r="AB5" s="119" t="s">
        <v>122</v>
      </c>
      <c r="AC5" s="120"/>
      <c r="AD5" s="121"/>
      <c r="AE5" s="119" t="s">
        <v>123</v>
      </c>
      <c r="AF5" s="120"/>
      <c r="AG5" s="121"/>
      <c r="AH5" s="119" t="s">
        <v>124</v>
      </c>
      <c r="AI5" s="121"/>
      <c r="AJ5" s="119" t="s">
        <v>126</v>
      </c>
      <c r="AK5" s="120"/>
      <c r="AL5" s="121"/>
      <c r="AM5" s="119" t="s">
        <v>125</v>
      </c>
      <c r="AN5" s="121"/>
      <c r="AO5" s="119" t="s">
        <v>127</v>
      </c>
      <c r="AP5" s="121"/>
      <c r="AQ5" s="119" t="s">
        <v>128</v>
      </c>
      <c r="AR5" s="121"/>
      <c r="AS5" s="124" t="s">
        <v>114</v>
      </c>
      <c r="AT5" s="125"/>
      <c r="AU5" s="126"/>
      <c r="AV5" s="127" t="s">
        <v>131</v>
      </c>
      <c r="AW5" s="127" t="s">
        <v>132</v>
      </c>
    </row>
    <row r="6" spans="1:49" ht="63.75" customHeight="1">
      <c r="A6" s="27" t="s">
        <v>9</v>
      </c>
      <c r="B6" s="42" t="s">
        <v>46</v>
      </c>
      <c r="C6" s="12" t="s">
        <v>106</v>
      </c>
      <c r="D6" s="28" t="s">
        <v>112</v>
      </c>
      <c r="E6" s="28" t="s">
        <v>47</v>
      </c>
      <c r="F6" s="13" t="s">
        <v>0</v>
      </c>
      <c r="G6" s="28" t="s">
        <v>112</v>
      </c>
      <c r="H6" s="28" t="s">
        <v>47</v>
      </c>
      <c r="I6" s="13" t="s">
        <v>0</v>
      </c>
      <c r="J6" s="28" t="s">
        <v>112</v>
      </c>
      <c r="K6" s="28" t="s">
        <v>47</v>
      </c>
      <c r="L6" s="13" t="s">
        <v>0</v>
      </c>
      <c r="M6" s="28" t="s">
        <v>112</v>
      </c>
      <c r="N6" s="28" t="s">
        <v>47</v>
      </c>
      <c r="O6" s="13" t="s">
        <v>0</v>
      </c>
      <c r="P6" s="28" t="s">
        <v>112</v>
      </c>
      <c r="Q6" s="28" t="s">
        <v>47</v>
      </c>
      <c r="R6" s="13" t="s">
        <v>0</v>
      </c>
      <c r="S6" s="28" t="s">
        <v>112</v>
      </c>
      <c r="T6" s="28" t="s">
        <v>47</v>
      </c>
      <c r="U6" s="13" t="s">
        <v>0</v>
      </c>
      <c r="V6" s="28" t="s">
        <v>112</v>
      </c>
      <c r="W6" s="28" t="s">
        <v>47</v>
      </c>
      <c r="X6" s="13" t="s">
        <v>0</v>
      </c>
      <c r="Y6" s="28" t="s">
        <v>112</v>
      </c>
      <c r="Z6" s="28" t="s">
        <v>47</v>
      </c>
      <c r="AA6" s="13" t="s">
        <v>0</v>
      </c>
      <c r="AB6" s="28" t="s">
        <v>112</v>
      </c>
      <c r="AC6" s="28" t="s">
        <v>47</v>
      </c>
      <c r="AD6" s="13" t="s">
        <v>0</v>
      </c>
      <c r="AE6" s="28" t="s">
        <v>112</v>
      </c>
      <c r="AF6" s="28" t="s">
        <v>47</v>
      </c>
      <c r="AG6" s="13" t="s">
        <v>0</v>
      </c>
      <c r="AH6" s="28" t="s">
        <v>112</v>
      </c>
      <c r="AI6" s="28" t="s">
        <v>47</v>
      </c>
      <c r="AJ6" s="28" t="s">
        <v>112</v>
      </c>
      <c r="AK6" s="28" t="s">
        <v>47</v>
      </c>
      <c r="AL6" s="13" t="s">
        <v>0</v>
      </c>
      <c r="AM6" s="28" t="s">
        <v>112</v>
      </c>
      <c r="AN6" s="28" t="s">
        <v>47</v>
      </c>
      <c r="AO6" s="28" t="s">
        <v>112</v>
      </c>
      <c r="AP6" s="28" t="s">
        <v>47</v>
      </c>
      <c r="AQ6" s="28" t="s">
        <v>112</v>
      </c>
      <c r="AR6" s="28" t="s">
        <v>47</v>
      </c>
      <c r="AS6" s="28" t="s">
        <v>112</v>
      </c>
      <c r="AT6" s="28" t="s">
        <v>47</v>
      </c>
      <c r="AU6" s="13" t="s">
        <v>0</v>
      </c>
      <c r="AV6" s="128"/>
      <c r="AW6" s="128"/>
    </row>
    <row r="7" spans="1:51" s="8" customFormat="1" ht="36" customHeight="1">
      <c r="A7" s="13"/>
      <c r="B7" s="14" t="s">
        <v>49</v>
      </c>
      <c r="C7" s="70">
        <f>SUM(C8:C42)</f>
        <v>-5511.100000000001</v>
      </c>
      <c r="D7" s="15">
        <f>SUM(D8:D42)</f>
        <v>55561.90000000001</v>
      </c>
      <c r="E7" s="15">
        <f>SUM(E8:E42)</f>
        <v>18291.199999999997</v>
      </c>
      <c r="F7" s="15">
        <f aca="true" t="shared" si="0" ref="F7:F28">E7/D7*100</f>
        <v>32.920400490264</v>
      </c>
      <c r="G7" s="15">
        <f>SUM(G8:G42)</f>
        <v>47052.9</v>
      </c>
      <c r="H7" s="15">
        <f>SUM(H8:H42)</f>
        <v>51717.299999999996</v>
      </c>
      <c r="I7" s="15">
        <f>H7/G7*100</f>
        <v>109.91309781118697</v>
      </c>
      <c r="J7" s="15">
        <f>SUM(J8:J42)</f>
        <v>27986.899999999994</v>
      </c>
      <c r="K7" s="15">
        <f>SUM(K8:K42)</f>
        <v>32119.699999999993</v>
      </c>
      <c r="L7" s="15">
        <f>K7/J7*100</f>
        <v>114.76690880376177</v>
      </c>
      <c r="M7" s="15">
        <f>SUM(M8:M42)</f>
        <v>130601.69999999998</v>
      </c>
      <c r="N7" s="15">
        <f>SUM(N8:N42)</f>
        <v>102128.2</v>
      </c>
      <c r="O7" s="15">
        <f>N7/M7*100</f>
        <v>78.19821640912792</v>
      </c>
      <c r="P7" s="15">
        <f>SUM(P8:P42)</f>
        <v>2170.7999999999997</v>
      </c>
      <c r="Q7" s="15">
        <f>SUM(Q8:Q42)</f>
        <v>11870.3</v>
      </c>
      <c r="R7" s="15">
        <f>Q7/P7*100</f>
        <v>546.8168417173393</v>
      </c>
      <c r="S7" s="15">
        <f>SUM(S8:S42)</f>
        <v>-162.6</v>
      </c>
      <c r="T7" s="15">
        <f>SUM(T8:T42)</f>
        <v>5531.299999999999</v>
      </c>
      <c r="U7" s="15">
        <f>T7/S7*100</f>
        <v>-3401.783517835178</v>
      </c>
      <c r="V7" s="15">
        <f>SUM(V8:V42)</f>
        <v>0</v>
      </c>
      <c r="W7" s="15">
        <f>SUM(W8:W42)</f>
        <v>5730.9</v>
      </c>
      <c r="X7" s="15" t="e">
        <f>W7/V7*100</f>
        <v>#DIV/0!</v>
      </c>
      <c r="Y7" s="15">
        <f>SUM(Y8:Y42)</f>
        <v>2008.1999999999998</v>
      </c>
      <c r="Z7" s="15">
        <f>SUM(Z8:Z42)</f>
        <v>23132.500000000004</v>
      </c>
      <c r="AA7" s="15">
        <f>Z7/Y7*100</f>
        <v>1151.9022009759985</v>
      </c>
      <c r="AB7" s="15">
        <f>SUM(AB8:AB42)</f>
        <v>0</v>
      </c>
      <c r="AC7" s="15">
        <f>SUM(AC8:AC42)</f>
        <v>1505.1999999999998</v>
      </c>
      <c r="AD7" s="30" t="e">
        <f>AC7/AB7*100</f>
        <v>#DIV/0!</v>
      </c>
      <c r="AE7" s="15">
        <f>SUM(AE8:AE42)</f>
        <v>0</v>
      </c>
      <c r="AF7" s="15">
        <f>SUM(AF8:AF42)</f>
        <v>1836.8</v>
      </c>
      <c r="AG7" s="30" t="e">
        <f>AF7/AE7*100</f>
        <v>#DIV/0!</v>
      </c>
      <c r="AH7" s="15">
        <f>SUM(AH8:AH42)</f>
        <v>0</v>
      </c>
      <c r="AI7" s="15">
        <f>SUM(AI8:AI42)</f>
        <v>3573.6000000000004</v>
      </c>
      <c r="AJ7" s="15">
        <f>SUM(AJ8:AJ42)</f>
        <v>0</v>
      </c>
      <c r="AK7" s="15">
        <f>SUM(AK8:AK42)</f>
        <v>6915.6</v>
      </c>
      <c r="AL7" s="15" t="e">
        <f>AK7/AJ7*100</f>
        <v>#DIV/0!</v>
      </c>
      <c r="AM7" s="15">
        <f aca="true" t="shared" si="1" ref="AM7:AT7">SUM(AM8:AM42)</f>
        <v>12617.699999999999</v>
      </c>
      <c r="AN7" s="15">
        <f t="shared" si="1"/>
        <v>14445.9</v>
      </c>
      <c r="AO7" s="15">
        <f t="shared" si="1"/>
        <v>45045.999999999985</v>
      </c>
      <c r="AP7" s="15">
        <f t="shared" si="1"/>
        <v>32133.8</v>
      </c>
      <c r="AQ7" s="15">
        <f>SUM(AQ8:AQ42)</f>
        <v>53063.09999999999</v>
      </c>
      <c r="AR7" s="15">
        <f>SUM(AR8:AR42)</f>
        <v>73664.8</v>
      </c>
      <c r="AS7" s="15">
        <f t="shared" si="1"/>
        <v>243336.69999999998</v>
      </c>
      <c r="AT7" s="15">
        <f t="shared" si="1"/>
        <v>252420.8</v>
      </c>
      <c r="AU7" s="15">
        <f>AT7/AS7*100</f>
        <v>103.73314013052696</v>
      </c>
      <c r="AV7" s="44">
        <f>SUM(AV8:AV42)</f>
        <v>-9084.100000000006</v>
      </c>
      <c r="AW7" s="44">
        <f>SUM(AW8:AW42)</f>
        <v>-14595.200000000006</v>
      </c>
      <c r="AX7" s="22">
        <f>AS7-AT7</f>
        <v>-9084.100000000006</v>
      </c>
      <c r="AY7" s="22">
        <f>C7+AS7-AT7</f>
        <v>-14595.200000000012</v>
      </c>
    </row>
    <row r="8" spans="1:49" ht="39.75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5">
        <f t="shared" si="0"/>
        <v>43.554187326322676</v>
      </c>
      <c r="G8" s="3">
        <f>670.1+2666.2</f>
        <v>3336.2999999999997</v>
      </c>
      <c r="H8" s="3">
        <f>487+3707.5</f>
        <v>4194.5</v>
      </c>
      <c r="I8" s="15">
        <f>H8/G8*100</f>
        <v>125.72310643527263</v>
      </c>
      <c r="J8" s="3">
        <f>379.6+1308.1</f>
        <v>1687.6999999999998</v>
      </c>
      <c r="K8" s="3">
        <f>442.3+1680.2</f>
        <v>2122.5</v>
      </c>
      <c r="L8" s="15">
        <f>K8/J8*100</f>
        <v>125.76287254843872</v>
      </c>
      <c r="M8" s="3">
        <f>D8+G8+J8</f>
        <v>8694.599999999999</v>
      </c>
      <c r="N8" s="3">
        <f>E8+H8+K8</f>
        <v>7915.7</v>
      </c>
      <c r="O8" s="15">
        <f aca="true" t="shared" si="2" ref="O8:O46">N8/M8*100</f>
        <v>91.04156602948959</v>
      </c>
      <c r="P8" s="3">
        <f>49.2+134.3</f>
        <v>183.5</v>
      </c>
      <c r="Q8" s="3">
        <f>220.8+468.1</f>
        <v>688.9000000000001</v>
      </c>
      <c r="R8" s="15">
        <f>Q8/P8*100</f>
        <v>375.42234332425073</v>
      </c>
      <c r="S8" s="3">
        <v>0</v>
      </c>
      <c r="T8" s="3">
        <v>0</v>
      </c>
      <c r="U8" s="15"/>
      <c r="V8" s="3">
        <v>0</v>
      </c>
      <c r="W8" s="3">
        <v>0</v>
      </c>
      <c r="X8" s="15"/>
      <c r="Y8" s="3">
        <f aca="true" t="shared" si="3" ref="Y8:Y19">P8+S8+V8</f>
        <v>183.5</v>
      </c>
      <c r="Z8" s="3">
        <f aca="true" t="shared" si="4" ref="Z8:Z19">Q8+T8+W8</f>
        <v>688.9000000000001</v>
      </c>
      <c r="AA8" s="15">
        <f aca="true" t="shared" si="5" ref="AA8:AA46">Z8/Y8*100</f>
        <v>375.42234332425073</v>
      </c>
      <c r="AB8" s="3">
        <v>0</v>
      </c>
      <c r="AC8" s="3">
        <v>0</v>
      </c>
      <c r="AD8" s="15">
        <v>0</v>
      </c>
      <c r="AE8" s="3">
        <v>0</v>
      </c>
      <c r="AF8" s="3">
        <v>0</v>
      </c>
      <c r="AG8" s="30" t="e">
        <f>AF8/AE8*100</f>
        <v>#DIV/0!</v>
      </c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5" t="e">
        <f>AK8/AJ8*100</f>
        <v>#DIV/0!</v>
      </c>
      <c r="AM8" s="3">
        <v>618.4</v>
      </c>
      <c r="AN8" s="3">
        <v>564.4</v>
      </c>
      <c r="AO8" s="3">
        <f>633.5+3132</f>
        <v>3765.5</v>
      </c>
      <c r="AP8" s="3">
        <f>707.6+2892</f>
        <v>3599.6</v>
      </c>
      <c r="AQ8" s="3">
        <f>1155.9+3044.1</f>
        <v>4200</v>
      </c>
      <c r="AR8" s="3">
        <f>1502.1+4344.1</f>
        <v>5846.200000000001</v>
      </c>
      <c r="AS8" s="3">
        <f>M8+Y8+AJ8+AM8+AO8+AQ8</f>
        <v>17462</v>
      </c>
      <c r="AT8" s="3">
        <f>N8+Z8+AK8+AN8+AP8+AR8</f>
        <v>18614.800000000003</v>
      </c>
      <c r="AU8" s="15">
        <f>AT8/AS8*100</f>
        <v>106.60176383003095</v>
      </c>
      <c r="AV8" s="15">
        <f>AS8-AT8</f>
        <v>-1152.800000000003</v>
      </c>
      <c r="AW8" s="4">
        <f>C8+AS8-AT8</f>
        <v>-1598.5000000000036</v>
      </c>
    </row>
    <row r="9" spans="1:49" ht="36.75" customHeight="1">
      <c r="A9" s="6">
        <v>2</v>
      </c>
      <c r="B9" s="34" t="s">
        <v>81</v>
      </c>
      <c r="C9" s="2">
        <v>-1037.6</v>
      </c>
      <c r="D9" s="3">
        <v>1127.1</v>
      </c>
      <c r="E9" s="3">
        <v>82.1</v>
      </c>
      <c r="F9" s="15">
        <f t="shared" si="0"/>
        <v>7.284180640582025</v>
      </c>
      <c r="G9" s="3">
        <v>916.4</v>
      </c>
      <c r="H9" s="3">
        <v>932</v>
      </c>
      <c r="I9" s="15">
        <f aca="true" t="shared" si="6" ref="I9:I22">H9/G9*100</f>
        <v>101.7023134002619</v>
      </c>
      <c r="J9" s="3">
        <v>430.3</v>
      </c>
      <c r="K9" s="3">
        <v>443.5</v>
      </c>
      <c r="L9" s="15">
        <f aca="true" t="shared" si="7" ref="L9:L19">K9/J9*100</f>
        <v>103.06762723681153</v>
      </c>
      <c r="M9" s="3">
        <f aca="true" t="shared" si="8" ref="M9:M41">D9+G9+J9</f>
        <v>2473.8</v>
      </c>
      <c r="N9" s="3">
        <f aca="true" t="shared" si="9" ref="N9:N41">E9+H9+K9</f>
        <v>1457.6</v>
      </c>
      <c r="O9" s="15">
        <f t="shared" si="2"/>
        <v>58.921497291616134</v>
      </c>
      <c r="P9" s="3">
        <v>24.9</v>
      </c>
      <c r="Q9" s="3">
        <v>60.7</v>
      </c>
      <c r="R9" s="15">
        <f aca="true" t="shared" si="10" ref="R9:R20">Q9/P9*100</f>
        <v>243.77510040160644</v>
      </c>
      <c r="S9" s="3">
        <v>0</v>
      </c>
      <c r="T9" s="3">
        <v>0</v>
      </c>
      <c r="U9" s="15"/>
      <c r="V9" s="3">
        <v>0</v>
      </c>
      <c r="W9" s="3">
        <v>0</v>
      </c>
      <c r="X9" s="15"/>
      <c r="Y9" s="3">
        <f t="shared" si="3"/>
        <v>24.9</v>
      </c>
      <c r="Z9" s="3">
        <f t="shared" si="4"/>
        <v>60.7</v>
      </c>
      <c r="AA9" s="15">
        <f t="shared" si="5"/>
        <v>243.77510040160644</v>
      </c>
      <c r="AB9" s="3">
        <v>0</v>
      </c>
      <c r="AC9" s="3">
        <v>0</v>
      </c>
      <c r="AD9" s="15">
        <v>0</v>
      </c>
      <c r="AE9" s="3">
        <v>0</v>
      </c>
      <c r="AF9" s="3">
        <v>0</v>
      </c>
      <c r="AG9" s="30" t="e">
        <f aca="true" t="shared" si="11" ref="AG9:AG16">AF9/AE9*100</f>
        <v>#DIV/0!</v>
      </c>
      <c r="AH9" s="3">
        <v>0</v>
      </c>
      <c r="AI9" s="3">
        <v>0</v>
      </c>
      <c r="AJ9" s="3">
        <f aca="true" t="shared" si="12" ref="AJ9:AJ42">AB9+AE9+AH9</f>
        <v>0</v>
      </c>
      <c r="AK9" s="3">
        <f aca="true" t="shared" si="13" ref="AK9:AK42">AC9+AF9+AI9</f>
        <v>0</v>
      </c>
      <c r="AL9" s="15" t="e">
        <f>AK9/AJ9*100</f>
        <v>#DIV/0!</v>
      </c>
      <c r="AM9" s="3">
        <v>245.7</v>
      </c>
      <c r="AN9" s="3">
        <v>200.4</v>
      </c>
      <c r="AO9" s="3">
        <v>1478.9</v>
      </c>
      <c r="AP9" s="3">
        <v>1326.7</v>
      </c>
      <c r="AQ9" s="3">
        <v>1485.4</v>
      </c>
      <c r="AR9" s="3">
        <v>2850.9</v>
      </c>
      <c r="AS9" s="3">
        <f aca="true" t="shared" si="14" ref="AS9:AS42">M9+Y9+AJ9+AM9+AO9+AQ9</f>
        <v>5708.700000000001</v>
      </c>
      <c r="AT9" s="3">
        <f aca="true" t="shared" si="15" ref="AT9:AT42">N9+Z9+AK9+AN9+AP9+AR9</f>
        <v>5896.3</v>
      </c>
      <c r="AU9" s="15">
        <f>AT9/AS9*100</f>
        <v>103.28621227249634</v>
      </c>
      <c r="AV9" s="15">
        <f aca="true" t="shared" si="16" ref="AV9:AV42">AS9-AT9</f>
        <v>-187.59999999999945</v>
      </c>
      <c r="AW9" s="4">
        <f aca="true" t="shared" si="17" ref="AW9:AW42">C9+AS9-AT9</f>
        <v>-1225.1999999999998</v>
      </c>
    </row>
    <row r="10" spans="1:49" ht="36" customHeight="1">
      <c r="A10" s="6">
        <v>3</v>
      </c>
      <c r="B10" s="16" t="s">
        <v>96</v>
      </c>
      <c r="C10" s="2">
        <v>0</v>
      </c>
      <c r="D10" s="3">
        <v>0.7</v>
      </c>
      <c r="E10" s="3">
        <v>0.7</v>
      </c>
      <c r="F10" s="15">
        <f t="shared" si="0"/>
        <v>100</v>
      </c>
      <c r="G10" s="46">
        <v>61.1</v>
      </c>
      <c r="H10" s="46">
        <v>61.1</v>
      </c>
      <c r="I10" s="15">
        <f t="shared" si="6"/>
        <v>100</v>
      </c>
      <c r="J10" s="46">
        <v>0</v>
      </c>
      <c r="K10" s="46">
        <v>0</v>
      </c>
      <c r="L10" s="30" t="e">
        <f t="shared" si="7"/>
        <v>#DIV/0!</v>
      </c>
      <c r="M10" s="3">
        <f t="shared" si="8"/>
        <v>61.800000000000004</v>
      </c>
      <c r="N10" s="3">
        <f t="shared" si="9"/>
        <v>61.800000000000004</v>
      </c>
      <c r="O10" s="15">
        <f t="shared" si="2"/>
        <v>100</v>
      </c>
      <c r="P10" s="46">
        <v>0</v>
      </c>
      <c r="Q10" s="46">
        <v>0</v>
      </c>
      <c r="R10" s="30" t="e">
        <f t="shared" si="10"/>
        <v>#DIV/0!</v>
      </c>
      <c r="S10" s="46">
        <v>0</v>
      </c>
      <c r="T10" s="46">
        <v>0</v>
      </c>
      <c r="U10" s="30" t="e">
        <f>T10/S10*100</f>
        <v>#DIV/0!</v>
      </c>
      <c r="V10" s="46">
        <v>0</v>
      </c>
      <c r="W10" s="46">
        <v>0</v>
      </c>
      <c r="X10" s="30" t="e">
        <f>W10/V10*100</f>
        <v>#DIV/0!</v>
      </c>
      <c r="Y10" s="3">
        <f t="shared" si="3"/>
        <v>0</v>
      </c>
      <c r="Z10" s="3">
        <f t="shared" si="4"/>
        <v>0</v>
      </c>
      <c r="AA10" s="15">
        <v>0</v>
      </c>
      <c r="AB10" s="46">
        <v>0</v>
      </c>
      <c r="AC10" s="46">
        <v>0</v>
      </c>
      <c r="AD10" s="35">
        <v>0</v>
      </c>
      <c r="AE10" s="23"/>
      <c r="AF10" s="23"/>
      <c r="AG10" s="30" t="e">
        <f t="shared" si="11"/>
        <v>#DIV/0!</v>
      </c>
      <c r="AH10" s="23"/>
      <c r="AI10" s="23"/>
      <c r="AJ10" s="3">
        <f t="shared" si="12"/>
        <v>0</v>
      </c>
      <c r="AK10" s="3">
        <f t="shared" si="13"/>
        <v>0</v>
      </c>
      <c r="AL10" s="15">
        <v>0</v>
      </c>
      <c r="AM10" s="46">
        <v>0</v>
      </c>
      <c r="AN10" s="46">
        <v>0</v>
      </c>
      <c r="AO10" s="46">
        <v>0</v>
      </c>
      <c r="AP10" s="46">
        <v>0</v>
      </c>
      <c r="AQ10" s="46"/>
      <c r="AR10" s="46"/>
      <c r="AS10" s="3">
        <f t="shared" si="14"/>
        <v>61.800000000000004</v>
      </c>
      <c r="AT10" s="3">
        <f t="shared" si="15"/>
        <v>61.800000000000004</v>
      </c>
      <c r="AU10" s="15">
        <f>AT10/AS10*100</f>
        <v>100</v>
      </c>
      <c r="AV10" s="15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5">
        <f t="shared" si="0"/>
        <v>43.43434343434343</v>
      </c>
      <c r="G11" s="3">
        <f>54.4+27.4</f>
        <v>81.8</v>
      </c>
      <c r="H11" s="3">
        <f>35.7+3.5</f>
        <v>39.2</v>
      </c>
      <c r="I11" s="15">
        <f t="shared" si="6"/>
        <v>47.92176039119805</v>
      </c>
      <c r="J11" s="3">
        <f>36.6+13.8</f>
        <v>50.400000000000006</v>
      </c>
      <c r="K11" s="3">
        <f>54.3+46.1</f>
        <v>100.4</v>
      </c>
      <c r="L11" s="15">
        <f t="shared" si="7"/>
        <v>199.2063492063492</v>
      </c>
      <c r="M11" s="3">
        <f t="shared" si="8"/>
        <v>201.50000000000003</v>
      </c>
      <c r="N11" s="3">
        <f t="shared" si="9"/>
        <v>169.70000000000002</v>
      </c>
      <c r="O11" s="15">
        <f t="shared" si="2"/>
        <v>84.21836228287842</v>
      </c>
      <c r="P11" s="3">
        <f>2.2+112.2</f>
        <v>114.4</v>
      </c>
      <c r="Q11" s="3">
        <f>36.6+113.9</f>
        <v>150.5</v>
      </c>
      <c r="R11" s="15">
        <f t="shared" si="10"/>
        <v>131.55594405594405</v>
      </c>
      <c r="S11" s="3">
        <v>12.6</v>
      </c>
      <c r="T11" s="3">
        <v>2.2</v>
      </c>
      <c r="U11" s="15">
        <f>T11/S11*100</f>
        <v>17.460317460317462</v>
      </c>
      <c r="V11" s="3"/>
      <c r="W11" s="3"/>
      <c r="X11" s="30" t="e">
        <f>W11/V11*100</f>
        <v>#DIV/0!</v>
      </c>
      <c r="Y11" s="3">
        <f t="shared" si="3"/>
        <v>127</v>
      </c>
      <c r="Z11" s="3">
        <f t="shared" si="4"/>
        <v>152.7</v>
      </c>
      <c r="AA11" s="15">
        <f t="shared" si="5"/>
        <v>120.23622047244093</v>
      </c>
      <c r="AB11" s="3"/>
      <c r="AC11" s="3"/>
      <c r="AD11" s="30" t="e">
        <f>AC11/AB11*100</f>
        <v>#DIV/0!</v>
      </c>
      <c r="AE11" s="3"/>
      <c r="AF11" s="3"/>
      <c r="AG11" s="30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5" t="e">
        <f aca="true" t="shared" si="18" ref="AL11:AL17">AK11/AJ11*100</f>
        <v>#DIV/0!</v>
      </c>
      <c r="AM11" s="3">
        <v>21.1</v>
      </c>
      <c r="AN11" s="3">
        <v>0</v>
      </c>
      <c r="AO11" s="3">
        <f>87.2+73.3</f>
        <v>160.5</v>
      </c>
      <c r="AP11" s="3">
        <f>52.7+21.1</f>
        <v>73.80000000000001</v>
      </c>
      <c r="AQ11" s="3">
        <f>114.8+58.4</f>
        <v>173.2</v>
      </c>
      <c r="AR11" s="3">
        <f>201.5+138.5</f>
        <v>340</v>
      </c>
      <c r="AS11" s="3">
        <f t="shared" si="14"/>
        <v>683.3</v>
      </c>
      <c r="AT11" s="3">
        <f t="shared" si="15"/>
        <v>736.2</v>
      </c>
      <c r="AU11" s="15">
        <f aca="true" t="shared" si="19" ref="AU11:AU22">AT11/AS11*100</f>
        <v>107.74184106541784</v>
      </c>
      <c r="AV11" s="15">
        <f t="shared" si="16"/>
        <v>-52.90000000000009</v>
      </c>
      <c r="AW11" s="4">
        <f t="shared" si="17"/>
        <v>-53.40000000000009</v>
      </c>
    </row>
    <row r="12" spans="1:49" s="4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5">
        <f t="shared" si="0"/>
        <v>0</v>
      </c>
      <c r="G12" s="3">
        <f>165.4+1133.6</f>
        <v>1299</v>
      </c>
      <c r="H12" s="3">
        <f>29.5+21</f>
        <v>50.5</v>
      </c>
      <c r="I12" s="15">
        <f t="shared" si="6"/>
        <v>3.8876058506543494</v>
      </c>
      <c r="J12" s="3">
        <f>114.3+745.1</f>
        <v>859.4</v>
      </c>
      <c r="K12" s="3">
        <f>400.6+1706.9</f>
        <v>2107.5</v>
      </c>
      <c r="L12" s="15">
        <f t="shared" si="7"/>
        <v>245.22922969513615</v>
      </c>
      <c r="M12" s="3">
        <f t="shared" si="8"/>
        <v>3680.9</v>
      </c>
      <c r="N12" s="3">
        <f t="shared" si="9"/>
        <v>2158</v>
      </c>
      <c r="O12" s="15">
        <f t="shared" si="2"/>
        <v>58.626966231084786</v>
      </c>
      <c r="P12" s="3">
        <f>4.6+24.4</f>
        <v>29</v>
      </c>
      <c r="Q12" s="3">
        <f>137.8+624.9</f>
        <v>762.7</v>
      </c>
      <c r="R12" s="15">
        <f t="shared" si="10"/>
        <v>2630</v>
      </c>
      <c r="S12" s="3">
        <v>0</v>
      </c>
      <c r="T12" s="3">
        <v>122.6</v>
      </c>
      <c r="U12" s="15"/>
      <c r="V12" s="3">
        <v>0</v>
      </c>
      <c r="W12" s="3">
        <v>21.9</v>
      </c>
      <c r="X12" s="15"/>
      <c r="Y12" s="3">
        <f t="shared" si="3"/>
        <v>29</v>
      </c>
      <c r="Z12" s="3">
        <f t="shared" si="4"/>
        <v>907.2</v>
      </c>
      <c r="AA12" s="15">
        <f t="shared" si="5"/>
        <v>3128.2758620689656</v>
      </c>
      <c r="AB12" s="3">
        <v>0</v>
      </c>
      <c r="AC12" s="3">
        <v>0</v>
      </c>
      <c r="AD12" s="15">
        <v>0</v>
      </c>
      <c r="AE12" s="3">
        <v>0</v>
      </c>
      <c r="AF12" s="3">
        <v>0</v>
      </c>
      <c r="AG12" s="30" t="e">
        <f t="shared" si="11"/>
        <v>#DIV/0!</v>
      </c>
      <c r="AH12" s="3">
        <v>0</v>
      </c>
      <c r="AI12" s="3">
        <v>0</v>
      </c>
      <c r="AJ12" s="3">
        <f t="shared" si="12"/>
        <v>0</v>
      </c>
      <c r="AK12" s="3">
        <f t="shared" si="13"/>
        <v>0</v>
      </c>
      <c r="AL12" s="15" t="e">
        <f t="shared" si="18"/>
        <v>#DIV/0!</v>
      </c>
      <c r="AM12" s="3">
        <v>343.6</v>
      </c>
      <c r="AN12" s="3">
        <v>300</v>
      </c>
      <c r="AO12" s="3">
        <f>129.7+738.3</f>
        <v>868</v>
      </c>
      <c r="AP12" s="3">
        <f>42.6+793.4</f>
        <v>836</v>
      </c>
      <c r="AQ12" s="3">
        <f>195.2+1181</f>
        <v>1376.2</v>
      </c>
      <c r="AR12" s="3">
        <f>387.8+1418</f>
        <v>1805.8</v>
      </c>
      <c r="AS12" s="3">
        <f t="shared" si="14"/>
        <v>6297.7</v>
      </c>
      <c r="AT12" s="3">
        <f t="shared" si="15"/>
        <v>6007</v>
      </c>
      <c r="AU12" s="15">
        <f t="shared" si="19"/>
        <v>95.38402908998523</v>
      </c>
      <c r="AV12" s="15">
        <f t="shared" si="16"/>
        <v>290.6999999999998</v>
      </c>
      <c r="AW12" s="4">
        <f t="shared" si="17"/>
        <v>-354</v>
      </c>
    </row>
    <row r="13" spans="1:49" s="4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5">
        <f t="shared" si="0"/>
        <v>4.245990538825429</v>
      </c>
      <c r="G13" s="3">
        <v>690.5</v>
      </c>
      <c r="H13" s="3">
        <v>319.3</v>
      </c>
      <c r="I13" s="15">
        <f t="shared" si="6"/>
        <v>46.241853729181756</v>
      </c>
      <c r="J13" s="3">
        <v>349.1</v>
      </c>
      <c r="K13" s="3">
        <v>275.2</v>
      </c>
      <c r="L13" s="15">
        <f t="shared" si="7"/>
        <v>78.83128043540532</v>
      </c>
      <c r="M13" s="3">
        <f t="shared" si="8"/>
        <v>1906.3000000000002</v>
      </c>
      <c r="N13" s="3">
        <f t="shared" si="9"/>
        <v>631.3</v>
      </c>
      <c r="O13" s="15">
        <f t="shared" si="2"/>
        <v>33.116508419451286</v>
      </c>
      <c r="P13" s="3">
        <v>17.9</v>
      </c>
      <c r="Q13" s="3">
        <v>420.2</v>
      </c>
      <c r="R13" s="15">
        <f t="shared" si="10"/>
        <v>2347.4860335195535</v>
      </c>
      <c r="S13" s="3">
        <v>0</v>
      </c>
      <c r="T13" s="3">
        <v>377.2</v>
      </c>
      <c r="U13" s="15"/>
      <c r="V13" s="3">
        <v>0</v>
      </c>
      <c r="W13" s="3">
        <v>349</v>
      </c>
      <c r="X13" s="15"/>
      <c r="Y13" s="3">
        <f t="shared" si="3"/>
        <v>17.9</v>
      </c>
      <c r="Z13" s="3">
        <f t="shared" si="4"/>
        <v>1146.4</v>
      </c>
      <c r="AA13" s="15">
        <f t="shared" si="5"/>
        <v>6404.469273743018</v>
      </c>
      <c r="AB13" s="3">
        <v>0</v>
      </c>
      <c r="AC13" s="3">
        <v>75.9</v>
      </c>
      <c r="AD13" s="15"/>
      <c r="AE13" s="3">
        <v>0</v>
      </c>
      <c r="AF13" s="3">
        <v>87.8</v>
      </c>
      <c r="AG13" s="30" t="e">
        <f t="shared" si="11"/>
        <v>#DIV/0!</v>
      </c>
      <c r="AH13" s="3">
        <v>0</v>
      </c>
      <c r="AI13" s="3">
        <v>0</v>
      </c>
      <c r="AJ13" s="3">
        <f t="shared" si="12"/>
        <v>0</v>
      </c>
      <c r="AK13" s="3">
        <f t="shared" si="13"/>
        <v>163.7</v>
      </c>
      <c r="AL13" s="15" t="e">
        <f t="shared" si="18"/>
        <v>#DIV/0!</v>
      </c>
      <c r="AM13" s="3">
        <v>264.5</v>
      </c>
      <c r="AN13" s="3">
        <v>50</v>
      </c>
      <c r="AO13" s="3">
        <v>873.4</v>
      </c>
      <c r="AP13" s="3">
        <v>1238.7</v>
      </c>
      <c r="AQ13" s="3">
        <v>839.2</v>
      </c>
      <c r="AR13" s="3">
        <v>1066.7</v>
      </c>
      <c r="AS13" s="3">
        <f t="shared" si="14"/>
        <v>3901.3</v>
      </c>
      <c r="AT13" s="3">
        <f t="shared" si="15"/>
        <v>4296.8</v>
      </c>
      <c r="AU13" s="15">
        <f t="shared" si="19"/>
        <v>110.13764642555046</v>
      </c>
      <c r="AV13" s="15">
        <f t="shared" si="16"/>
        <v>-395.5</v>
      </c>
      <c r="AW13" s="4">
        <f t="shared" si="17"/>
        <v>-378.1999999999998</v>
      </c>
    </row>
    <row r="14" spans="1:49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5">
        <f t="shared" si="0"/>
        <v>66.39871382636656</v>
      </c>
      <c r="G14" s="46">
        <v>702.7</v>
      </c>
      <c r="H14" s="46">
        <v>513.3</v>
      </c>
      <c r="I14" s="15">
        <f t="shared" si="6"/>
        <v>73.04681941084388</v>
      </c>
      <c r="J14" s="46">
        <v>473.5</v>
      </c>
      <c r="K14" s="46">
        <v>243</v>
      </c>
      <c r="L14" s="15">
        <f t="shared" si="7"/>
        <v>51.319957761351645</v>
      </c>
      <c r="M14" s="3">
        <f t="shared" si="8"/>
        <v>1798.2</v>
      </c>
      <c r="N14" s="3">
        <f t="shared" si="9"/>
        <v>1169.3</v>
      </c>
      <c r="O14" s="15">
        <f t="shared" si="2"/>
        <v>65.02613724835946</v>
      </c>
      <c r="P14" s="46">
        <v>70.1</v>
      </c>
      <c r="Q14" s="46">
        <v>271.4</v>
      </c>
      <c r="R14" s="15">
        <f t="shared" si="10"/>
        <v>387.16119828815977</v>
      </c>
      <c r="S14" s="46">
        <v>0</v>
      </c>
      <c r="T14" s="46">
        <v>88.4</v>
      </c>
      <c r="U14" s="15"/>
      <c r="V14" s="46">
        <v>0</v>
      </c>
      <c r="W14" s="46">
        <v>339.5</v>
      </c>
      <c r="X14" s="15"/>
      <c r="Y14" s="3">
        <f t="shared" si="3"/>
        <v>70.1</v>
      </c>
      <c r="Z14" s="3">
        <f t="shared" si="4"/>
        <v>699.3</v>
      </c>
      <c r="AA14" s="15">
        <f t="shared" si="5"/>
        <v>997.5748930099858</v>
      </c>
      <c r="AB14" s="46">
        <v>0</v>
      </c>
      <c r="AC14" s="46">
        <v>0</v>
      </c>
      <c r="AD14" s="15">
        <v>0</v>
      </c>
      <c r="AE14" s="23"/>
      <c r="AF14" s="23"/>
      <c r="AG14" s="30" t="e">
        <f t="shared" si="11"/>
        <v>#DIV/0!</v>
      </c>
      <c r="AH14" s="23"/>
      <c r="AI14" s="23"/>
      <c r="AJ14" s="3">
        <f t="shared" si="12"/>
        <v>0</v>
      </c>
      <c r="AK14" s="3">
        <f t="shared" si="13"/>
        <v>0</v>
      </c>
      <c r="AL14" s="15" t="e">
        <f t="shared" si="18"/>
        <v>#DIV/0!</v>
      </c>
      <c r="AM14" s="46">
        <v>266.7</v>
      </c>
      <c r="AN14" s="46">
        <v>230.2</v>
      </c>
      <c r="AO14" s="46">
        <v>568.6</v>
      </c>
      <c r="AP14" s="46">
        <v>489.6</v>
      </c>
      <c r="AQ14" s="46">
        <v>1050.1</v>
      </c>
      <c r="AR14" s="46">
        <v>1165.5</v>
      </c>
      <c r="AS14" s="3">
        <f t="shared" si="14"/>
        <v>3753.7</v>
      </c>
      <c r="AT14" s="3">
        <f t="shared" si="15"/>
        <v>3753.8999999999996</v>
      </c>
      <c r="AU14" s="15">
        <f t="shared" si="19"/>
        <v>100.00532807629806</v>
      </c>
      <c r="AV14" s="15">
        <f t="shared" si="16"/>
        <v>-0.1999999999998181</v>
      </c>
      <c r="AW14" s="4">
        <f t="shared" si="17"/>
        <v>0.1000000000003638</v>
      </c>
    </row>
    <row r="15" spans="1:49" s="4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5">
        <f t="shared" si="0"/>
        <v>18.851733899504598</v>
      </c>
      <c r="G15" s="3">
        <f>147.3+1634.9</f>
        <v>1782.2</v>
      </c>
      <c r="H15" s="3">
        <f>192.1+2129.6</f>
        <v>2321.7</v>
      </c>
      <c r="I15" s="15">
        <f t="shared" si="6"/>
        <v>130.2715744585344</v>
      </c>
      <c r="J15" s="3">
        <f>109.6+983.9</f>
        <v>1093.5</v>
      </c>
      <c r="K15" s="3">
        <f>147.3+1761</f>
        <v>1908.3</v>
      </c>
      <c r="L15" s="15">
        <f t="shared" si="7"/>
        <v>174.51303155006858</v>
      </c>
      <c r="M15" s="3">
        <f t="shared" si="8"/>
        <v>5136.5</v>
      </c>
      <c r="N15" s="3">
        <f t="shared" si="9"/>
        <v>4656.2</v>
      </c>
      <c r="O15" s="15">
        <f t="shared" si="2"/>
        <v>90.64927479801422</v>
      </c>
      <c r="P15" s="3">
        <f>95.1+97.1</f>
        <v>192.2</v>
      </c>
      <c r="Q15" s="3">
        <f>204.8+141.6</f>
        <v>346.4</v>
      </c>
      <c r="R15" s="15">
        <f t="shared" si="10"/>
        <v>180.22892819979188</v>
      </c>
      <c r="S15" s="3">
        <v>0</v>
      </c>
      <c r="T15" s="3">
        <v>336.9</v>
      </c>
      <c r="U15" s="15"/>
      <c r="V15" s="3">
        <v>0</v>
      </c>
      <c r="W15" s="3">
        <v>0</v>
      </c>
      <c r="X15" s="15"/>
      <c r="Y15" s="3">
        <f t="shared" si="3"/>
        <v>192.2</v>
      </c>
      <c r="Z15" s="3">
        <f t="shared" si="4"/>
        <v>683.3</v>
      </c>
      <c r="AA15" s="15">
        <f t="shared" si="5"/>
        <v>355.51508844953173</v>
      </c>
      <c r="AB15" s="3">
        <v>0</v>
      </c>
      <c r="AC15" s="3">
        <v>76.1</v>
      </c>
      <c r="AD15" s="15"/>
      <c r="AE15" s="3">
        <v>0</v>
      </c>
      <c r="AF15" s="3">
        <v>0</v>
      </c>
      <c r="AG15" s="30" t="e">
        <f t="shared" si="11"/>
        <v>#DIV/0!</v>
      </c>
      <c r="AH15" s="3">
        <v>0</v>
      </c>
      <c r="AI15" s="3">
        <v>1405.7</v>
      </c>
      <c r="AJ15" s="3">
        <f t="shared" si="12"/>
        <v>0</v>
      </c>
      <c r="AK15" s="3">
        <f t="shared" si="13"/>
        <v>1481.8</v>
      </c>
      <c r="AL15" s="15" t="e">
        <f t="shared" si="18"/>
        <v>#DIV/0!</v>
      </c>
      <c r="AM15" s="3">
        <v>749.3</v>
      </c>
      <c r="AN15" s="3">
        <v>1630.9</v>
      </c>
      <c r="AO15" s="3">
        <f>3+2050.4</f>
        <v>2053.4</v>
      </c>
      <c r="AP15" s="3">
        <f>529.6</f>
        <v>529.6</v>
      </c>
      <c r="AQ15" s="3">
        <f>174.7+2510.6</f>
        <v>2685.2999999999997</v>
      </c>
      <c r="AR15" s="3">
        <f>369.6+1371.3</f>
        <v>1740.9</v>
      </c>
      <c r="AS15" s="3">
        <f t="shared" si="14"/>
        <v>10816.699999999999</v>
      </c>
      <c r="AT15" s="3">
        <f t="shared" si="15"/>
        <v>10722.7</v>
      </c>
      <c r="AU15" s="15">
        <f t="shared" si="19"/>
        <v>99.13097340223914</v>
      </c>
      <c r="AV15" s="15">
        <f t="shared" si="16"/>
        <v>93.99999999999818</v>
      </c>
      <c r="AW15" s="4">
        <f t="shared" si="17"/>
        <v>-36.80000000000109</v>
      </c>
    </row>
    <row r="16" spans="1:49" s="4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5">
        <f t="shared" si="0"/>
        <v>12.173091681917466</v>
      </c>
      <c r="G16" s="46">
        <v>1632.1</v>
      </c>
      <c r="H16" s="46">
        <v>1049.1</v>
      </c>
      <c r="I16" s="15">
        <f t="shared" si="6"/>
        <v>64.2791495619141</v>
      </c>
      <c r="J16" s="46">
        <v>838.2</v>
      </c>
      <c r="K16" s="46">
        <v>657.4</v>
      </c>
      <c r="L16" s="15">
        <f t="shared" si="7"/>
        <v>78.42996898115008</v>
      </c>
      <c r="M16" s="3">
        <f t="shared" si="8"/>
        <v>4164.2</v>
      </c>
      <c r="N16" s="3">
        <f t="shared" si="9"/>
        <v>1912.6999999999998</v>
      </c>
      <c r="O16" s="15">
        <f t="shared" si="2"/>
        <v>45.93199173910955</v>
      </c>
      <c r="P16" s="46">
        <v>19.4</v>
      </c>
      <c r="Q16" s="46">
        <v>420.3</v>
      </c>
      <c r="R16" s="15">
        <f t="shared" si="10"/>
        <v>2166.494845360825</v>
      </c>
      <c r="S16" s="46"/>
      <c r="T16" s="46">
        <v>411.8</v>
      </c>
      <c r="U16" s="15"/>
      <c r="V16" s="46"/>
      <c r="W16" s="46">
        <v>1344.2</v>
      </c>
      <c r="X16" s="15"/>
      <c r="Y16" s="3">
        <f t="shared" si="3"/>
        <v>19.4</v>
      </c>
      <c r="Z16" s="3">
        <f t="shared" si="4"/>
        <v>2176.3</v>
      </c>
      <c r="AA16" s="15">
        <f t="shared" si="5"/>
        <v>11218.041237113404</v>
      </c>
      <c r="AB16" s="46">
        <v>0</v>
      </c>
      <c r="AC16" s="46">
        <v>37.9</v>
      </c>
      <c r="AD16" s="15"/>
      <c r="AE16" s="46">
        <v>0</v>
      </c>
      <c r="AF16" s="46">
        <v>0</v>
      </c>
      <c r="AG16" s="35" t="e">
        <f t="shared" si="11"/>
        <v>#DIV/0!</v>
      </c>
      <c r="AH16" s="46">
        <v>0</v>
      </c>
      <c r="AI16" s="46">
        <v>0</v>
      </c>
      <c r="AJ16" s="3">
        <f t="shared" si="12"/>
        <v>0</v>
      </c>
      <c r="AK16" s="3">
        <f t="shared" si="13"/>
        <v>37.9</v>
      </c>
      <c r="AL16" s="15" t="e">
        <f t="shared" si="18"/>
        <v>#DIV/0!</v>
      </c>
      <c r="AM16" s="46">
        <v>107.6</v>
      </c>
      <c r="AN16" s="46">
        <v>500</v>
      </c>
      <c r="AO16" s="46">
        <v>1146.9</v>
      </c>
      <c r="AP16" s="46">
        <v>310.5</v>
      </c>
      <c r="AQ16" s="46">
        <v>1154.7</v>
      </c>
      <c r="AR16" s="46">
        <v>2038.7</v>
      </c>
      <c r="AS16" s="3">
        <f t="shared" si="14"/>
        <v>6592.8</v>
      </c>
      <c r="AT16" s="3">
        <f t="shared" si="15"/>
        <v>6976.099999999999</v>
      </c>
      <c r="AU16" s="15">
        <f t="shared" si="19"/>
        <v>105.81391821380899</v>
      </c>
      <c r="AV16" s="15">
        <f t="shared" si="16"/>
        <v>-383.2999999999993</v>
      </c>
      <c r="AW16" s="4">
        <f t="shared" si="17"/>
        <v>-540.6999999999989</v>
      </c>
    </row>
    <row r="17" spans="1:49" ht="24" customHeight="1">
      <c r="A17" s="6">
        <v>10</v>
      </c>
      <c r="B17" s="16" t="s">
        <v>55</v>
      </c>
      <c r="C17" s="2">
        <v>17.2</v>
      </c>
      <c r="D17" s="3">
        <v>876.7</v>
      </c>
      <c r="E17" s="3">
        <v>0</v>
      </c>
      <c r="F17" s="15">
        <f t="shared" si="0"/>
        <v>0</v>
      </c>
      <c r="G17" s="3">
        <v>692.9</v>
      </c>
      <c r="H17" s="3">
        <v>1031.1</v>
      </c>
      <c r="I17" s="15">
        <f t="shared" si="6"/>
        <v>148.80935199884541</v>
      </c>
      <c r="J17" s="3">
        <v>390.5</v>
      </c>
      <c r="K17" s="3">
        <v>789.7</v>
      </c>
      <c r="L17" s="15">
        <f t="shared" si="7"/>
        <v>202.2279129321383</v>
      </c>
      <c r="M17" s="3">
        <f t="shared" si="8"/>
        <v>1960.1</v>
      </c>
      <c r="N17" s="3">
        <f t="shared" si="9"/>
        <v>1820.8</v>
      </c>
      <c r="O17" s="15">
        <f t="shared" si="2"/>
        <v>92.89321973368706</v>
      </c>
      <c r="P17" s="3">
        <v>38.6</v>
      </c>
      <c r="Q17" s="3">
        <v>234.6</v>
      </c>
      <c r="R17" s="15">
        <f t="shared" si="10"/>
        <v>607.7720207253885</v>
      </c>
      <c r="S17" s="3">
        <v>0</v>
      </c>
      <c r="T17" s="3">
        <v>0</v>
      </c>
      <c r="U17" s="15"/>
      <c r="V17" s="3">
        <v>0</v>
      </c>
      <c r="W17" s="3">
        <v>0</v>
      </c>
      <c r="X17" s="15"/>
      <c r="Y17" s="3">
        <f t="shared" si="3"/>
        <v>38.6</v>
      </c>
      <c r="Z17" s="3">
        <f t="shared" si="4"/>
        <v>234.6</v>
      </c>
      <c r="AA17" s="15">
        <f t="shared" si="5"/>
        <v>607.7720207253885</v>
      </c>
      <c r="AB17" s="3">
        <v>0</v>
      </c>
      <c r="AC17" s="3">
        <v>0</v>
      </c>
      <c r="AD17" s="35">
        <v>0</v>
      </c>
      <c r="AE17" s="3">
        <v>0</v>
      </c>
      <c r="AF17" s="3">
        <v>0</v>
      </c>
      <c r="AG17" s="30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0</v>
      </c>
      <c r="AL17" s="15" t="e">
        <f t="shared" si="18"/>
        <v>#DIV/0!</v>
      </c>
      <c r="AM17" s="3">
        <v>115.2</v>
      </c>
      <c r="AN17" s="3">
        <v>0</v>
      </c>
      <c r="AO17" s="3">
        <v>507</v>
      </c>
      <c r="AP17" s="3">
        <v>539.6</v>
      </c>
      <c r="AQ17" s="3">
        <v>501.6</v>
      </c>
      <c r="AR17" s="3">
        <v>849.7</v>
      </c>
      <c r="AS17" s="3">
        <f t="shared" si="14"/>
        <v>3122.4999999999995</v>
      </c>
      <c r="AT17" s="3">
        <f t="shared" si="15"/>
        <v>3444.7</v>
      </c>
      <c r="AU17" s="15">
        <f t="shared" si="19"/>
        <v>110.31865492393915</v>
      </c>
      <c r="AV17" s="15">
        <f t="shared" si="16"/>
        <v>-322.2000000000003</v>
      </c>
      <c r="AW17" s="4">
        <f t="shared" si="17"/>
        <v>-305.00000000000045</v>
      </c>
    </row>
    <row r="18" spans="1:49" ht="24" customHeight="1">
      <c r="A18" s="6">
        <v>11</v>
      </c>
      <c r="B18" s="16" t="s">
        <v>56</v>
      </c>
      <c r="C18" s="2">
        <v>0</v>
      </c>
      <c r="D18" s="3">
        <v>509.7</v>
      </c>
      <c r="E18" s="3">
        <v>268.6</v>
      </c>
      <c r="F18" s="15">
        <f t="shared" si="0"/>
        <v>52.69766529330979</v>
      </c>
      <c r="G18" s="3">
        <v>554</v>
      </c>
      <c r="H18" s="3">
        <v>773.7</v>
      </c>
      <c r="I18" s="15">
        <f t="shared" si="6"/>
        <v>139.65703971119135</v>
      </c>
      <c r="J18" s="3">
        <v>282.7</v>
      </c>
      <c r="K18" s="3">
        <v>297.3</v>
      </c>
      <c r="L18" s="15">
        <f t="shared" si="7"/>
        <v>105.16448532012734</v>
      </c>
      <c r="M18" s="3">
        <f t="shared" si="8"/>
        <v>1346.4</v>
      </c>
      <c r="N18" s="3">
        <f t="shared" si="9"/>
        <v>1339.6000000000001</v>
      </c>
      <c r="O18" s="15">
        <f t="shared" si="2"/>
        <v>99.49494949494951</v>
      </c>
      <c r="P18" s="3">
        <v>0</v>
      </c>
      <c r="Q18" s="3">
        <v>0</v>
      </c>
      <c r="R18" s="30" t="e">
        <f t="shared" si="10"/>
        <v>#DIV/0!</v>
      </c>
      <c r="S18" s="3">
        <v>0</v>
      </c>
      <c r="T18" s="3">
        <v>0</v>
      </c>
      <c r="U18" s="30" t="e">
        <f>T18/S18*100</f>
        <v>#DIV/0!</v>
      </c>
      <c r="V18" s="3">
        <v>0</v>
      </c>
      <c r="W18" s="3">
        <v>0</v>
      </c>
      <c r="X18" s="30" t="e">
        <f>W18/V18*100</f>
        <v>#DIV/0!</v>
      </c>
      <c r="Y18" s="3">
        <f t="shared" si="3"/>
        <v>0</v>
      </c>
      <c r="Z18" s="3">
        <f t="shared" si="4"/>
        <v>0</v>
      </c>
      <c r="AA18" s="35">
        <v>0</v>
      </c>
      <c r="AB18" s="3">
        <v>0</v>
      </c>
      <c r="AC18" s="3">
        <v>0</v>
      </c>
      <c r="AD18" s="35">
        <v>0</v>
      </c>
      <c r="AE18" s="3"/>
      <c r="AF18" s="3"/>
      <c r="AG18" s="30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5">
        <v>0</v>
      </c>
      <c r="AM18" s="3">
        <v>115.3</v>
      </c>
      <c r="AN18" s="3">
        <v>115.3</v>
      </c>
      <c r="AO18" s="3">
        <v>417.8</v>
      </c>
      <c r="AP18" s="3">
        <v>410.5</v>
      </c>
      <c r="AQ18" s="3">
        <v>360.1</v>
      </c>
      <c r="AR18" s="3">
        <v>374.2</v>
      </c>
      <c r="AS18" s="3">
        <f t="shared" si="14"/>
        <v>2239.6</v>
      </c>
      <c r="AT18" s="3">
        <f t="shared" si="15"/>
        <v>2239.6</v>
      </c>
      <c r="AU18" s="15">
        <f t="shared" si="19"/>
        <v>100</v>
      </c>
      <c r="AV18" s="15">
        <f t="shared" si="16"/>
        <v>0</v>
      </c>
      <c r="AW18" s="4">
        <f t="shared" si="17"/>
        <v>0</v>
      </c>
    </row>
    <row r="19" spans="1:49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5">
        <f t="shared" si="0"/>
        <v>1.9259705085765872</v>
      </c>
      <c r="G19" s="3">
        <f>11.7+84.9+1604.2</f>
        <v>1700.8</v>
      </c>
      <c r="H19" s="3">
        <f>12+114.7+2087.9</f>
        <v>2214.6</v>
      </c>
      <c r="I19" s="15">
        <f t="shared" si="6"/>
        <v>130.2093132643462</v>
      </c>
      <c r="J19" s="3">
        <f>7.7+45.2+748.6</f>
        <v>801.5</v>
      </c>
      <c r="K19" s="3">
        <f>12+73.6+2341.7</f>
        <v>2427.2999999999997</v>
      </c>
      <c r="L19" s="15">
        <f t="shared" si="7"/>
        <v>302.84466625077977</v>
      </c>
      <c r="M19" s="3">
        <f t="shared" si="8"/>
        <v>4163.8</v>
      </c>
      <c r="N19" s="3">
        <f t="shared" si="9"/>
        <v>4673.9</v>
      </c>
      <c r="O19" s="15">
        <f t="shared" si="2"/>
        <v>112.2508285700562</v>
      </c>
      <c r="P19" s="3">
        <v>0</v>
      </c>
      <c r="Q19" s="3">
        <v>0</v>
      </c>
      <c r="R19" s="30" t="e">
        <f t="shared" si="10"/>
        <v>#DIV/0!</v>
      </c>
      <c r="S19" s="3">
        <v>0</v>
      </c>
      <c r="T19" s="3">
        <v>-0.3</v>
      </c>
      <c r="U19" s="30" t="e">
        <f>T19/S19*100</f>
        <v>#DIV/0!</v>
      </c>
      <c r="V19" s="3">
        <v>0</v>
      </c>
      <c r="W19" s="3">
        <v>0</v>
      </c>
      <c r="X19" s="30" t="e">
        <f>W19/V19*100</f>
        <v>#DIV/0!</v>
      </c>
      <c r="Y19" s="3">
        <f t="shared" si="3"/>
        <v>0</v>
      </c>
      <c r="Z19" s="3">
        <f t="shared" si="4"/>
        <v>-0.3</v>
      </c>
      <c r="AA19" s="30" t="e">
        <f t="shared" si="5"/>
        <v>#DIV/0!</v>
      </c>
      <c r="AB19" s="3">
        <v>0</v>
      </c>
      <c r="AC19" s="3">
        <v>0</v>
      </c>
      <c r="AD19" s="35">
        <v>0</v>
      </c>
      <c r="AE19" s="3"/>
      <c r="AF19" s="3"/>
      <c r="AG19" s="30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30" t="e">
        <f aca="true" t="shared" si="20" ref="AL19:AL46">AK19/AJ19*100</f>
        <v>#DIV/0!</v>
      </c>
      <c r="AM19" s="3">
        <f>3.5+14.2+309.5</f>
        <v>327.2</v>
      </c>
      <c r="AN19" s="3">
        <f>45+894.4</f>
        <v>939.4</v>
      </c>
      <c r="AO19" s="3">
        <f>1269.8+9.1</f>
        <v>1278.8999999999999</v>
      </c>
      <c r="AP19" s="3">
        <f>545.7+3.5</f>
        <v>549.2</v>
      </c>
      <c r="AQ19" s="3">
        <f>19.4+1583.5</f>
        <v>1602.9</v>
      </c>
      <c r="AR19" s="3">
        <f>28.4+1518.4</f>
        <v>1546.8000000000002</v>
      </c>
      <c r="AS19" s="3">
        <f t="shared" si="14"/>
        <v>7372.799999999999</v>
      </c>
      <c r="AT19" s="3">
        <f t="shared" si="15"/>
        <v>7708.999999999999</v>
      </c>
      <c r="AU19" s="15">
        <f t="shared" si="19"/>
        <v>104.56000434027777</v>
      </c>
      <c r="AV19" s="15">
        <f t="shared" si="16"/>
        <v>-336.1999999999998</v>
      </c>
      <c r="AW19" s="4">
        <f t="shared" si="17"/>
        <v>-104.80000000000018</v>
      </c>
    </row>
    <row r="20" spans="1:49" ht="24" customHeight="1">
      <c r="A20" s="6">
        <v>13</v>
      </c>
      <c r="B20" s="16" t="s">
        <v>57</v>
      </c>
      <c r="C20" s="2">
        <v>-0.1</v>
      </c>
      <c r="D20" s="3"/>
      <c r="E20" s="3"/>
      <c r="F20" s="30"/>
      <c r="G20" s="23"/>
      <c r="H20" s="23"/>
      <c r="I20" s="15"/>
      <c r="J20" s="23"/>
      <c r="K20" s="23"/>
      <c r="L20" s="15"/>
      <c r="M20" s="3"/>
      <c r="N20" s="3"/>
      <c r="O20" s="30" t="e">
        <f t="shared" si="2"/>
        <v>#DIV/0!</v>
      </c>
      <c r="P20" s="46"/>
      <c r="Q20" s="46"/>
      <c r="R20" s="30" t="e">
        <f t="shared" si="10"/>
        <v>#DIV/0!</v>
      </c>
      <c r="S20" s="46"/>
      <c r="T20" s="46"/>
      <c r="U20" s="30" t="e">
        <f>T20/S20*100</f>
        <v>#DIV/0!</v>
      </c>
      <c r="V20" s="46"/>
      <c r="W20" s="46"/>
      <c r="X20" s="30" t="e">
        <f>W20/V20*100</f>
        <v>#DIV/0!</v>
      </c>
      <c r="Y20" s="3"/>
      <c r="Z20" s="3"/>
      <c r="AA20" s="30" t="e">
        <f t="shared" si="5"/>
        <v>#DIV/0!</v>
      </c>
      <c r="AB20" s="46"/>
      <c r="AC20" s="46"/>
      <c r="AD20" s="30" t="e">
        <f>AC20/AB20*100</f>
        <v>#DIV/0!</v>
      </c>
      <c r="AE20" s="23"/>
      <c r="AF20" s="23"/>
      <c r="AG20" s="30"/>
      <c r="AH20" s="23"/>
      <c r="AI20" s="23"/>
      <c r="AJ20" s="3">
        <f t="shared" si="12"/>
        <v>0</v>
      </c>
      <c r="AK20" s="3">
        <f t="shared" si="13"/>
        <v>0</v>
      </c>
      <c r="AL20" s="30" t="e">
        <f t="shared" si="20"/>
        <v>#DIV/0!</v>
      </c>
      <c r="AM20" s="23"/>
      <c r="AN20" s="23"/>
      <c r="AO20" s="23"/>
      <c r="AP20" s="23"/>
      <c r="AQ20" s="23"/>
      <c r="AR20" s="23"/>
      <c r="AS20" s="3">
        <f t="shared" si="14"/>
        <v>0</v>
      </c>
      <c r="AT20" s="3">
        <f t="shared" si="15"/>
        <v>0</v>
      </c>
      <c r="AU20" s="15"/>
      <c r="AV20" s="15">
        <f t="shared" si="16"/>
        <v>0</v>
      </c>
      <c r="AW20" s="4">
        <f t="shared" si="17"/>
        <v>-0.1</v>
      </c>
    </row>
    <row r="21" spans="1:49" ht="24" customHeight="1">
      <c r="A21" s="6">
        <v>14</v>
      </c>
      <c r="B21" s="16" t="s">
        <v>58</v>
      </c>
      <c r="C21" s="2">
        <v>22.4</v>
      </c>
      <c r="D21" s="3">
        <v>128.2</v>
      </c>
      <c r="E21" s="3">
        <v>102.6</v>
      </c>
      <c r="F21" s="15">
        <f t="shared" si="0"/>
        <v>80.03120124804992</v>
      </c>
      <c r="G21" s="46">
        <v>101.9</v>
      </c>
      <c r="H21" s="46">
        <v>48</v>
      </c>
      <c r="I21" s="15">
        <f t="shared" si="6"/>
        <v>47.10500490677134</v>
      </c>
      <c r="J21" s="46">
        <v>73.1</v>
      </c>
      <c r="K21" s="46">
        <v>101.9</v>
      </c>
      <c r="L21" s="15">
        <f>K21/J21*100</f>
        <v>139.3980848153215</v>
      </c>
      <c r="M21" s="3">
        <f t="shared" si="8"/>
        <v>303.2</v>
      </c>
      <c r="N21" s="3">
        <f t="shared" si="9"/>
        <v>252.5</v>
      </c>
      <c r="O21" s="15">
        <f t="shared" si="2"/>
        <v>83.27836411609499</v>
      </c>
      <c r="P21" s="46">
        <v>0</v>
      </c>
      <c r="Q21" s="46">
        <v>73.1</v>
      </c>
      <c r="R21" s="30" t="e">
        <f>Q21/P21*100</f>
        <v>#DIV/0!</v>
      </c>
      <c r="S21" s="46">
        <v>0</v>
      </c>
      <c r="T21" s="46">
        <v>0</v>
      </c>
      <c r="U21" s="30" t="e">
        <f>T21/S21*100</f>
        <v>#DIV/0!</v>
      </c>
      <c r="V21" s="46">
        <v>0</v>
      </c>
      <c r="W21" s="46">
        <v>0</v>
      </c>
      <c r="X21" s="30" t="e">
        <f>W21/V21*100</f>
        <v>#DIV/0!</v>
      </c>
      <c r="Y21" s="3">
        <f>P21+S21+V21</f>
        <v>0</v>
      </c>
      <c r="Z21" s="3">
        <f>Q21+T21+W21</f>
        <v>73.1</v>
      </c>
      <c r="AA21" s="30" t="e">
        <f t="shared" si="5"/>
        <v>#DIV/0!</v>
      </c>
      <c r="AB21" s="46">
        <v>0</v>
      </c>
      <c r="AC21" s="46"/>
      <c r="AD21" s="30" t="e">
        <f>AC21/AB21*100</f>
        <v>#DIV/0!</v>
      </c>
      <c r="AE21" s="46">
        <v>0</v>
      </c>
      <c r="AF21" s="46">
        <v>0</v>
      </c>
      <c r="AG21" s="30"/>
      <c r="AH21" s="46">
        <v>0</v>
      </c>
      <c r="AI21" s="46">
        <v>0</v>
      </c>
      <c r="AJ21" s="3">
        <f t="shared" si="12"/>
        <v>0</v>
      </c>
      <c r="AK21" s="3">
        <f t="shared" si="13"/>
        <v>0</v>
      </c>
      <c r="AL21" s="30" t="e">
        <f t="shared" si="20"/>
        <v>#DIV/0!</v>
      </c>
      <c r="AM21" s="46">
        <v>23.8</v>
      </c>
      <c r="AN21" s="46">
        <v>0</v>
      </c>
      <c r="AO21" s="46">
        <v>66.8</v>
      </c>
      <c r="AP21" s="46">
        <v>23.8</v>
      </c>
      <c r="AQ21" s="46">
        <v>437.1</v>
      </c>
      <c r="AR21" s="46">
        <v>593</v>
      </c>
      <c r="AS21" s="3">
        <f t="shared" si="14"/>
        <v>830.9000000000001</v>
      </c>
      <c r="AT21" s="3">
        <f t="shared" si="15"/>
        <v>942.4000000000001</v>
      </c>
      <c r="AU21" s="15">
        <f t="shared" si="19"/>
        <v>113.4191840173306</v>
      </c>
      <c r="AV21" s="15">
        <f t="shared" si="16"/>
        <v>-111.5</v>
      </c>
      <c r="AW21" s="4">
        <f t="shared" si="17"/>
        <v>-89.10000000000002</v>
      </c>
    </row>
    <row r="22" spans="1:49" ht="31.5" customHeight="1">
      <c r="A22" s="6">
        <v>15</v>
      </c>
      <c r="B22" s="16" t="s">
        <v>59</v>
      </c>
      <c r="C22" s="2">
        <v>-4.3</v>
      </c>
      <c r="D22" s="3">
        <v>1436.3</v>
      </c>
      <c r="E22" s="3">
        <v>1435.7</v>
      </c>
      <c r="F22" s="15">
        <f t="shared" si="0"/>
        <v>99.95822599735432</v>
      </c>
      <c r="G22" s="46">
        <v>1425.7</v>
      </c>
      <c r="H22" s="46">
        <v>1425.7</v>
      </c>
      <c r="I22" s="15">
        <f t="shared" si="6"/>
        <v>100</v>
      </c>
      <c r="J22" s="46">
        <v>980.3</v>
      </c>
      <c r="K22" s="46">
        <v>977.3</v>
      </c>
      <c r="L22" s="15">
        <f>K22/J22*100</f>
        <v>99.69397123329593</v>
      </c>
      <c r="M22" s="3">
        <f t="shared" si="8"/>
        <v>3842.3</v>
      </c>
      <c r="N22" s="3">
        <f t="shared" si="9"/>
        <v>3838.7</v>
      </c>
      <c r="O22" s="15">
        <f t="shared" si="2"/>
        <v>99.90630611873095</v>
      </c>
      <c r="P22" s="46">
        <v>160.9</v>
      </c>
      <c r="Q22" s="46">
        <v>160.2</v>
      </c>
      <c r="R22" s="15">
        <f>Q22/P22*100</f>
        <v>99.56494717215661</v>
      </c>
      <c r="S22" s="46">
        <v>0</v>
      </c>
      <c r="T22" s="46">
        <v>0</v>
      </c>
      <c r="U22" s="15"/>
      <c r="V22" s="46">
        <v>0</v>
      </c>
      <c r="W22" s="46">
        <v>0</v>
      </c>
      <c r="X22" s="15"/>
      <c r="Y22" s="3">
        <f>P22+S22+V22</f>
        <v>160.9</v>
      </c>
      <c r="Z22" s="3">
        <f>Q22+T22+W22</f>
        <v>160.2</v>
      </c>
      <c r="AA22" s="15">
        <f t="shared" si="5"/>
        <v>99.56494717215661</v>
      </c>
      <c r="AB22" s="46">
        <v>0</v>
      </c>
      <c r="AC22" s="46">
        <v>0</v>
      </c>
      <c r="AD22" s="15"/>
      <c r="AE22" s="3">
        <v>0</v>
      </c>
      <c r="AF22" s="3">
        <v>0</v>
      </c>
      <c r="AG22" s="30"/>
      <c r="AH22" s="3">
        <v>0</v>
      </c>
      <c r="AI22" s="3">
        <v>0</v>
      </c>
      <c r="AJ22" s="3">
        <f t="shared" si="12"/>
        <v>0</v>
      </c>
      <c r="AK22" s="3">
        <f t="shared" si="13"/>
        <v>0</v>
      </c>
      <c r="AL22" s="15" t="e">
        <f t="shared" si="20"/>
        <v>#DIV/0!</v>
      </c>
      <c r="AM22" s="3">
        <v>322.9</v>
      </c>
      <c r="AN22" s="3">
        <v>390.9</v>
      </c>
      <c r="AO22" s="3">
        <v>1371.4</v>
      </c>
      <c r="AP22" s="3">
        <v>1354.5</v>
      </c>
      <c r="AQ22" s="3">
        <v>1918.4</v>
      </c>
      <c r="AR22" s="3">
        <v>1881.6</v>
      </c>
      <c r="AS22" s="3">
        <f t="shared" si="14"/>
        <v>7615.9</v>
      </c>
      <c r="AT22" s="3">
        <f t="shared" si="15"/>
        <v>7625.9</v>
      </c>
      <c r="AU22" s="15">
        <f t="shared" si="19"/>
        <v>100.13130424506625</v>
      </c>
      <c r="AV22" s="15">
        <f t="shared" si="16"/>
        <v>-10</v>
      </c>
      <c r="AW22" s="4">
        <f t="shared" si="17"/>
        <v>-14.300000000000182</v>
      </c>
    </row>
    <row r="23" spans="1:49" ht="24" customHeight="1">
      <c r="A23" s="6">
        <v>16</v>
      </c>
      <c r="B23" s="16" t="s">
        <v>60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"/>
      <c r="N23" s="3"/>
      <c r="O23" s="30" t="e">
        <f t="shared" si="2"/>
        <v>#DIV/0!</v>
      </c>
      <c r="P23" s="47"/>
      <c r="Q23" s="47"/>
      <c r="R23" s="47"/>
      <c r="S23" s="47"/>
      <c r="T23" s="47"/>
      <c r="U23" s="47"/>
      <c r="V23" s="47"/>
      <c r="W23" s="47"/>
      <c r="X23" s="47"/>
      <c r="Y23" s="3"/>
      <c r="Z23" s="3"/>
      <c r="AA23" s="30" t="e">
        <f t="shared" si="5"/>
        <v>#DIV/0!</v>
      </c>
      <c r="AB23" s="47"/>
      <c r="AC23" s="47"/>
      <c r="AD23" s="47"/>
      <c r="AE23" s="92"/>
      <c r="AF23" s="92"/>
      <c r="AG23" s="112"/>
      <c r="AH23" s="92"/>
      <c r="AI23" s="92"/>
      <c r="AJ23" s="3"/>
      <c r="AK23" s="3"/>
      <c r="AL23" s="30" t="e">
        <f t="shared" si="20"/>
        <v>#DIV/0!</v>
      </c>
      <c r="AM23" s="92"/>
      <c r="AN23" s="92"/>
      <c r="AO23" s="92"/>
      <c r="AP23" s="92"/>
      <c r="AQ23" s="92"/>
      <c r="AR23" s="92"/>
      <c r="AS23" s="3">
        <f t="shared" si="14"/>
        <v>0</v>
      </c>
      <c r="AT23" s="3">
        <f t="shared" si="15"/>
        <v>0</v>
      </c>
      <c r="AU23" s="47"/>
      <c r="AV23" s="15"/>
      <c r="AW23" s="4"/>
    </row>
    <row r="24" spans="1:49" ht="36" customHeight="1">
      <c r="A24" s="6">
        <v>17</v>
      </c>
      <c r="B24" s="16" t="s">
        <v>61</v>
      </c>
      <c r="C24" s="2">
        <v>0</v>
      </c>
      <c r="D24" s="3">
        <v>2474.6</v>
      </c>
      <c r="E24" s="3">
        <v>1994.1</v>
      </c>
      <c r="F24" s="15">
        <f t="shared" si="0"/>
        <v>80.58272043966703</v>
      </c>
      <c r="G24" s="3">
        <v>1946.3</v>
      </c>
      <c r="H24" s="3">
        <v>2991.3</v>
      </c>
      <c r="I24" s="15">
        <f>H24/G24*100</f>
        <v>153.69161999691724</v>
      </c>
      <c r="J24" s="3">
        <v>1109</v>
      </c>
      <c r="K24" s="3">
        <v>643.6</v>
      </c>
      <c r="L24" s="15">
        <f>K24/J24*100</f>
        <v>58.034265103697024</v>
      </c>
      <c r="M24" s="3">
        <f t="shared" si="8"/>
        <v>5529.9</v>
      </c>
      <c r="N24" s="3">
        <f t="shared" si="9"/>
        <v>5629</v>
      </c>
      <c r="O24" s="15">
        <f t="shared" si="2"/>
        <v>101.79207580607246</v>
      </c>
      <c r="P24" s="3">
        <v>0</v>
      </c>
      <c r="Q24" s="3">
        <v>33.8</v>
      </c>
      <c r="R24" s="30" t="e">
        <f>Q24/P24*100</f>
        <v>#DIV/0!</v>
      </c>
      <c r="S24" s="3">
        <v>0</v>
      </c>
      <c r="T24" s="3">
        <v>0</v>
      </c>
      <c r="U24" s="30" t="e">
        <f>T24/S24*100</f>
        <v>#DIV/0!</v>
      </c>
      <c r="V24" s="3">
        <v>0</v>
      </c>
      <c r="W24" s="3">
        <v>0</v>
      </c>
      <c r="X24" s="30" t="e">
        <f>W24/V24*100</f>
        <v>#DIV/0!</v>
      </c>
      <c r="Y24" s="3">
        <f aca="true" t="shared" si="21" ref="Y24:Z28">P24+S24+V24</f>
        <v>0</v>
      </c>
      <c r="Z24" s="3">
        <f t="shared" si="21"/>
        <v>33.8</v>
      </c>
      <c r="AA24" s="30" t="e">
        <f t="shared" si="5"/>
        <v>#DIV/0!</v>
      </c>
      <c r="AB24" s="3">
        <v>0</v>
      </c>
      <c r="AC24" s="3">
        <v>0</v>
      </c>
      <c r="AD24" s="35">
        <v>0</v>
      </c>
      <c r="AE24" s="3">
        <v>0</v>
      </c>
      <c r="AF24" s="3">
        <v>0</v>
      </c>
      <c r="AG24" s="30" t="e">
        <f>AF24/AE24*100</f>
        <v>#DIV/0!</v>
      </c>
      <c r="AH24" s="3">
        <v>0</v>
      </c>
      <c r="AI24" s="3">
        <v>0</v>
      </c>
      <c r="AJ24" s="3">
        <f t="shared" si="12"/>
        <v>0</v>
      </c>
      <c r="AK24" s="3">
        <f t="shared" si="13"/>
        <v>0</v>
      </c>
      <c r="AL24" s="30" t="e">
        <f t="shared" si="20"/>
        <v>#DIV/0!</v>
      </c>
      <c r="AM24" s="3">
        <v>604.7</v>
      </c>
      <c r="AN24" s="3">
        <v>831.5</v>
      </c>
      <c r="AO24" s="3">
        <v>2662.9</v>
      </c>
      <c r="AP24" s="3">
        <v>2020.9</v>
      </c>
      <c r="AQ24" s="3">
        <v>2672.8</v>
      </c>
      <c r="AR24" s="3">
        <v>2958.1</v>
      </c>
      <c r="AS24" s="3">
        <f t="shared" si="14"/>
        <v>11470.3</v>
      </c>
      <c r="AT24" s="3">
        <f t="shared" si="15"/>
        <v>11473.300000000001</v>
      </c>
      <c r="AU24" s="15">
        <f>AT24/AS24*100</f>
        <v>100.02615450336958</v>
      </c>
      <c r="AV24" s="15">
        <f t="shared" si="16"/>
        <v>-3.000000000001819</v>
      </c>
      <c r="AW24" s="4">
        <f t="shared" si="17"/>
        <v>-3.000000000001819</v>
      </c>
    </row>
    <row r="25" spans="1:49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5">
        <f t="shared" si="0"/>
        <v>31.99132438660702</v>
      </c>
      <c r="G25" s="46">
        <v>613.8</v>
      </c>
      <c r="H25" s="46">
        <v>211.5</v>
      </c>
      <c r="I25" s="15">
        <f>H25/G25*100</f>
        <v>34.457478005865106</v>
      </c>
      <c r="J25" s="46">
        <v>316.7</v>
      </c>
      <c r="K25" s="46">
        <v>530.5</v>
      </c>
      <c r="L25" s="15">
        <f>K25/J25*100</f>
        <v>167.50868329649512</v>
      </c>
      <c r="M25" s="3">
        <f t="shared" si="8"/>
        <v>1668.2</v>
      </c>
      <c r="N25" s="3">
        <f t="shared" si="9"/>
        <v>978</v>
      </c>
      <c r="O25" s="15">
        <f t="shared" si="2"/>
        <v>58.62606402110059</v>
      </c>
      <c r="P25" s="46">
        <v>24.8</v>
      </c>
      <c r="Q25" s="46">
        <v>149.7</v>
      </c>
      <c r="R25" s="15">
        <f>Q25/P25*100</f>
        <v>603.6290322580644</v>
      </c>
      <c r="S25" s="46">
        <v>0</v>
      </c>
      <c r="T25" s="46">
        <v>298.3</v>
      </c>
      <c r="U25" s="15"/>
      <c r="V25" s="46">
        <v>0</v>
      </c>
      <c r="W25" s="46">
        <v>0</v>
      </c>
      <c r="X25" s="15"/>
      <c r="Y25" s="3">
        <f t="shared" si="21"/>
        <v>24.8</v>
      </c>
      <c r="Z25" s="3">
        <f t="shared" si="21"/>
        <v>448</v>
      </c>
      <c r="AA25" s="15">
        <f t="shared" si="5"/>
        <v>1806.4516129032256</v>
      </c>
      <c r="AB25" s="46">
        <v>0</v>
      </c>
      <c r="AC25" s="46">
        <v>0</v>
      </c>
      <c r="AD25" s="15">
        <v>0</v>
      </c>
      <c r="AE25" s="46">
        <v>0</v>
      </c>
      <c r="AF25" s="46">
        <v>0</v>
      </c>
      <c r="AG25" s="30"/>
      <c r="AH25" s="46">
        <v>0</v>
      </c>
      <c r="AI25" s="46">
        <v>0</v>
      </c>
      <c r="AJ25" s="3">
        <f t="shared" si="12"/>
        <v>0</v>
      </c>
      <c r="AK25" s="3">
        <f t="shared" si="13"/>
        <v>0</v>
      </c>
      <c r="AL25" s="15" t="e">
        <f t="shared" si="20"/>
        <v>#DIV/0!</v>
      </c>
      <c r="AM25" s="46">
        <v>130.5</v>
      </c>
      <c r="AN25" s="46">
        <v>0</v>
      </c>
      <c r="AO25" s="46">
        <v>411.1</v>
      </c>
      <c r="AP25" s="46">
        <v>130.5</v>
      </c>
      <c r="AQ25" s="46">
        <v>543.1</v>
      </c>
      <c r="AR25" s="46">
        <v>1407.1</v>
      </c>
      <c r="AS25" s="3">
        <f t="shared" si="14"/>
        <v>2777.7</v>
      </c>
      <c r="AT25" s="3">
        <f t="shared" si="15"/>
        <v>2963.6</v>
      </c>
      <c r="AU25" s="15">
        <f>AT25/AS25*100</f>
        <v>106.692587392447</v>
      </c>
      <c r="AV25" s="15">
        <f t="shared" si="16"/>
        <v>-185.9000000000001</v>
      </c>
      <c r="AW25" s="4">
        <f t="shared" si="17"/>
        <v>-452.8000000000002</v>
      </c>
    </row>
    <row r="26" spans="1:49" s="45" customFormat="1" ht="24" customHeight="1">
      <c r="A26" s="6">
        <v>19</v>
      </c>
      <c r="B26" s="16" t="s">
        <v>63</v>
      </c>
      <c r="C26" s="2">
        <v>-265.7</v>
      </c>
      <c r="D26" s="3">
        <v>1052.7</v>
      </c>
      <c r="E26" s="3">
        <v>0.1</v>
      </c>
      <c r="F26" s="15">
        <f t="shared" si="0"/>
        <v>0.009499382540134892</v>
      </c>
      <c r="G26" s="3">
        <v>798.8</v>
      </c>
      <c r="H26" s="3">
        <v>1639.1</v>
      </c>
      <c r="I26" s="15">
        <f>H26/G26*100</f>
        <v>205.19529293940911</v>
      </c>
      <c r="J26" s="3">
        <v>406.5</v>
      </c>
      <c r="K26" s="3">
        <v>422.5</v>
      </c>
      <c r="L26" s="15">
        <f>K26/J26*100</f>
        <v>103.9360393603936</v>
      </c>
      <c r="M26" s="3">
        <f t="shared" si="8"/>
        <v>2258</v>
      </c>
      <c r="N26" s="3">
        <f t="shared" si="9"/>
        <v>2061.7</v>
      </c>
      <c r="O26" s="15">
        <f t="shared" si="2"/>
        <v>91.30646589902568</v>
      </c>
      <c r="P26" s="3">
        <v>27.7</v>
      </c>
      <c r="Q26" s="3">
        <v>23.6</v>
      </c>
      <c r="R26" s="15">
        <f>Q26/P26*100</f>
        <v>85.19855595667872</v>
      </c>
      <c r="S26" s="3">
        <v>0</v>
      </c>
      <c r="T26" s="3">
        <v>0.6</v>
      </c>
      <c r="U26" s="15"/>
      <c r="V26" s="3">
        <v>0</v>
      </c>
      <c r="W26" s="3">
        <v>0</v>
      </c>
      <c r="X26" s="15"/>
      <c r="Y26" s="3">
        <f t="shared" si="21"/>
        <v>27.7</v>
      </c>
      <c r="Z26" s="3">
        <f t="shared" si="21"/>
        <v>24.200000000000003</v>
      </c>
      <c r="AA26" s="15">
        <f t="shared" si="5"/>
        <v>87.36462093862816</v>
      </c>
      <c r="AB26" s="3">
        <v>0</v>
      </c>
      <c r="AC26" s="3">
        <v>0</v>
      </c>
      <c r="AD26" s="15">
        <v>0</v>
      </c>
      <c r="AE26" s="3">
        <v>0</v>
      </c>
      <c r="AF26" s="3">
        <v>0</v>
      </c>
      <c r="AG26" s="30" t="e">
        <f>AF26/AE26*100</f>
        <v>#DIV/0!</v>
      </c>
      <c r="AH26" s="3">
        <v>0</v>
      </c>
      <c r="AI26" s="3">
        <v>0</v>
      </c>
      <c r="AJ26" s="3">
        <f t="shared" si="12"/>
        <v>0</v>
      </c>
      <c r="AK26" s="3">
        <f t="shared" si="13"/>
        <v>0</v>
      </c>
      <c r="AL26" s="15" t="e">
        <f t="shared" si="20"/>
        <v>#DIV/0!</v>
      </c>
      <c r="AM26" s="3">
        <v>77.8</v>
      </c>
      <c r="AN26" s="3">
        <v>0</v>
      </c>
      <c r="AO26" s="3">
        <v>701.1</v>
      </c>
      <c r="AP26" s="3">
        <v>606.4</v>
      </c>
      <c r="AQ26" s="3">
        <v>1100.5</v>
      </c>
      <c r="AR26" s="3">
        <v>1620.3</v>
      </c>
      <c r="AS26" s="3">
        <f t="shared" si="14"/>
        <v>4165.1</v>
      </c>
      <c r="AT26" s="3">
        <f t="shared" si="15"/>
        <v>4312.599999999999</v>
      </c>
      <c r="AU26" s="15">
        <f>AT26/AS26*100</f>
        <v>103.54133154065927</v>
      </c>
      <c r="AV26" s="15">
        <f t="shared" si="16"/>
        <v>-147.4999999999991</v>
      </c>
      <c r="AW26" s="4">
        <f t="shared" si="17"/>
        <v>-413.1999999999989</v>
      </c>
    </row>
    <row r="27" spans="1:49" ht="39" customHeight="1">
      <c r="A27" s="6">
        <v>20</v>
      </c>
      <c r="B27" s="16" t="s">
        <v>93</v>
      </c>
      <c r="C27" s="2">
        <v>0</v>
      </c>
      <c r="D27" s="3">
        <v>1867.4</v>
      </c>
      <c r="E27" s="3">
        <v>721.9</v>
      </c>
      <c r="F27" s="15">
        <f t="shared" si="0"/>
        <v>38.658027203598586</v>
      </c>
      <c r="G27" s="3">
        <v>1373.9</v>
      </c>
      <c r="H27" s="3">
        <v>1245.5</v>
      </c>
      <c r="I27" s="15">
        <f>H27/G27*100</f>
        <v>90.65434165514229</v>
      </c>
      <c r="J27" s="3">
        <v>826.4</v>
      </c>
      <c r="K27" s="3">
        <v>1058.3</v>
      </c>
      <c r="L27" s="15">
        <f>K27/J27*100</f>
        <v>128.06147144240077</v>
      </c>
      <c r="M27" s="3">
        <f t="shared" si="8"/>
        <v>4067.7000000000003</v>
      </c>
      <c r="N27" s="3">
        <f t="shared" si="9"/>
        <v>3025.7</v>
      </c>
      <c r="O27" s="15">
        <f t="shared" si="2"/>
        <v>74.38355827617572</v>
      </c>
      <c r="P27" s="3">
        <v>47</v>
      </c>
      <c r="Q27" s="3">
        <v>530.9</v>
      </c>
      <c r="R27" s="15">
        <f>Q27/P27*100</f>
        <v>1129.5744680851064</v>
      </c>
      <c r="S27" s="3">
        <v>0</v>
      </c>
      <c r="T27" s="3">
        <v>388.6</v>
      </c>
      <c r="U27" s="15"/>
      <c r="V27" s="3">
        <v>0</v>
      </c>
      <c r="W27" s="3">
        <v>174.3</v>
      </c>
      <c r="X27" s="15"/>
      <c r="Y27" s="3">
        <f t="shared" si="21"/>
        <v>47</v>
      </c>
      <c r="Z27" s="3">
        <f t="shared" si="21"/>
        <v>1093.8</v>
      </c>
      <c r="AA27" s="15">
        <f t="shared" si="5"/>
        <v>2327.2340425531916</v>
      </c>
      <c r="AB27" s="3">
        <v>0</v>
      </c>
      <c r="AC27" s="3">
        <v>0</v>
      </c>
      <c r="AD27" s="15">
        <v>0</v>
      </c>
      <c r="AE27" s="3">
        <v>0</v>
      </c>
      <c r="AF27" s="3">
        <v>0</v>
      </c>
      <c r="AG27" s="30" t="e">
        <f>AF27/AE27*100</f>
        <v>#DIV/0!</v>
      </c>
      <c r="AH27" s="3">
        <v>0</v>
      </c>
      <c r="AI27" s="3">
        <v>0</v>
      </c>
      <c r="AJ27" s="3">
        <f t="shared" si="12"/>
        <v>0</v>
      </c>
      <c r="AK27" s="3">
        <f t="shared" si="13"/>
        <v>0</v>
      </c>
      <c r="AL27" s="15" t="e">
        <f t="shared" si="20"/>
        <v>#DIV/0!</v>
      </c>
      <c r="AM27" s="3">
        <v>177.8</v>
      </c>
      <c r="AN27" s="3">
        <v>0</v>
      </c>
      <c r="AO27" s="3">
        <v>819.7</v>
      </c>
      <c r="AP27" s="3">
        <v>990.3</v>
      </c>
      <c r="AQ27" s="3">
        <v>1717.2</v>
      </c>
      <c r="AR27" s="3">
        <v>1724.5</v>
      </c>
      <c r="AS27" s="3">
        <f t="shared" si="14"/>
        <v>6829.400000000001</v>
      </c>
      <c r="AT27" s="3">
        <f t="shared" si="15"/>
        <v>6834.3</v>
      </c>
      <c r="AU27" s="15">
        <f>AT27/AS27*100</f>
        <v>100.07174861627668</v>
      </c>
      <c r="AV27" s="15">
        <f t="shared" si="16"/>
        <v>-4.899999999999636</v>
      </c>
      <c r="AW27" s="4">
        <f t="shared" si="17"/>
        <v>-4.899999999999636</v>
      </c>
    </row>
    <row r="28" spans="1:49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5">
        <f t="shared" si="0"/>
        <v>72.0283452426839</v>
      </c>
      <c r="G28" s="46">
        <f>112+1760</f>
        <v>1872</v>
      </c>
      <c r="H28" s="46">
        <f>199.9+2413.4</f>
        <v>2613.3</v>
      </c>
      <c r="I28" s="15">
        <f>H28/G28*100</f>
        <v>139.59935897435898</v>
      </c>
      <c r="J28" s="46">
        <f>76.2+1014.6</f>
        <v>1090.8</v>
      </c>
      <c r="K28" s="46">
        <f>1260.2</f>
        <v>1260.2</v>
      </c>
      <c r="L28" s="15">
        <f>K28/J28*100</f>
        <v>115.52988632196555</v>
      </c>
      <c r="M28" s="3">
        <f t="shared" si="8"/>
        <v>6335.500000000001</v>
      </c>
      <c r="N28" s="3">
        <f t="shared" si="9"/>
        <v>6302.8</v>
      </c>
      <c r="O28" s="15">
        <f t="shared" si="2"/>
        <v>99.48386078446846</v>
      </c>
      <c r="P28" s="46">
        <f>3.1+109.3</f>
        <v>112.39999999999999</v>
      </c>
      <c r="Q28" s="46">
        <f>79.4+3.2</f>
        <v>82.60000000000001</v>
      </c>
      <c r="R28" s="15">
        <f>Q28/P28*100</f>
        <v>73.48754448398577</v>
      </c>
      <c r="S28" s="46">
        <v>0</v>
      </c>
      <c r="T28" s="46">
        <v>16.8</v>
      </c>
      <c r="U28" s="15"/>
      <c r="V28" s="46">
        <v>0</v>
      </c>
      <c r="W28" s="46">
        <v>102.1</v>
      </c>
      <c r="X28" s="15"/>
      <c r="Y28" s="3">
        <f t="shared" si="21"/>
        <v>112.39999999999999</v>
      </c>
      <c r="Z28" s="3">
        <f t="shared" si="21"/>
        <v>201.5</v>
      </c>
      <c r="AA28" s="15">
        <f t="shared" si="5"/>
        <v>179.27046263345196</v>
      </c>
      <c r="AB28" s="46">
        <v>0</v>
      </c>
      <c r="AC28" s="46">
        <v>0</v>
      </c>
      <c r="AD28" s="15">
        <v>0</v>
      </c>
      <c r="AE28" s="46">
        <v>0</v>
      </c>
      <c r="AF28" s="46">
        <v>0</v>
      </c>
      <c r="AG28" s="30"/>
      <c r="AH28" s="46"/>
      <c r="AI28" s="46"/>
      <c r="AJ28" s="3">
        <f t="shared" si="12"/>
        <v>0</v>
      </c>
      <c r="AK28" s="3">
        <f t="shared" si="13"/>
        <v>0</v>
      </c>
      <c r="AL28" s="15" t="e">
        <f t="shared" si="20"/>
        <v>#DIV/0!</v>
      </c>
      <c r="AM28" s="46">
        <f>32.8+969.9</f>
        <v>1002.6999999999999</v>
      </c>
      <c r="AN28" s="46">
        <v>0</v>
      </c>
      <c r="AO28" s="46">
        <f>90.8+1832.7</f>
        <v>1923.5</v>
      </c>
      <c r="AP28" s="46">
        <f>32.8+2540</f>
        <v>2572.8</v>
      </c>
      <c r="AQ28" s="46">
        <f>92.1+2013.2</f>
        <v>2105.3</v>
      </c>
      <c r="AR28" s="46">
        <f>188.8+2668.8</f>
        <v>2857.6000000000004</v>
      </c>
      <c r="AS28" s="3">
        <f t="shared" si="14"/>
        <v>11479.400000000001</v>
      </c>
      <c r="AT28" s="3">
        <f t="shared" si="15"/>
        <v>11934.7</v>
      </c>
      <c r="AU28" s="15">
        <f>AT28/AS28*100</f>
        <v>103.96623516908548</v>
      </c>
      <c r="AV28" s="15">
        <f t="shared" si="16"/>
        <v>-455.2999999999993</v>
      </c>
      <c r="AW28" s="4">
        <f t="shared" si="17"/>
        <v>-404.1999999999989</v>
      </c>
    </row>
    <row r="29" spans="1:49" ht="24" customHeight="1">
      <c r="A29" s="6">
        <v>22</v>
      </c>
      <c r="B29" s="1" t="s">
        <v>65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"/>
      <c r="N29" s="3"/>
      <c r="O29" s="30" t="e">
        <f t="shared" si="2"/>
        <v>#DIV/0!</v>
      </c>
      <c r="P29" s="37"/>
      <c r="Q29" s="37"/>
      <c r="R29" s="37"/>
      <c r="S29" s="37"/>
      <c r="T29" s="37"/>
      <c r="U29" s="37"/>
      <c r="V29" s="37"/>
      <c r="W29" s="37"/>
      <c r="X29" s="37"/>
      <c r="Y29" s="3"/>
      <c r="Z29" s="3"/>
      <c r="AA29" s="30" t="e">
        <f t="shared" si="5"/>
        <v>#DIV/0!</v>
      </c>
      <c r="AB29" s="37"/>
      <c r="AC29" s="37"/>
      <c r="AD29" s="37"/>
      <c r="AE29" s="48"/>
      <c r="AF29" s="48"/>
      <c r="AG29" s="113"/>
      <c r="AH29" s="48"/>
      <c r="AI29" s="48"/>
      <c r="AJ29" s="3"/>
      <c r="AK29" s="3"/>
      <c r="AL29" s="30" t="e">
        <f t="shared" si="20"/>
        <v>#DIV/0!</v>
      </c>
      <c r="AM29" s="48"/>
      <c r="AN29" s="48"/>
      <c r="AO29" s="48"/>
      <c r="AP29" s="48"/>
      <c r="AQ29" s="48"/>
      <c r="AR29" s="48"/>
      <c r="AS29" s="3">
        <f t="shared" si="14"/>
        <v>0</v>
      </c>
      <c r="AT29" s="3">
        <f t="shared" si="15"/>
        <v>0</v>
      </c>
      <c r="AU29" s="37"/>
      <c r="AV29" s="15"/>
      <c r="AW29" s="4"/>
    </row>
    <row r="30" spans="1:49" ht="24" customHeight="1">
      <c r="A30" s="6">
        <v>23</v>
      </c>
      <c r="B30" s="16" t="s">
        <v>66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"/>
      <c r="N30" s="3"/>
      <c r="O30" s="30" t="e">
        <f t="shared" si="2"/>
        <v>#DIV/0!</v>
      </c>
      <c r="P30" s="37"/>
      <c r="Q30" s="37"/>
      <c r="R30" s="37"/>
      <c r="S30" s="37"/>
      <c r="T30" s="37"/>
      <c r="U30" s="37"/>
      <c r="V30" s="37"/>
      <c r="W30" s="37"/>
      <c r="X30" s="37"/>
      <c r="Y30" s="3"/>
      <c r="Z30" s="3"/>
      <c r="AA30" s="30" t="e">
        <f t="shared" si="5"/>
        <v>#DIV/0!</v>
      </c>
      <c r="AB30" s="37"/>
      <c r="AC30" s="37"/>
      <c r="AD30" s="37"/>
      <c r="AE30" s="48"/>
      <c r="AF30" s="48"/>
      <c r="AG30" s="113"/>
      <c r="AH30" s="48"/>
      <c r="AI30" s="48"/>
      <c r="AJ30" s="3"/>
      <c r="AK30" s="3"/>
      <c r="AL30" s="30" t="e">
        <f t="shared" si="20"/>
        <v>#DIV/0!</v>
      </c>
      <c r="AM30" s="48"/>
      <c r="AN30" s="48"/>
      <c r="AO30" s="48"/>
      <c r="AP30" s="48"/>
      <c r="AQ30" s="48"/>
      <c r="AR30" s="48"/>
      <c r="AS30" s="3">
        <f t="shared" si="14"/>
        <v>0</v>
      </c>
      <c r="AT30" s="3">
        <f t="shared" si="15"/>
        <v>0</v>
      </c>
      <c r="AU30" s="37"/>
      <c r="AV30" s="15"/>
      <c r="AW30" s="4"/>
    </row>
    <row r="31" spans="1:49" ht="24" customHeight="1">
      <c r="A31" s="6">
        <v>24</v>
      </c>
      <c r="B31" s="16" t="s">
        <v>67</v>
      </c>
      <c r="C31" s="49"/>
      <c r="D31" s="37"/>
      <c r="E31" s="37"/>
      <c r="F31" s="37"/>
      <c r="G31" s="48"/>
      <c r="H31" s="48"/>
      <c r="I31" s="48"/>
      <c r="J31" s="48"/>
      <c r="K31" s="48"/>
      <c r="L31" s="48"/>
      <c r="M31" s="3"/>
      <c r="N31" s="3"/>
      <c r="O31" s="30" t="e">
        <f t="shared" si="2"/>
        <v>#DIV/0!</v>
      </c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30" t="e">
        <f t="shared" si="5"/>
        <v>#DIV/0!</v>
      </c>
      <c r="AB31" s="48"/>
      <c r="AC31" s="48"/>
      <c r="AD31" s="48"/>
      <c r="AE31" s="48"/>
      <c r="AF31" s="48"/>
      <c r="AG31" s="113"/>
      <c r="AH31" s="48"/>
      <c r="AI31" s="48"/>
      <c r="AJ31" s="3"/>
      <c r="AK31" s="3"/>
      <c r="AL31" s="30" t="e">
        <f t="shared" si="20"/>
        <v>#DIV/0!</v>
      </c>
      <c r="AM31" s="48"/>
      <c r="AN31" s="48"/>
      <c r="AO31" s="48"/>
      <c r="AP31" s="48"/>
      <c r="AQ31" s="48"/>
      <c r="AR31" s="48"/>
      <c r="AS31" s="3">
        <f t="shared" si="14"/>
        <v>0</v>
      </c>
      <c r="AT31" s="3">
        <f t="shared" si="15"/>
        <v>0</v>
      </c>
      <c r="AU31" s="48"/>
      <c r="AV31" s="15"/>
      <c r="AW31" s="4"/>
    </row>
    <row r="32" spans="1:49" ht="24" customHeight="1">
      <c r="A32" s="6">
        <v>25</v>
      </c>
      <c r="B32" s="16" t="s">
        <v>87</v>
      </c>
      <c r="C32" s="2"/>
      <c r="D32" s="71"/>
      <c r="E32" s="71"/>
      <c r="F32" s="38"/>
      <c r="G32" s="23"/>
      <c r="H32" s="23"/>
      <c r="I32" s="38"/>
      <c r="J32" s="23"/>
      <c r="K32" s="23"/>
      <c r="L32" s="38"/>
      <c r="M32" s="3"/>
      <c r="N32" s="3"/>
      <c r="O32" s="30" t="e">
        <f t="shared" si="2"/>
        <v>#DIV/0!</v>
      </c>
      <c r="P32" s="23"/>
      <c r="Q32" s="23"/>
      <c r="R32" s="38"/>
      <c r="S32" s="23"/>
      <c r="T32" s="23"/>
      <c r="U32" s="38"/>
      <c r="V32" s="23"/>
      <c r="W32" s="23"/>
      <c r="X32" s="38"/>
      <c r="Y32" s="3"/>
      <c r="Z32" s="3"/>
      <c r="AA32" s="30" t="e">
        <f t="shared" si="5"/>
        <v>#DIV/0!</v>
      </c>
      <c r="AB32" s="23"/>
      <c r="AC32" s="23"/>
      <c r="AD32" s="38"/>
      <c r="AE32" s="23"/>
      <c r="AF32" s="23"/>
      <c r="AG32" s="30"/>
      <c r="AH32" s="23"/>
      <c r="AI32" s="23"/>
      <c r="AJ32" s="3"/>
      <c r="AK32" s="3"/>
      <c r="AL32" s="30" t="e">
        <f t="shared" si="20"/>
        <v>#DIV/0!</v>
      </c>
      <c r="AM32" s="23"/>
      <c r="AN32" s="23"/>
      <c r="AO32" s="23"/>
      <c r="AP32" s="23"/>
      <c r="AQ32" s="23"/>
      <c r="AR32" s="23"/>
      <c r="AS32" s="3">
        <f t="shared" si="14"/>
        <v>0</v>
      </c>
      <c r="AT32" s="3">
        <f t="shared" si="15"/>
        <v>0</v>
      </c>
      <c r="AU32" s="38"/>
      <c r="AV32" s="15"/>
      <c r="AW32" s="4"/>
    </row>
    <row r="33" spans="1:49" ht="24" customHeight="1">
      <c r="A33" s="6"/>
      <c r="B33" s="16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5">
        <f aca="true" t="shared" si="22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5">
        <f aca="true" t="shared" si="23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5">
        <f aca="true" t="shared" si="24" ref="L33:L43">K33/J33*100</f>
        <v>112.46063794317047</v>
      </c>
      <c r="M33" s="3">
        <f t="shared" si="8"/>
        <v>23560.899999999998</v>
      </c>
      <c r="N33" s="3">
        <f t="shared" si="9"/>
        <v>22516.699999999997</v>
      </c>
      <c r="O33" s="15">
        <f t="shared" si="2"/>
        <v>95.5680810155809</v>
      </c>
      <c r="P33" s="3">
        <f>98.7+346.6</f>
        <v>445.3</v>
      </c>
      <c r="Q33" s="3">
        <f>251.7+492.1</f>
        <v>743.8</v>
      </c>
      <c r="R33" s="15">
        <f aca="true" t="shared" si="25" ref="R33:R42">Q33/P33*100</f>
        <v>167.03346058836738</v>
      </c>
      <c r="S33" s="3">
        <v>-175.2</v>
      </c>
      <c r="T33" s="3">
        <f>-0.4+244.8+196.5</f>
        <v>440.9</v>
      </c>
      <c r="U33" s="15">
        <f>T33/S33*100</f>
        <v>-251.6552511415525</v>
      </c>
      <c r="V33" s="3">
        <v>0</v>
      </c>
      <c r="W33" s="3">
        <f>19+97+1.7</f>
        <v>117.7</v>
      </c>
      <c r="X33" s="30" t="e">
        <f>W33/V33*100</f>
        <v>#DIV/0!</v>
      </c>
      <c r="Y33" s="3">
        <f aca="true" t="shared" si="26" ref="Y33:Y41">P33+S33+V33</f>
        <v>270.1</v>
      </c>
      <c r="Z33" s="3">
        <f aca="true" t="shared" si="27" ref="Z33:Z41">Q33+T33+W33</f>
        <v>1302.3999999999999</v>
      </c>
      <c r="AA33" s="15">
        <f t="shared" si="5"/>
        <v>482.1917808219177</v>
      </c>
      <c r="AB33" s="3">
        <v>0</v>
      </c>
      <c r="AC33" s="3">
        <v>0</v>
      </c>
      <c r="AD33" s="35">
        <v>0</v>
      </c>
      <c r="AE33" s="3">
        <v>0</v>
      </c>
      <c r="AF33" s="3">
        <v>0</v>
      </c>
      <c r="AG33" s="30" t="e">
        <f>AF33/AE33*100</f>
        <v>#DIV/0!</v>
      </c>
      <c r="AH33" s="3">
        <v>0</v>
      </c>
      <c r="AI33" s="3">
        <f>43.9+2113.7+10.3</f>
        <v>2167.9</v>
      </c>
      <c r="AJ33" s="3">
        <f t="shared" si="12"/>
        <v>0</v>
      </c>
      <c r="AK33" s="3">
        <f t="shared" si="13"/>
        <v>2167.9</v>
      </c>
      <c r="AL33" s="15" t="e">
        <f t="shared" si="20"/>
        <v>#DIV/0!</v>
      </c>
      <c r="AM33" s="3">
        <f>461.4+1995.8</f>
        <v>2457.2</v>
      </c>
      <c r="AN33" s="3">
        <f>305.7+4668</f>
        <v>4973.7</v>
      </c>
      <c r="AO33" s="3">
        <f>1382.8+4098.5</f>
        <v>5481.3</v>
      </c>
      <c r="AP33" s="3">
        <f>1342.8+494.7+(-1.8)</f>
        <v>1835.7</v>
      </c>
      <c r="AQ33" s="3">
        <f>1738.7+4520.6</f>
        <v>6259.3</v>
      </c>
      <c r="AR33" s="3">
        <f>2876.9+4340.7+(-18.2)</f>
        <v>7199.400000000001</v>
      </c>
      <c r="AS33" s="3">
        <f t="shared" si="14"/>
        <v>38028.799999999996</v>
      </c>
      <c r="AT33" s="3">
        <f t="shared" si="15"/>
        <v>39995.8</v>
      </c>
      <c r="AU33" s="15">
        <f>AT33/AS33*100</f>
        <v>105.17239565802763</v>
      </c>
      <c r="AV33" s="15">
        <f t="shared" si="16"/>
        <v>-1967.0000000000073</v>
      </c>
      <c r="AW33" s="4">
        <f t="shared" si="17"/>
        <v>-2316.9000000000087</v>
      </c>
    </row>
    <row r="34" spans="1:49" ht="24.75" customHeight="1">
      <c r="A34" s="20"/>
      <c r="B34" s="16" t="s">
        <v>69</v>
      </c>
      <c r="C34" s="2">
        <v>-63.9</v>
      </c>
      <c r="D34" s="3">
        <v>156.7</v>
      </c>
      <c r="E34" s="3">
        <v>0</v>
      </c>
      <c r="F34" s="15">
        <f t="shared" si="22"/>
        <v>0</v>
      </c>
      <c r="G34" s="3">
        <v>155.6</v>
      </c>
      <c r="H34" s="3">
        <v>100.7</v>
      </c>
      <c r="I34" s="15">
        <f t="shared" si="23"/>
        <v>64.71722365038562</v>
      </c>
      <c r="J34" s="3">
        <v>86.6</v>
      </c>
      <c r="K34" s="3">
        <v>219.1</v>
      </c>
      <c r="L34" s="15">
        <f t="shared" si="24"/>
        <v>253.00230946882215</v>
      </c>
      <c r="M34" s="3">
        <f t="shared" si="8"/>
        <v>398.9</v>
      </c>
      <c r="N34" s="3">
        <f t="shared" si="9"/>
        <v>319.8</v>
      </c>
      <c r="O34" s="15">
        <f t="shared" si="2"/>
        <v>80.17046878917023</v>
      </c>
      <c r="P34" s="3">
        <v>12.1</v>
      </c>
      <c r="Q34" s="3">
        <v>39</v>
      </c>
      <c r="R34" s="15">
        <f t="shared" si="25"/>
        <v>322.31404958677683</v>
      </c>
      <c r="S34" s="3">
        <v>0</v>
      </c>
      <c r="T34" s="3">
        <v>0</v>
      </c>
      <c r="U34" s="15"/>
      <c r="V34" s="3">
        <v>0</v>
      </c>
      <c r="W34" s="3">
        <v>0</v>
      </c>
      <c r="X34" s="15"/>
      <c r="Y34" s="3">
        <f t="shared" si="26"/>
        <v>12.1</v>
      </c>
      <c r="Z34" s="3">
        <f t="shared" si="27"/>
        <v>39</v>
      </c>
      <c r="AA34" s="15">
        <f t="shared" si="5"/>
        <v>322.31404958677683</v>
      </c>
      <c r="AB34" s="3">
        <v>0</v>
      </c>
      <c r="AC34" s="3">
        <v>0</v>
      </c>
      <c r="AD34" s="15">
        <v>0</v>
      </c>
      <c r="AE34" s="3"/>
      <c r="AF34" s="3"/>
      <c r="AG34" s="30"/>
      <c r="AH34" s="3"/>
      <c r="AI34" s="3"/>
      <c r="AJ34" s="3">
        <f t="shared" si="12"/>
        <v>0</v>
      </c>
      <c r="AK34" s="3">
        <f t="shared" si="13"/>
        <v>0</v>
      </c>
      <c r="AL34" s="15" t="e">
        <f t="shared" si="20"/>
        <v>#DIV/0!</v>
      </c>
      <c r="AM34" s="3">
        <v>50.4</v>
      </c>
      <c r="AN34" s="3">
        <v>0</v>
      </c>
      <c r="AO34" s="3">
        <v>170.8</v>
      </c>
      <c r="AP34" s="3">
        <v>20.9</v>
      </c>
      <c r="AQ34" s="3">
        <v>220</v>
      </c>
      <c r="AR34" s="3">
        <v>544.8</v>
      </c>
      <c r="AS34" s="3">
        <f t="shared" si="14"/>
        <v>852.2</v>
      </c>
      <c r="AT34" s="3">
        <f t="shared" si="15"/>
        <v>924.5</v>
      </c>
      <c r="AU34" s="15">
        <f aca="true" t="shared" si="28" ref="AU34:AU42">AT34/AS34*100</f>
        <v>108.48392396151138</v>
      </c>
      <c r="AV34" s="15">
        <f t="shared" si="16"/>
        <v>-72.29999999999995</v>
      </c>
      <c r="AW34" s="4">
        <f t="shared" si="17"/>
        <v>-136.19999999999993</v>
      </c>
    </row>
    <row r="35" spans="1:49" ht="27" customHeight="1">
      <c r="A35" s="6">
        <v>26</v>
      </c>
      <c r="B35" s="16" t="s">
        <v>94</v>
      </c>
      <c r="C35" s="2">
        <v>-143.3</v>
      </c>
      <c r="D35" s="3">
        <f>143.4+730</f>
        <v>873.4</v>
      </c>
      <c r="E35" s="3">
        <v>17.4</v>
      </c>
      <c r="F35" s="15">
        <f t="shared" si="22"/>
        <v>1.992214334783604</v>
      </c>
      <c r="G35" s="3">
        <f>195.2+544.8</f>
        <v>740</v>
      </c>
      <c r="H35" s="3">
        <f>163+686.3</f>
        <v>849.3</v>
      </c>
      <c r="I35" s="15">
        <f t="shared" si="23"/>
        <v>114.77027027027027</v>
      </c>
      <c r="J35" s="3">
        <v>477.8</v>
      </c>
      <c r="K35" s="3">
        <v>303.8</v>
      </c>
      <c r="L35" s="15">
        <f t="shared" si="24"/>
        <v>63.58308915864378</v>
      </c>
      <c r="M35" s="3">
        <f t="shared" si="8"/>
        <v>2091.2000000000003</v>
      </c>
      <c r="N35" s="3">
        <f t="shared" si="9"/>
        <v>1170.5</v>
      </c>
      <c r="O35" s="15">
        <f t="shared" si="2"/>
        <v>55.97264728385615</v>
      </c>
      <c r="P35" s="3">
        <v>33.2</v>
      </c>
      <c r="Q35" s="3">
        <v>381.2</v>
      </c>
      <c r="R35" s="15">
        <f t="shared" si="25"/>
        <v>1148.1927710843372</v>
      </c>
      <c r="S35" s="3">
        <v>0</v>
      </c>
      <c r="T35" s="3">
        <v>288.3</v>
      </c>
      <c r="U35" s="15"/>
      <c r="V35" s="3">
        <v>0</v>
      </c>
      <c r="W35" s="3">
        <v>141.1</v>
      </c>
      <c r="X35" s="15"/>
      <c r="Y35" s="3">
        <f t="shared" si="26"/>
        <v>33.2</v>
      </c>
      <c r="Z35" s="3">
        <f t="shared" si="27"/>
        <v>810.6</v>
      </c>
      <c r="AA35" s="15">
        <f t="shared" si="5"/>
        <v>2441.5662650602408</v>
      </c>
      <c r="AB35" s="3">
        <v>0</v>
      </c>
      <c r="AC35" s="3">
        <v>0</v>
      </c>
      <c r="AD35" s="15">
        <v>0</v>
      </c>
      <c r="AE35" s="3">
        <v>0</v>
      </c>
      <c r="AF35" s="3">
        <v>0</v>
      </c>
      <c r="AG35" s="30" t="e">
        <f>AF35/AE35*100</f>
        <v>#DIV/0!</v>
      </c>
      <c r="AH35" s="3">
        <v>0</v>
      </c>
      <c r="AI35" s="3">
        <v>0</v>
      </c>
      <c r="AJ35" s="3">
        <f t="shared" si="12"/>
        <v>0</v>
      </c>
      <c r="AK35" s="3">
        <f t="shared" si="13"/>
        <v>0</v>
      </c>
      <c r="AL35" s="15" t="e">
        <f t="shared" si="20"/>
        <v>#DIV/0!</v>
      </c>
      <c r="AM35" s="3">
        <v>251.2</v>
      </c>
      <c r="AN35" s="3">
        <v>24.3</v>
      </c>
      <c r="AO35" s="3">
        <v>776.7</v>
      </c>
      <c r="AP35" s="3">
        <v>667.1</v>
      </c>
      <c r="AQ35" s="3">
        <v>841.5</v>
      </c>
      <c r="AR35" s="3">
        <v>1222.9</v>
      </c>
      <c r="AS35" s="3">
        <f t="shared" si="14"/>
        <v>3993.8</v>
      </c>
      <c r="AT35" s="3">
        <f t="shared" si="15"/>
        <v>3895.4</v>
      </c>
      <c r="AU35" s="15">
        <f t="shared" si="28"/>
        <v>97.53618108067505</v>
      </c>
      <c r="AV35" s="15">
        <f t="shared" si="16"/>
        <v>98.40000000000009</v>
      </c>
      <c r="AW35" s="4">
        <f t="shared" si="17"/>
        <v>-44.90000000000009</v>
      </c>
    </row>
    <row r="36" spans="1:49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5">
        <f t="shared" si="22"/>
        <v>30.482857370137616</v>
      </c>
      <c r="G36" s="3">
        <v>1042.7</v>
      </c>
      <c r="H36" s="3">
        <v>581.9</v>
      </c>
      <c r="I36" s="15">
        <f t="shared" si="23"/>
        <v>55.80703941689843</v>
      </c>
      <c r="J36" s="3">
        <v>506.8</v>
      </c>
      <c r="K36" s="3">
        <v>492.3</v>
      </c>
      <c r="L36" s="15">
        <f t="shared" si="24"/>
        <v>97.13891081294396</v>
      </c>
      <c r="M36" s="3">
        <f t="shared" si="8"/>
        <v>2806.6000000000004</v>
      </c>
      <c r="N36" s="3">
        <f t="shared" si="9"/>
        <v>1457.3999999999999</v>
      </c>
      <c r="O36" s="15">
        <f t="shared" si="2"/>
        <v>51.92759923038551</v>
      </c>
      <c r="P36" s="3">
        <v>51.2</v>
      </c>
      <c r="Q36" s="3">
        <v>498</v>
      </c>
      <c r="R36" s="15">
        <f t="shared" si="25"/>
        <v>972.65625</v>
      </c>
      <c r="S36" s="3">
        <v>0</v>
      </c>
      <c r="T36" s="3">
        <v>411.6</v>
      </c>
      <c r="U36" s="15"/>
      <c r="V36" s="3">
        <v>0</v>
      </c>
      <c r="W36" s="3">
        <v>260.6</v>
      </c>
      <c r="X36" s="15"/>
      <c r="Y36" s="3">
        <f t="shared" si="26"/>
        <v>51.2</v>
      </c>
      <c r="Z36" s="3">
        <f t="shared" si="27"/>
        <v>1170.2</v>
      </c>
      <c r="AA36" s="15">
        <f t="shared" si="5"/>
        <v>2285.546875</v>
      </c>
      <c r="AB36" s="3">
        <v>0</v>
      </c>
      <c r="AC36" s="3">
        <v>0.7</v>
      </c>
      <c r="AD36" s="15"/>
      <c r="AE36" s="3">
        <v>0</v>
      </c>
      <c r="AF36" s="3">
        <v>0</v>
      </c>
      <c r="AG36" s="30">
        <v>0</v>
      </c>
      <c r="AH36" s="3">
        <v>0</v>
      </c>
      <c r="AI36" s="3">
        <v>0</v>
      </c>
      <c r="AJ36" s="3">
        <f t="shared" si="12"/>
        <v>0</v>
      </c>
      <c r="AK36" s="3">
        <f t="shared" si="13"/>
        <v>0.7</v>
      </c>
      <c r="AL36" s="15" t="e">
        <f t="shared" si="20"/>
        <v>#DIV/0!</v>
      </c>
      <c r="AM36" s="3">
        <v>554.5</v>
      </c>
      <c r="AN36" s="3">
        <v>646.4</v>
      </c>
      <c r="AO36" s="3">
        <v>1732.5</v>
      </c>
      <c r="AP36" s="3">
        <v>1779.4</v>
      </c>
      <c r="AQ36" s="3">
        <v>1940.7</v>
      </c>
      <c r="AR36" s="3">
        <v>2176.9</v>
      </c>
      <c r="AS36" s="3">
        <f t="shared" si="14"/>
        <v>7085.5</v>
      </c>
      <c r="AT36" s="3">
        <f t="shared" si="15"/>
        <v>7231</v>
      </c>
      <c r="AU36" s="15">
        <f t="shared" si="28"/>
        <v>102.05348952085245</v>
      </c>
      <c r="AV36" s="15">
        <f t="shared" si="16"/>
        <v>-145.5</v>
      </c>
      <c r="AW36" s="4">
        <f t="shared" si="17"/>
        <v>-375.10000000000036</v>
      </c>
    </row>
    <row r="37" spans="1:49" ht="24" customHeight="1">
      <c r="A37" s="6">
        <v>28</v>
      </c>
      <c r="B37" s="16" t="s">
        <v>71</v>
      </c>
      <c r="C37" s="2">
        <v>-484.4</v>
      </c>
      <c r="D37" s="3">
        <v>3699.6</v>
      </c>
      <c r="E37" s="3">
        <v>0</v>
      </c>
      <c r="F37" s="15">
        <f t="shared" si="22"/>
        <v>0</v>
      </c>
      <c r="G37" s="3">
        <v>3050.5</v>
      </c>
      <c r="H37" s="3">
        <v>3236.4</v>
      </c>
      <c r="I37" s="15">
        <f t="shared" si="23"/>
        <v>106.0940829372234</v>
      </c>
      <c r="J37" s="3">
        <v>1762.4</v>
      </c>
      <c r="K37" s="3">
        <v>2601.1</v>
      </c>
      <c r="L37" s="15">
        <f t="shared" si="24"/>
        <v>147.58851566046297</v>
      </c>
      <c r="M37" s="3">
        <f t="shared" si="8"/>
        <v>8512.5</v>
      </c>
      <c r="N37" s="3">
        <f t="shared" si="9"/>
        <v>5837.5</v>
      </c>
      <c r="O37" s="15">
        <f t="shared" si="2"/>
        <v>68.57562408223201</v>
      </c>
      <c r="P37" s="3">
        <v>137.6</v>
      </c>
      <c r="Q37" s="3">
        <v>846.8</v>
      </c>
      <c r="R37" s="15">
        <f t="shared" si="25"/>
        <v>615.406976744186</v>
      </c>
      <c r="S37" s="3">
        <v>0</v>
      </c>
      <c r="T37" s="3">
        <v>233.3</v>
      </c>
      <c r="U37" s="15"/>
      <c r="V37" s="3">
        <v>0</v>
      </c>
      <c r="W37" s="3">
        <v>1274</v>
      </c>
      <c r="X37" s="15"/>
      <c r="Y37" s="3">
        <f t="shared" si="26"/>
        <v>137.6</v>
      </c>
      <c r="Z37" s="3">
        <f t="shared" si="27"/>
        <v>2354.1</v>
      </c>
      <c r="AA37" s="15">
        <f t="shared" si="5"/>
        <v>1710.828488372093</v>
      </c>
      <c r="AB37" s="3">
        <v>0</v>
      </c>
      <c r="AC37" s="3">
        <v>0</v>
      </c>
      <c r="AD37" s="15">
        <v>0</v>
      </c>
      <c r="AE37" s="3">
        <v>0</v>
      </c>
      <c r="AF37" s="3">
        <v>0</v>
      </c>
      <c r="AG37" s="30" t="e">
        <f aca="true" t="shared" si="29" ref="AG37:AG42">AF37/AE37*100</f>
        <v>#DIV/0!</v>
      </c>
      <c r="AH37" s="3">
        <v>0</v>
      </c>
      <c r="AI37" s="3">
        <v>0</v>
      </c>
      <c r="AJ37" s="3">
        <f t="shared" si="12"/>
        <v>0</v>
      </c>
      <c r="AK37" s="3">
        <f t="shared" si="13"/>
        <v>0</v>
      </c>
      <c r="AL37" s="15" t="e">
        <f t="shared" si="20"/>
        <v>#DIV/0!</v>
      </c>
      <c r="AM37" s="3">
        <v>956.4</v>
      </c>
      <c r="AN37" s="3">
        <v>862.7</v>
      </c>
      <c r="AO37" s="3">
        <v>2142.6</v>
      </c>
      <c r="AP37" s="3">
        <v>1822.8</v>
      </c>
      <c r="AQ37" s="3">
        <v>2294.9</v>
      </c>
      <c r="AR37" s="3">
        <v>3808</v>
      </c>
      <c r="AS37" s="3">
        <f t="shared" si="14"/>
        <v>14044</v>
      </c>
      <c r="AT37" s="3">
        <f t="shared" si="15"/>
        <v>14685.1</v>
      </c>
      <c r="AU37" s="15">
        <f t="shared" si="28"/>
        <v>104.56493876388492</v>
      </c>
      <c r="AV37" s="15">
        <f t="shared" si="16"/>
        <v>-641.1000000000004</v>
      </c>
      <c r="AW37" s="4">
        <f t="shared" si="17"/>
        <v>-1125.5</v>
      </c>
    </row>
    <row r="38" spans="1:49" ht="24" customHeight="1">
      <c r="A38" s="6">
        <v>29</v>
      </c>
      <c r="B38" s="16" t="s">
        <v>72</v>
      </c>
      <c r="C38" s="2">
        <v>-1665</v>
      </c>
      <c r="D38" s="3">
        <v>2068.7</v>
      </c>
      <c r="E38" s="3">
        <v>4.6</v>
      </c>
      <c r="F38" s="15">
        <f t="shared" si="22"/>
        <v>0.2223618697732876</v>
      </c>
      <c r="G38" s="3">
        <v>3253.4</v>
      </c>
      <c r="H38" s="3">
        <v>4183</v>
      </c>
      <c r="I38" s="15">
        <f t="shared" si="23"/>
        <v>128.5731849757177</v>
      </c>
      <c r="J38" s="3">
        <v>2081.1</v>
      </c>
      <c r="K38" s="3">
        <v>852.9</v>
      </c>
      <c r="L38" s="15">
        <f t="shared" si="24"/>
        <v>40.98313391956177</v>
      </c>
      <c r="M38" s="3">
        <f t="shared" si="8"/>
        <v>7403.200000000001</v>
      </c>
      <c r="N38" s="3">
        <f t="shared" si="9"/>
        <v>5040.5</v>
      </c>
      <c r="O38" s="15">
        <f t="shared" si="2"/>
        <v>68.08542251999134</v>
      </c>
      <c r="P38" s="3">
        <v>333.6</v>
      </c>
      <c r="Q38" s="3">
        <v>1031.8</v>
      </c>
      <c r="R38" s="15">
        <f t="shared" si="25"/>
        <v>309.29256594724217</v>
      </c>
      <c r="S38" s="3">
        <v>0</v>
      </c>
      <c r="T38" s="3">
        <v>0</v>
      </c>
      <c r="U38" s="15"/>
      <c r="V38" s="3">
        <v>0</v>
      </c>
      <c r="W38" s="3">
        <v>0</v>
      </c>
      <c r="X38" s="15"/>
      <c r="Y38" s="3">
        <f t="shared" si="26"/>
        <v>333.6</v>
      </c>
      <c r="Z38" s="3">
        <f t="shared" si="27"/>
        <v>1031.8</v>
      </c>
      <c r="AA38" s="15">
        <f t="shared" si="5"/>
        <v>309.29256594724217</v>
      </c>
      <c r="AB38" s="3">
        <v>0</v>
      </c>
      <c r="AC38" s="3">
        <v>0</v>
      </c>
      <c r="AD38" s="15">
        <v>0</v>
      </c>
      <c r="AE38" s="3">
        <v>0</v>
      </c>
      <c r="AF38" s="3">
        <v>0</v>
      </c>
      <c r="AG38" s="30" t="e">
        <f t="shared" si="29"/>
        <v>#DIV/0!</v>
      </c>
      <c r="AH38" s="3">
        <v>0</v>
      </c>
      <c r="AI38" s="3">
        <v>0</v>
      </c>
      <c r="AJ38" s="3">
        <f t="shared" si="12"/>
        <v>0</v>
      </c>
      <c r="AK38" s="3">
        <f t="shared" si="13"/>
        <v>0</v>
      </c>
      <c r="AL38" s="15" t="e">
        <f t="shared" si="20"/>
        <v>#DIV/0!</v>
      </c>
      <c r="AM38" s="3">
        <v>654.4</v>
      </c>
      <c r="AN38" s="3">
        <v>509.9</v>
      </c>
      <c r="AO38" s="3">
        <v>4474.5</v>
      </c>
      <c r="AP38" s="3">
        <v>4982.1</v>
      </c>
      <c r="AQ38" s="3">
        <v>5720.9</v>
      </c>
      <c r="AR38" s="3">
        <v>8429.2</v>
      </c>
      <c r="AS38" s="3">
        <f t="shared" si="14"/>
        <v>18586.6</v>
      </c>
      <c r="AT38" s="3">
        <f t="shared" si="15"/>
        <v>19993.5</v>
      </c>
      <c r="AU38" s="15">
        <f t="shared" si="28"/>
        <v>107.56943174114686</v>
      </c>
      <c r="AV38" s="15">
        <f t="shared" si="16"/>
        <v>-1406.9000000000015</v>
      </c>
      <c r="AW38" s="4">
        <f t="shared" si="17"/>
        <v>-3071.9000000000015</v>
      </c>
    </row>
    <row r="39" spans="1:49" s="45" customFormat="1" ht="26.25" customHeight="1">
      <c r="A39" s="6">
        <v>30</v>
      </c>
      <c r="B39" s="16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5">
        <f t="shared" si="22"/>
        <v>0</v>
      </c>
      <c r="G39" s="3">
        <f>5149.7+51.1</f>
        <v>5200.8</v>
      </c>
      <c r="H39" s="3">
        <f>4356.8+121.8</f>
        <v>4478.6</v>
      </c>
      <c r="I39" s="15">
        <f t="shared" si="23"/>
        <v>86.11367481925858</v>
      </c>
      <c r="J39" s="3">
        <f>3000.9+34.9</f>
        <v>3035.8</v>
      </c>
      <c r="K39" s="3">
        <f>1750.6+51.1</f>
        <v>1801.6999999999998</v>
      </c>
      <c r="L39" s="15">
        <f t="shared" si="24"/>
        <v>59.34844192634559</v>
      </c>
      <c r="M39" s="3">
        <f t="shared" si="8"/>
        <v>14335</v>
      </c>
      <c r="N39" s="3">
        <f t="shared" si="9"/>
        <v>6280.3</v>
      </c>
      <c r="O39" s="15">
        <f t="shared" si="2"/>
        <v>43.81095221485874</v>
      </c>
      <c r="P39" s="3">
        <v>0</v>
      </c>
      <c r="Q39" s="3">
        <f>1633.9+34.9</f>
        <v>1668.8000000000002</v>
      </c>
      <c r="R39" s="30" t="e">
        <f t="shared" si="25"/>
        <v>#DIV/0!</v>
      </c>
      <c r="S39" s="3">
        <v>0</v>
      </c>
      <c r="T39" s="3">
        <v>1649.7</v>
      </c>
      <c r="U39" s="30" t="e">
        <f>T39/S39*100</f>
        <v>#DIV/0!</v>
      </c>
      <c r="V39" s="3">
        <v>0</v>
      </c>
      <c r="W39" s="3">
        <v>1357.5</v>
      </c>
      <c r="X39" s="30" t="e">
        <f>W39/V39*100</f>
        <v>#DIV/0!</v>
      </c>
      <c r="Y39" s="3">
        <f t="shared" si="26"/>
        <v>0</v>
      </c>
      <c r="Z39" s="3">
        <f t="shared" si="27"/>
        <v>4676</v>
      </c>
      <c r="AA39" s="30" t="e">
        <f t="shared" si="5"/>
        <v>#DIV/0!</v>
      </c>
      <c r="AB39" s="3">
        <v>0</v>
      </c>
      <c r="AC39" s="3">
        <v>1191.6</v>
      </c>
      <c r="AD39" s="30" t="e">
        <f>AC39/AB39*100</f>
        <v>#DIV/0!</v>
      </c>
      <c r="AE39" s="3">
        <v>0</v>
      </c>
      <c r="AF39" s="3">
        <v>1749</v>
      </c>
      <c r="AG39" s="30" t="e">
        <f t="shared" si="29"/>
        <v>#DIV/0!</v>
      </c>
      <c r="AH39" s="3">
        <v>0</v>
      </c>
      <c r="AI39" s="3">
        <v>0</v>
      </c>
      <c r="AJ39" s="3">
        <f t="shared" si="12"/>
        <v>0</v>
      </c>
      <c r="AK39" s="3">
        <f t="shared" si="13"/>
        <v>2940.6</v>
      </c>
      <c r="AL39" s="30" t="e">
        <f t="shared" si="20"/>
        <v>#DIV/0!</v>
      </c>
      <c r="AM39" s="3">
        <v>1073.9</v>
      </c>
      <c r="AN39" s="3">
        <v>1375.9</v>
      </c>
      <c r="AO39" s="3">
        <f>5555.9+71.1</f>
        <v>5627</v>
      </c>
      <c r="AP39" s="3">
        <f>2294.6+17.9</f>
        <v>2312.5</v>
      </c>
      <c r="AQ39" s="3">
        <f>5837.6+65.8</f>
        <v>5903.400000000001</v>
      </c>
      <c r="AR39" s="3">
        <f>8984.6+232.2</f>
        <v>9216.800000000001</v>
      </c>
      <c r="AS39" s="3">
        <f t="shared" si="14"/>
        <v>26939.300000000003</v>
      </c>
      <c r="AT39" s="3">
        <f t="shared" si="15"/>
        <v>26802.1</v>
      </c>
      <c r="AU39" s="15">
        <f t="shared" si="28"/>
        <v>99.49070688547957</v>
      </c>
      <c r="AV39" s="15">
        <f t="shared" si="16"/>
        <v>137.20000000000437</v>
      </c>
      <c r="AW39" s="4">
        <f t="shared" si="17"/>
        <v>-349.0999999999949</v>
      </c>
    </row>
    <row r="40" spans="1:49" ht="27" customHeight="1">
      <c r="A40" s="6">
        <v>31</v>
      </c>
      <c r="B40" s="16" t="s">
        <v>73</v>
      </c>
      <c r="C40" s="2">
        <v>-82.8</v>
      </c>
      <c r="D40" s="3">
        <v>467.9</v>
      </c>
      <c r="E40" s="3">
        <v>72.3</v>
      </c>
      <c r="F40" s="15">
        <f t="shared" si="22"/>
        <v>15.452019662321009</v>
      </c>
      <c r="G40" s="3">
        <v>351.8</v>
      </c>
      <c r="H40" s="3">
        <v>123.2</v>
      </c>
      <c r="I40" s="15">
        <f t="shared" si="23"/>
        <v>35.01989766913019</v>
      </c>
      <c r="J40" s="3">
        <v>198.9</v>
      </c>
      <c r="K40" s="3">
        <v>613.7</v>
      </c>
      <c r="L40" s="15">
        <f t="shared" si="24"/>
        <v>308.54700854700855</v>
      </c>
      <c r="M40" s="3">
        <f t="shared" si="8"/>
        <v>1018.6</v>
      </c>
      <c r="N40" s="3">
        <f t="shared" si="9"/>
        <v>809.2</v>
      </c>
      <c r="O40" s="15">
        <f t="shared" si="2"/>
        <v>79.44237188297663</v>
      </c>
      <c r="P40" s="3">
        <v>24.2</v>
      </c>
      <c r="Q40" s="3">
        <v>151.3</v>
      </c>
      <c r="R40" s="15">
        <f t="shared" si="25"/>
        <v>625.206611570248</v>
      </c>
      <c r="S40" s="3">
        <v>0</v>
      </c>
      <c r="T40" s="3">
        <v>0</v>
      </c>
      <c r="U40" s="15"/>
      <c r="V40" s="3">
        <v>0</v>
      </c>
      <c r="W40" s="3">
        <v>0</v>
      </c>
      <c r="X40" s="15"/>
      <c r="Y40" s="3">
        <f t="shared" si="26"/>
        <v>24.2</v>
      </c>
      <c r="Z40" s="3">
        <f t="shared" si="27"/>
        <v>151.3</v>
      </c>
      <c r="AA40" s="15">
        <f t="shared" si="5"/>
        <v>625.206611570248</v>
      </c>
      <c r="AB40" s="3">
        <v>0</v>
      </c>
      <c r="AC40" s="3">
        <v>0</v>
      </c>
      <c r="AD40" s="15">
        <v>0</v>
      </c>
      <c r="AE40" s="3">
        <v>0</v>
      </c>
      <c r="AF40" s="3">
        <v>0</v>
      </c>
      <c r="AG40" s="30" t="e">
        <f t="shared" si="29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15" t="e">
        <f t="shared" si="20"/>
        <v>#DIV/0!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f t="shared" si="14"/>
        <v>1042.8</v>
      </c>
      <c r="AT40" s="3">
        <f t="shared" si="15"/>
        <v>960.5</v>
      </c>
      <c r="AU40" s="15">
        <f t="shared" si="28"/>
        <v>92.1077867280399</v>
      </c>
      <c r="AV40" s="15">
        <f t="shared" si="16"/>
        <v>82.29999999999995</v>
      </c>
      <c r="AW40" s="4">
        <f t="shared" si="17"/>
        <v>-0.5</v>
      </c>
    </row>
    <row r="41" spans="1:49" s="4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5">
        <f t="shared" si="22"/>
        <v>2.4612890841615833</v>
      </c>
      <c r="G41" s="3">
        <f>1740.5+84.4</f>
        <v>1824.9</v>
      </c>
      <c r="H41" s="3">
        <f>2541.7+61.8</f>
        <v>2603.5</v>
      </c>
      <c r="I41" s="15">
        <f t="shared" si="23"/>
        <v>142.665351526111</v>
      </c>
      <c r="J41" s="3">
        <f>1083.8+50.2</f>
        <v>1134</v>
      </c>
      <c r="K41" s="3">
        <f>1704.2+83.6</f>
        <v>1787.8</v>
      </c>
      <c r="L41" s="15">
        <f t="shared" si="24"/>
        <v>157.6543209876543</v>
      </c>
      <c r="M41" s="3">
        <f t="shared" si="8"/>
        <v>5303.200000000001</v>
      </c>
      <c r="N41" s="3">
        <f t="shared" si="9"/>
        <v>4449</v>
      </c>
      <c r="O41" s="15">
        <f t="shared" si="2"/>
        <v>83.89274400362045</v>
      </c>
      <c r="P41" s="3">
        <f>0</f>
        <v>0</v>
      </c>
      <c r="Q41" s="3">
        <f>1051.8+52</f>
        <v>1103.8</v>
      </c>
      <c r="R41" s="30" t="e">
        <f t="shared" si="25"/>
        <v>#DIV/0!</v>
      </c>
      <c r="S41" s="3">
        <f>0</f>
        <v>0</v>
      </c>
      <c r="T41" s="3">
        <v>37.4</v>
      </c>
      <c r="U41" s="30" t="e">
        <f>T41/S41*100</f>
        <v>#DIV/0!</v>
      </c>
      <c r="V41" s="3">
        <f>0</f>
        <v>0</v>
      </c>
      <c r="W41" s="3">
        <v>0</v>
      </c>
      <c r="X41" s="30" t="e">
        <f>W41/V41*100</f>
        <v>#DIV/0!</v>
      </c>
      <c r="Y41" s="3">
        <f t="shared" si="26"/>
        <v>0</v>
      </c>
      <c r="Z41" s="3">
        <f t="shared" si="27"/>
        <v>1141.2</v>
      </c>
      <c r="AA41" s="30" t="e">
        <f t="shared" si="5"/>
        <v>#DIV/0!</v>
      </c>
      <c r="AB41" s="3">
        <f>0</f>
        <v>0</v>
      </c>
      <c r="AC41" s="3">
        <v>0</v>
      </c>
      <c r="AD41" s="35">
        <v>0</v>
      </c>
      <c r="AE41" s="3">
        <v>0</v>
      </c>
      <c r="AF41" s="3">
        <v>0</v>
      </c>
      <c r="AG41" s="30" t="e">
        <f t="shared" si="29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30" t="e">
        <f t="shared" si="20"/>
        <v>#DIV/0!</v>
      </c>
      <c r="AM41" s="3">
        <v>603.3</v>
      </c>
      <c r="AN41" s="3">
        <v>0</v>
      </c>
      <c r="AO41" s="3">
        <f>1623.5+79.2</f>
        <v>1702.7</v>
      </c>
      <c r="AP41" s="3">
        <f>403.7+18.5</f>
        <v>422.2</v>
      </c>
      <c r="AQ41" s="3">
        <f>1811.6+98.1</f>
        <v>1909.6999999999998</v>
      </c>
      <c r="AR41" s="3">
        <f>4562.3+219.1</f>
        <v>4781.400000000001</v>
      </c>
      <c r="AS41" s="3">
        <f t="shared" si="14"/>
        <v>9518.900000000001</v>
      </c>
      <c r="AT41" s="3">
        <f t="shared" si="15"/>
        <v>10793.8</v>
      </c>
      <c r="AU41" s="15">
        <f t="shared" si="28"/>
        <v>113.39335427412828</v>
      </c>
      <c r="AV41" s="15">
        <f t="shared" si="16"/>
        <v>-1274.8999999999978</v>
      </c>
      <c r="AW41" s="4">
        <f t="shared" si="17"/>
        <v>-1003.1999999999971</v>
      </c>
    </row>
    <row r="42" spans="1:49" s="45" customFormat="1" ht="23.25" customHeight="1">
      <c r="A42" s="6">
        <v>33</v>
      </c>
      <c r="B42" s="16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5">
        <f t="shared" si="22"/>
        <v>107.39204471029997</v>
      </c>
      <c r="G42" s="3">
        <f>1238.6+804.5</f>
        <v>2043.1</v>
      </c>
      <c r="H42" s="3">
        <f>206.4+516.7</f>
        <v>723.1</v>
      </c>
      <c r="I42" s="15">
        <f t="shared" si="23"/>
        <v>35.39229602075278</v>
      </c>
      <c r="J42" s="3">
        <f>796.6+448.7</f>
        <v>1245.3</v>
      </c>
      <c r="K42" s="3">
        <f>491.3+518.3</f>
        <v>1009.5999999999999</v>
      </c>
      <c r="L42" s="15">
        <f t="shared" si="24"/>
        <v>81.07283385529591</v>
      </c>
      <c r="M42" s="3">
        <f>D42+G42+J42</f>
        <v>5578.7</v>
      </c>
      <c r="N42" s="3">
        <f>E42+H42+K42</f>
        <v>4192.3</v>
      </c>
      <c r="O42" s="15">
        <f t="shared" si="2"/>
        <v>75.14833204868519</v>
      </c>
      <c r="P42" s="3">
        <f>26.1+44.7</f>
        <v>70.80000000000001</v>
      </c>
      <c r="Q42" s="3">
        <f>795.8+200.4</f>
        <v>996.1999999999999</v>
      </c>
      <c r="R42" s="15">
        <f t="shared" si="25"/>
        <v>1407.062146892655</v>
      </c>
      <c r="S42" s="3">
        <v>0</v>
      </c>
      <c r="T42" s="3">
        <f>27+400</f>
        <v>427</v>
      </c>
      <c r="U42" s="15"/>
      <c r="V42" s="3">
        <v>0</v>
      </c>
      <c r="W42" s="3">
        <v>249</v>
      </c>
      <c r="X42" s="15"/>
      <c r="Y42" s="3">
        <f>P42+S42+V42</f>
        <v>70.80000000000001</v>
      </c>
      <c r="Z42" s="3">
        <f>Q42+T42+W42</f>
        <v>1672.1999999999998</v>
      </c>
      <c r="AA42" s="15">
        <f t="shared" si="5"/>
        <v>2361.8644067796604</v>
      </c>
      <c r="AB42" s="3">
        <v>0</v>
      </c>
      <c r="AC42" s="3">
        <v>123</v>
      </c>
      <c r="AD42" s="15"/>
      <c r="AE42" s="3">
        <v>0</v>
      </c>
      <c r="AF42" s="3">
        <v>0</v>
      </c>
      <c r="AG42" s="30" t="e">
        <f t="shared" si="29"/>
        <v>#DIV/0!</v>
      </c>
      <c r="AH42" s="3">
        <v>0</v>
      </c>
      <c r="AI42" s="3">
        <v>0</v>
      </c>
      <c r="AJ42" s="3">
        <f t="shared" si="12"/>
        <v>0</v>
      </c>
      <c r="AK42" s="3">
        <f t="shared" si="13"/>
        <v>123</v>
      </c>
      <c r="AL42" s="15" t="e">
        <f t="shared" si="20"/>
        <v>#DIV/0!</v>
      </c>
      <c r="AM42" s="3">
        <v>501.6</v>
      </c>
      <c r="AN42" s="3">
        <v>300</v>
      </c>
      <c r="AO42" s="3">
        <f>1066.1+796.4</f>
        <v>1862.5</v>
      </c>
      <c r="AP42" s="3">
        <f>461.6+226.5</f>
        <v>688.1</v>
      </c>
      <c r="AQ42" s="3">
        <f>1197+852.6</f>
        <v>2049.6</v>
      </c>
      <c r="AR42" s="3">
        <f>1638.6+1979.2</f>
        <v>3617.8</v>
      </c>
      <c r="AS42" s="3">
        <f t="shared" si="14"/>
        <v>10063.2</v>
      </c>
      <c r="AT42" s="3">
        <f t="shared" si="15"/>
        <v>10593.400000000001</v>
      </c>
      <c r="AU42" s="15">
        <f t="shared" si="28"/>
        <v>105.26870180459498</v>
      </c>
      <c r="AV42" s="15">
        <f t="shared" si="16"/>
        <v>-530.2000000000007</v>
      </c>
      <c r="AW42" s="4">
        <f t="shared" si="17"/>
        <v>-193.8000000000011</v>
      </c>
    </row>
    <row r="43" spans="1:49" s="8" customFormat="1" ht="24.75" customHeight="1">
      <c r="A43" s="40">
        <v>34</v>
      </c>
      <c r="B43" s="17" t="s">
        <v>76</v>
      </c>
      <c r="C43" s="50">
        <f>C44+C45</f>
        <v>201076.9</v>
      </c>
      <c r="D43" s="50">
        <f>D44+D45</f>
        <v>78842.2</v>
      </c>
      <c r="E43" s="50">
        <f>E44+E45</f>
        <v>10915</v>
      </c>
      <c r="F43" s="15">
        <f t="shared" si="22"/>
        <v>13.84410886555677</v>
      </c>
      <c r="G43" s="50">
        <f>G44+G45</f>
        <v>74697.7</v>
      </c>
      <c r="H43" s="50">
        <f>H44+H45</f>
        <v>60428.1</v>
      </c>
      <c r="I43" s="15">
        <f>H43/G43*100</f>
        <v>80.896868310537</v>
      </c>
      <c r="J43" s="50">
        <f>J44+J45</f>
        <v>47012.2</v>
      </c>
      <c r="K43" s="50">
        <f>K44+K45</f>
        <v>126951.9</v>
      </c>
      <c r="L43" s="15">
        <f t="shared" si="24"/>
        <v>270.04032995690477</v>
      </c>
      <c r="M43" s="50">
        <f>M44+M45</f>
        <v>200552.1</v>
      </c>
      <c r="N43" s="50">
        <f>N44+N45</f>
        <v>198295</v>
      </c>
      <c r="O43" s="15">
        <f t="shared" si="2"/>
        <v>98.87455678599227</v>
      </c>
      <c r="P43" s="50">
        <f>P44+P45</f>
        <v>14469.1</v>
      </c>
      <c r="Q43" s="50">
        <f>Q44+Q45</f>
        <v>9051.4</v>
      </c>
      <c r="R43" s="15">
        <f>Q43/P43*100</f>
        <v>62.55675888617813</v>
      </c>
      <c r="S43" s="50">
        <f>S44+S45</f>
        <v>2571.2</v>
      </c>
      <c r="T43" s="50">
        <f>T44+T45</f>
        <v>11755.8</v>
      </c>
      <c r="U43" s="15">
        <f>T43/S43*100</f>
        <v>457.2106409458619</v>
      </c>
      <c r="V43" s="50">
        <f>V44+V45</f>
        <v>1361.9</v>
      </c>
      <c r="W43" s="50">
        <f>W44+W45</f>
        <v>7164.9</v>
      </c>
      <c r="X43" s="15">
        <f>W43/V43*100</f>
        <v>526.0958954401938</v>
      </c>
      <c r="Y43" s="50">
        <f>Y44+Y45</f>
        <v>18402.2</v>
      </c>
      <c r="Z43" s="50">
        <f>Z44+Z45</f>
        <v>27972.1</v>
      </c>
      <c r="AA43" s="15">
        <f t="shared" si="5"/>
        <v>152.00410820445381</v>
      </c>
      <c r="AB43" s="50">
        <f>AB44+AB45</f>
        <v>650.3</v>
      </c>
      <c r="AC43" s="50">
        <f>AC44+AC45</f>
        <v>16215.3</v>
      </c>
      <c r="AD43" s="15">
        <f>AC43/AB43*100</f>
        <v>2493.510687375058</v>
      </c>
      <c r="AE43" s="50">
        <f>AE44+AE45</f>
        <v>533.9</v>
      </c>
      <c r="AF43" s="50">
        <f>AF44+AF45</f>
        <v>4605.9</v>
      </c>
      <c r="AG43" s="30">
        <f>AF43/AE43*100</f>
        <v>862.689642255104</v>
      </c>
      <c r="AH43" s="50">
        <f>AH44+AH45</f>
        <v>1143.7</v>
      </c>
      <c r="AI43" s="50">
        <f>AI44+AI45</f>
        <v>1608.7</v>
      </c>
      <c r="AJ43" s="50">
        <f>AJ44+AJ45</f>
        <v>2327.9</v>
      </c>
      <c r="AK43" s="50">
        <f>AK44+AK45</f>
        <v>22429.9</v>
      </c>
      <c r="AL43" s="15">
        <f t="shared" si="20"/>
        <v>963.5250655096868</v>
      </c>
      <c r="AM43" s="50">
        <f aca="true" t="shared" si="30" ref="AM43:AT43">AM44+AM45</f>
        <v>18234.4</v>
      </c>
      <c r="AN43" s="50">
        <f t="shared" si="30"/>
        <v>7588.4</v>
      </c>
      <c r="AO43" s="50">
        <f t="shared" si="30"/>
        <v>51266.9</v>
      </c>
      <c r="AP43" s="50">
        <f t="shared" si="30"/>
        <v>36683.9</v>
      </c>
      <c r="AQ43" s="50">
        <f>AQ44+AQ45</f>
        <v>61729.4</v>
      </c>
      <c r="AR43" s="50">
        <f>AR44+AR45</f>
        <v>96633.4</v>
      </c>
      <c r="AS43" s="50">
        <f t="shared" si="30"/>
        <v>352512.9</v>
      </c>
      <c r="AT43" s="50">
        <f t="shared" si="30"/>
        <v>389602.7</v>
      </c>
      <c r="AU43" s="15">
        <f>AT43/AS43*100</f>
        <v>110.52154403427505</v>
      </c>
      <c r="AV43" s="51">
        <f>AV44+AV45</f>
        <v>-37089.8</v>
      </c>
      <c r="AW43" s="51">
        <f>AW44+AW45</f>
        <v>163987.1</v>
      </c>
    </row>
    <row r="44" spans="1:49" s="8" customFormat="1" ht="24.75" customHeight="1">
      <c r="A44" s="4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5">
        <f t="shared" si="22"/>
        <v>14.20336248178222</v>
      </c>
      <c r="G44" s="3">
        <f>17073+55611</f>
        <v>72684</v>
      </c>
      <c r="H44" s="3">
        <f>16895+41539</f>
        <v>58434</v>
      </c>
      <c r="I44" s="15">
        <f t="shared" si="23"/>
        <v>80.39458477794288</v>
      </c>
      <c r="J44" s="3">
        <f>11885+33390</f>
        <v>45275</v>
      </c>
      <c r="K44" s="3">
        <f>27619+95582</f>
        <v>123201</v>
      </c>
      <c r="L44" s="15">
        <f>K44/J44*100</f>
        <v>272.11706239646605</v>
      </c>
      <c r="M44" s="3">
        <f>D44+G44+J44</f>
        <v>194807</v>
      </c>
      <c r="N44" s="3">
        <f>E44+H44+K44</f>
        <v>192550</v>
      </c>
      <c r="O44" s="15">
        <f t="shared" si="2"/>
        <v>98.84141740286539</v>
      </c>
      <c r="P44" s="3">
        <f>4150+9852</f>
        <v>14002</v>
      </c>
      <c r="Q44" s="3">
        <f>4009+4654</f>
        <v>8663</v>
      </c>
      <c r="R44" s="15">
        <f>Q44/P44*100</f>
        <v>61.869732895300665</v>
      </c>
      <c r="S44" s="3">
        <f>991+1367</f>
        <v>2358</v>
      </c>
      <c r="T44" s="3">
        <f>2174+9290</f>
        <v>11464</v>
      </c>
      <c r="U44" s="15">
        <f>T44/S44*100</f>
        <v>486.1747243426633</v>
      </c>
      <c r="V44" s="3">
        <f>425+858</f>
        <v>1283</v>
      </c>
      <c r="W44" s="3">
        <f>850+6236</f>
        <v>7086</v>
      </c>
      <c r="X44" s="15">
        <f>W44/V44*100</f>
        <v>552.2992985190958</v>
      </c>
      <c r="Y44" s="3">
        <f>P44+S44+V44</f>
        <v>17643</v>
      </c>
      <c r="Z44" s="3">
        <f>Q44+T44+W44</f>
        <v>27213</v>
      </c>
      <c r="AA44" s="15">
        <f t="shared" si="5"/>
        <v>154.242475769427</v>
      </c>
      <c r="AB44" s="3">
        <f>109+374</f>
        <v>483</v>
      </c>
      <c r="AC44" s="3">
        <f>187+15861</f>
        <v>16048</v>
      </c>
      <c r="AD44" s="15">
        <f>AC44/AB44*100</f>
        <v>3322.567287784679</v>
      </c>
      <c r="AE44" s="46">
        <f>91+296</f>
        <v>387</v>
      </c>
      <c r="AF44" s="46">
        <f>111+4348</f>
        <v>4459</v>
      </c>
      <c r="AG44" s="30">
        <f>AF44/AE44*100</f>
        <v>1152.1963824289405</v>
      </c>
      <c r="AH44" s="46">
        <f>307+637</f>
        <v>944</v>
      </c>
      <c r="AI44" s="46">
        <f>241+1168</f>
        <v>1409</v>
      </c>
      <c r="AJ44" s="3">
        <f>AB44+AE44+AH44</f>
        <v>1814</v>
      </c>
      <c r="AK44" s="3">
        <f>AC44+AF44+AI44</f>
        <v>21916</v>
      </c>
      <c r="AL44" s="15">
        <f t="shared" si="20"/>
        <v>1208.1587651598677</v>
      </c>
      <c r="AM44" s="46">
        <f>4736+12855</f>
        <v>17591</v>
      </c>
      <c r="AN44" s="46">
        <f>2012+4933</f>
        <v>6945</v>
      </c>
      <c r="AO44" s="46">
        <f>12499+37256</f>
        <v>49755</v>
      </c>
      <c r="AP44" s="46">
        <f>9478+25694</f>
        <v>35172</v>
      </c>
      <c r="AQ44" s="46">
        <f>15576+44101</f>
        <v>59677</v>
      </c>
      <c r="AR44" s="46">
        <f>22558+72023</f>
        <v>94581</v>
      </c>
      <c r="AS44" s="3">
        <f>M44+Y44+AJ44+AM44+AO44+AQ44</f>
        <v>341287</v>
      </c>
      <c r="AT44" s="3">
        <f>N44+Z44+AK44+AN44+AP44+AR44</f>
        <v>378377</v>
      </c>
      <c r="AU44" s="15">
        <f>AT44/AS44*100</f>
        <v>110.86768614098985</v>
      </c>
      <c r="AV44" s="15">
        <f>AS44-AT44</f>
        <v>-37090</v>
      </c>
      <c r="AW44" s="4">
        <f>C44+AS44-AT44</f>
        <v>163987</v>
      </c>
    </row>
    <row r="45" spans="1:49" s="8" customFormat="1" ht="24.75" customHeight="1">
      <c r="A45" s="40"/>
      <c r="B45" s="1" t="s">
        <v>69</v>
      </c>
      <c r="C45" s="2">
        <v>-0.1</v>
      </c>
      <c r="D45" s="3">
        <v>1994.2</v>
      </c>
      <c r="E45" s="3">
        <v>0</v>
      </c>
      <c r="F45" s="15">
        <f t="shared" si="22"/>
        <v>0</v>
      </c>
      <c r="G45" s="46">
        <v>2013.7</v>
      </c>
      <c r="H45" s="46">
        <v>1994.1</v>
      </c>
      <c r="I45" s="15">
        <f t="shared" si="23"/>
        <v>99.02666732879773</v>
      </c>
      <c r="J45" s="46">
        <v>1737.2</v>
      </c>
      <c r="K45" s="46">
        <v>3750.9</v>
      </c>
      <c r="L45" s="15">
        <f>K45/J45*100</f>
        <v>215.91641722311766</v>
      </c>
      <c r="M45" s="3">
        <f>D45+G45+J45</f>
        <v>5745.1</v>
      </c>
      <c r="N45" s="3">
        <f>E45+H45+K45</f>
        <v>5745</v>
      </c>
      <c r="O45" s="15">
        <f t="shared" si="2"/>
        <v>99.99825938625959</v>
      </c>
      <c r="P45" s="46">
        <v>467.1</v>
      </c>
      <c r="Q45" s="46">
        <v>388.4</v>
      </c>
      <c r="R45" s="15">
        <f>Q45/P45*100</f>
        <v>83.15135945193748</v>
      </c>
      <c r="S45" s="46">
        <v>213.2</v>
      </c>
      <c r="T45" s="46">
        <v>291.8</v>
      </c>
      <c r="U45" s="15">
        <f>T45/S45*100</f>
        <v>136.86679174484053</v>
      </c>
      <c r="V45" s="46">
        <v>78.9</v>
      </c>
      <c r="W45" s="46">
        <v>78.9</v>
      </c>
      <c r="X45" s="15">
        <f>W45/V45*100</f>
        <v>100</v>
      </c>
      <c r="Y45" s="3">
        <f>P45+S45+V45</f>
        <v>759.1999999999999</v>
      </c>
      <c r="Z45" s="3">
        <f>Q45+T45+W45</f>
        <v>759.1</v>
      </c>
      <c r="AA45" s="15">
        <f t="shared" si="5"/>
        <v>99.98682824025292</v>
      </c>
      <c r="AB45" s="46">
        <v>167.3</v>
      </c>
      <c r="AC45" s="46">
        <v>167.3</v>
      </c>
      <c r="AD45" s="15">
        <f>AC45/AB45*100</f>
        <v>100</v>
      </c>
      <c r="AE45" s="46">
        <v>146.9</v>
      </c>
      <c r="AF45" s="46">
        <v>146.9</v>
      </c>
      <c r="AG45" s="38">
        <f>AF45/AE45*100</f>
        <v>100</v>
      </c>
      <c r="AH45" s="46">
        <v>199.7</v>
      </c>
      <c r="AI45" s="46">
        <v>199.7</v>
      </c>
      <c r="AJ45" s="3">
        <f>AB45+AE45+AH45</f>
        <v>513.9000000000001</v>
      </c>
      <c r="AK45" s="3">
        <f>AC45+AF45+AI45</f>
        <v>513.9000000000001</v>
      </c>
      <c r="AL45" s="15">
        <f t="shared" si="20"/>
        <v>100</v>
      </c>
      <c r="AM45" s="46">
        <v>643.4</v>
      </c>
      <c r="AN45" s="46">
        <v>643.4</v>
      </c>
      <c r="AO45" s="46">
        <v>1511.9</v>
      </c>
      <c r="AP45" s="46">
        <v>1511.9</v>
      </c>
      <c r="AQ45" s="46">
        <v>2052.4</v>
      </c>
      <c r="AR45" s="46">
        <v>2052.4</v>
      </c>
      <c r="AS45" s="3">
        <f>M45+Y45+AJ45+AM45+AO45+AQ45</f>
        <v>11225.9</v>
      </c>
      <c r="AT45" s="3">
        <f>N45+Z45+AK45+AN45+AP45+AR45</f>
        <v>11225.699999999999</v>
      </c>
      <c r="AU45" s="15">
        <f>AT45/AS45*100</f>
        <v>99.9982184056512</v>
      </c>
      <c r="AV45" s="15">
        <f>AS45-AT45</f>
        <v>0.2000000000007276</v>
      </c>
      <c r="AW45" s="4">
        <f>C45+AS45-AT45</f>
        <v>0.1000000000003638</v>
      </c>
    </row>
    <row r="46" spans="1:51" s="8" customFormat="1" ht="24.75" customHeight="1">
      <c r="A46" s="40"/>
      <c r="B46" s="17" t="s">
        <v>78</v>
      </c>
      <c r="C46" s="50">
        <f>C7+C43</f>
        <v>195565.8</v>
      </c>
      <c r="D46" s="4">
        <f>D43+D7</f>
        <v>134404.1</v>
      </c>
      <c r="E46" s="4">
        <f>E43+E7</f>
        <v>29206.199999999997</v>
      </c>
      <c r="F46" s="15">
        <f t="shared" si="22"/>
        <v>21.730140672791972</v>
      </c>
      <c r="G46" s="4">
        <f>G7+G43</f>
        <v>121750.6</v>
      </c>
      <c r="H46" s="4">
        <f>H7+H43</f>
        <v>112145.4</v>
      </c>
      <c r="I46" s="15">
        <f>H46/G46*100</f>
        <v>92.11075756505511</v>
      </c>
      <c r="J46" s="4">
        <f>J7+J43</f>
        <v>74999.09999999999</v>
      </c>
      <c r="K46" s="4">
        <f>K7+K43</f>
        <v>159071.59999999998</v>
      </c>
      <c r="L46" s="15">
        <f>K46/J46*100</f>
        <v>212.09801184280877</v>
      </c>
      <c r="M46" s="4">
        <f>M7+M43</f>
        <v>331153.8</v>
      </c>
      <c r="N46" s="4">
        <f>N7+N43</f>
        <v>300423.2</v>
      </c>
      <c r="O46" s="15">
        <f t="shared" si="2"/>
        <v>90.72014272522316</v>
      </c>
      <c r="P46" s="4">
        <f>P7+P43</f>
        <v>16639.9</v>
      </c>
      <c r="Q46" s="4">
        <f>Q7+Q43</f>
        <v>20921.699999999997</v>
      </c>
      <c r="R46" s="15">
        <f>Q46/P46*100</f>
        <v>125.73212579402518</v>
      </c>
      <c r="S46" s="4">
        <f>S7+S43</f>
        <v>2408.6</v>
      </c>
      <c r="T46" s="4">
        <f>T7+T43</f>
        <v>17287.1</v>
      </c>
      <c r="U46" s="15">
        <f>T46/S46*100</f>
        <v>717.7239890392759</v>
      </c>
      <c r="V46" s="4">
        <f>V7+V43</f>
        <v>1361.9</v>
      </c>
      <c r="W46" s="4">
        <f>W7+W43</f>
        <v>12895.8</v>
      </c>
      <c r="X46" s="15">
        <f>W46/V46*100</f>
        <v>946.8977164255818</v>
      </c>
      <c r="Y46" s="4">
        <f>Y7+Y43</f>
        <v>20410.4</v>
      </c>
      <c r="Z46" s="4">
        <f>Z7+Z43</f>
        <v>51104.600000000006</v>
      </c>
      <c r="AA46" s="15">
        <f t="shared" si="5"/>
        <v>250.38509779328186</v>
      </c>
      <c r="AB46" s="4">
        <f>AB7+AB43</f>
        <v>650.3</v>
      </c>
      <c r="AC46" s="4">
        <f>AC7+AC43</f>
        <v>17720.5</v>
      </c>
      <c r="AD46" s="15">
        <f>AC46/AB46*100</f>
        <v>2724.9730893433803</v>
      </c>
      <c r="AE46" s="4">
        <f>AE7+AE43</f>
        <v>533.9</v>
      </c>
      <c r="AF46" s="4">
        <f>AF7+AF43</f>
        <v>6442.7</v>
      </c>
      <c r="AG46" s="15">
        <f>AF46/AE46*100</f>
        <v>1206.72410563776</v>
      </c>
      <c r="AH46" s="4">
        <f>AH7+AH43</f>
        <v>1143.7</v>
      </c>
      <c r="AI46" s="4">
        <f>AI7+AI43</f>
        <v>5182.3</v>
      </c>
      <c r="AJ46" s="4">
        <f>AJ7+AJ43</f>
        <v>2327.9</v>
      </c>
      <c r="AK46" s="4">
        <f>AK7+AK43</f>
        <v>29345.5</v>
      </c>
      <c r="AL46" s="15">
        <f t="shared" si="20"/>
        <v>1260.5996821169294</v>
      </c>
      <c r="AM46" s="4">
        <f aca="true" t="shared" si="31" ref="AM46:AT46">AM7+AM43</f>
        <v>30852.1</v>
      </c>
      <c r="AN46" s="4">
        <f t="shared" si="31"/>
        <v>22034.3</v>
      </c>
      <c r="AO46" s="4">
        <f t="shared" si="31"/>
        <v>96312.9</v>
      </c>
      <c r="AP46" s="4">
        <f t="shared" si="31"/>
        <v>68817.7</v>
      </c>
      <c r="AQ46" s="4">
        <f>AQ7+AQ43</f>
        <v>114792.5</v>
      </c>
      <c r="AR46" s="4">
        <f>AR7+AR43</f>
        <v>170298.2</v>
      </c>
      <c r="AS46" s="4">
        <f t="shared" si="31"/>
        <v>595849.6</v>
      </c>
      <c r="AT46" s="4">
        <f t="shared" si="31"/>
        <v>642023.5</v>
      </c>
      <c r="AU46" s="15">
        <f>AT46/AS46*100</f>
        <v>107.74925417420773</v>
      </c>
      <c r="AV46" s="51">
        <f>AV7+AV43</f>
        <v>-46173.90000000001</v>
      </c>
      <c r="AW46" s="51">
        <f>AW7+AW43</f>
        <v>149391.9</v>
      </c>
      <c r="AX46" s="22">
        <f>AS46-AT46</f>
        <v>-46173.90000000002</v>
      </c>
      <c r="AY46" s="19">
        <f>C46+AS46-AT46</f>
        <v>149391.8999999999</v>
      </c>
    </row>
    <row r="47" spans="2:49" ht="37.5" customHeight="1">
      <c r="B47" s="72"/>
      <c r="C47" s="73"/>
      <c r="D47" s="74"/>
      <c r="E47" s="74"/>
      <c r="F47" s="75" t="e">
        <f t="shared" si="22"/>
        <v>#DIV/0!</v>
      </c>
      <c r="G47" s="29"/>
      <c r="H47" s="29"/>
      <c r="I47" s="67"/>
      <c r="J47" s="29"/>
      <c r="K47" s="29"/>
      <c r="L47" s="67"/>
      <c r="M47" s="67"/>
      <c r="N47" s="67"/>
      <c r="O47" s="67"/>
      <c r="P47" s="29"/>
      <c r="Q47" s="29"/>
      <c r="R47" s="67"/>
      <c r="S47" s="29"/>
      <c r="T47" s="29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29"/>
      <c r="AT47" s="29"/>
      <c r="AU47" s="67"/>
      <c r="AV47" s="29"/>
      <c r="AW47" s="29"/>
    </row>
    <row r="48" spans="2:49" ht="33.75" customHeight="1">
      <c r="B48" s="138"/>
      <c r="C48" s="138"/>
      <c r="D48" s="138"/>
      <c r="E48" s="138"/>
      <c r="F48" s="138"/>
      <c r="G48" s="29"/>
      <c r="H48" s="29"/>
      <c r="I48" s="67"/>
      <c r="J48" s="29"/>
      <c r="K48" s="29"/>
      <c r="L48" s="67"/>
      <c r="M48" s="67"/>
      <c r="N48" s="67"/>
      <c r="O48" s="67"/>
      <c r="P48" s="29"/>
      <c r="Q48" s="29"/>
      <c r="R48" s="67"/>
      <c r="S48" s="29"/>
      <c r="T48" s="29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29"/>
      <c r="AT48" s="29"/>
      <c r="AU48" s="67"/>
      <c r="AV48" s="29"/>
      <c r="AW48" s="29"/>
    </row>
    <row r="49" spans="1:49" ht="18.75" customHeight="1" hidden="1">
      <c r="A49" s="6"/>
      <c r="B49" s="8" t="s">
        <v>82</v>
      </c>
      <c r="C49" s="73"/>
      <c r="D49" s="76"/>
      <c r="E49" s="76"/>
      <c r="F49" s="7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9"/>
    </row>
    <row r="50" spans="2:49" ht="6.75" customHeight="1" hidden="1">
      <c r="B50" s="8"/>
      <c r="C50" s="73"/>
      <c r="D50" s="78"/>
      <c r="E50" s="78"/>
      <c r="F50" s="7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9"/>
    </row>
    <row r="51" spans="1:49" ht="18.75" customHeight="1" hidden="1">
      <c r="A51" s="6"/>
      <c r="B51" s="8" t="s">
        <v>83</v>
      </c>
      <c r="C51" s="73"/>
      <c r="D51" s="76"/>
      <c r="E51" s="76"/>
      <c r="F51" s="77"/>
      <c r="G51" s="33"/>
      <c r="H51" s="33"/>
      <c r="I51" s="57"/>
      <c r="J51" s="33"/>
      <c r="K51" s="33"/>
      <c r="L51" s="57"/>
      <c r="M51" s="57"/>
      <c r="N51" s="57"/>
      <c r="O51" s="57"/>
      <c r="P51" s="33"/>
      <c r="Q51" s="33"/>
      <c r="R51" s="57"/>
      <c r="S51" s="33"/>
      <c r="T51" s="33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8"/>
      <c r="AT51" s="58"/>
      <c r="AU51" s="57"/>
      <c r="AV51" s="33"/>
      <c r="AW51" s="59" t="s">
        <v>97</v>
      </c>
    </row>
    <row r="52" spans="2:49" ht="24.75" customHeight="1">
      <c r="B52" s="8"/>
      <c r="C52" s="73"/>
      <c r="D52" s="74"/>
      <c r="E52" s="74"/>
      <c r="F52" s="77"/>
      <c r="G52" s="33"/>
      <c r="H52" s="33"/>
      <c r="I52" s="57"/>
      <c r="J52" s="33"/>
      <c r="K52" s="33"/>
      <c r="L52" s="57"/>
      <c r="M52" s="57"/>
      <c r="N52" s="57"/>
      <c r="O52" s="57"/>
      <c r="P52" s="33"/>
      <c r="Q52" s="33"/>
      <c r="R52" s="57"/>
      <c r="S52" s="33"/>
      <c r="T52" s="33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33"/>
      <c r="AT52" s="33"/>
      <c r="AU52" s="57"/>
      <c r="AV52" s="33"/>
      <c r="AW52" s="33"/>
    </row>
    <row r="53" spans="1:49" s="66" customFormat="1" ht="48.75" customHeight="1">
      <c r="A53" s="61"/>
      <c r="B53" s="129" t="s">
        <v>101</v>
      </c>
      <c r="C53" s="129"/>
      <c r="D53" s="129"/>
      <c r="E53" s="62"/>
      <c r="F53" s="63"/>
      <c r="G53" s="64"/>
      <c r="H53" s="64"/>
      <c r="I53" s="63"/>
      <c r="J53" s="64"/>
      <c r="K53" s="64"/>
      <c r="L53" s="63"/>
      <c r="M53" s="63"/>
      <c r="N53" s="63"/>
      <c r="O53" s="63"/>
      <c r="P53" s="64"/>
      <c r="Q53" s="64"/>
      <c r="R53" s="63"/>
      <c r="S53" s="64"/>
      <c r="T53" s="64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2"/>
      <c r="AT53" s="62"/>
      <c r="AU53" s="63"/>
      <c r="AV53" s="64"/>
      <c r="AW53" s="65" t="s">
        <v>100</v>
      </c>
    </row>
    <row r="54" spans="2:49" ht="46.5" customHeight="1" hidden="1">
      <c r="B54" s="137" t="s">
        <v>37</v>
      </c>
      <c r="C54" s="137"/>
      <c r="D54" s="8"/>
      <c r="E54" s="8"/>
      <c r="G54" s="29"/>
      <c r="H54" s="29"/>
      <c r="I54" s="67"/>
      <c r="J54" s="29"/>
      <c r="K54" s="29"/>
      <c r="L54" s="67"/>
      <c r="M54" s="67"/>
      <c r="N54" s="67"/>
      <c r="O54" s="67"/>
      <c r="P54" s="29"/>
      <c r="Q54" s="29"/>
      <c r="R54" s="67"/>
      <c r="S54" s="29"/>
      <c r="T54" s="29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29"/>
      <c r="AT54" s="29"/>
      <c r="AU54" s="67"/>
      <c r="AV54" s="29"/>
      <c r="AW54" s="29"/>
    </row>
    <row r="55" spans="1:52" ht="73.5" customHeight="1">
      <c r="A55" s="130" t="s">
        <v>99</v>
      </c>
      <c r="B55" s="130"/>
      <c r="C55" s="130"/>
      <c r="D55" s="58"/>
      <c r="E55" s="58"/>
      <c r="F55" s="57"/>
      <c r="G55" s="3">
        <v>142.7</v>
      </c>
      <c r="H55" s="3">
        <v>103.3</v>
      </c>
      <c r="I55" s="15"/>
      <c r="J55" s="3">
        <v>142.7</v>
      </c>
      <c r="K55" s="3">
        <v>103.3</v>
      </c>
      <c r="L55" s="15"/>
      <c r="M55" s="15"/>
      <c r="N55" s="15"/>
      <c r="O55" s="15"/>
      <c r="P55" s="3">
        <v>142.7</v>
      </c>
      <c r="Q55" s="3">
        <v>103.3</v>
      </c>
      <c r="R55" s="15"/>
      <c r="S55" s="3">
        <v>142.7</v>
      </c>
      <c r="T55" s="3">
        <v>103.3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3">
        <v>1154.2</v>
      </c>
      <c r="AT55" s="3">
        <v>1213.3</v>
      </c>
      <c r="AU55" s="15"/>
      <c r="AV55" s="3"/>
      <c r="AW55" s="4">
        <f>C55+D55-E55</f>
        <v>0</v>
      </c>
      <c r="AX55" s="33"/>
      <c r="AY55" s="57"/>
      <c r="AZ55" s="59" t="s">
        <v>97</v>
      </c>
    </row>
    <row r="56" spans="2:49" ht="18.75">
      <c r="B56" s="5" t="s">
        <v>39</v>
      </c>
      <c r="C56" s="79">
        <v>278.9</v>
      </c>
      <c r="D56" s="3">
        <v>761.9</v>
      </c>
      <c r="E56" s="3">
        <v>1041</v>
      </c>
      <c r="F56" s="15"/>
      <c r="G56" s="29"/>
      <c r="H56" s="29"/>
      <c r="I56" s="67"/>
      <c r="J56" s="29"/>
      <c r="K56" s="29"/>
      <c r="L56" s="67"/>
      <c r="M56" s="67"/>
      <c r="N56" s="67"/>
      <c r="O56" s="67"/>
      <c r="P56" s="29"/>
      <c r="Q56" s="29"/>
      <c r="R56" s="67"/>
      <c r="S56" s="29"/>
      <c r="T56" s="29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29">
        <v>1415.7</v>
      </c>
      <c r="AT56" s="29">
        <v>1436.1</v>
      </c>
      <c r="AU56" s="67"/>
      <c r="AV56" s="29"/>
      <c r="AW56" s="4">
        <f>C56+D56-E56</f>
        <v>-0.20000000000004547</v>
      </c>
    </row>
    <row r="57" spans="2:49" ht="18.75">
      <c r="B57" s="5" t="s">
        <v>40</v>
      </c>
      <c r="C57" s="68">
        <v>923.4</v>
      </c>
      <c r="D57" s="33">
        <v>2513</v>
      </c>
      <c r="E57" s="33">
        <v>3352.9</v>
      </c>
      <c r="F57" s="57"/>
      <c r="G57" s="29"/>
      <c r="H57" s="29"/>
      <c r="I57" s="67"/>
      <c r="J57" s="29"/>
      <c r="K57" s="29"/>
      <c r="L57" s="67"/>
      <c r="M57" s="67"/>
      <c r="N57" s="67"/>
      <c r="O57" s="67"/>
      <c r="P57" s="29"/>
      <c r="Q57" s="29"/>
      <c r="R57" s="67"/>
      <c r="S57" s="29"/>
      <c r="T57" s="29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29"/>
      <c r="AT57" s="29"/>
      <c r="AU57" s="67"/>
      <c r="AV57" s="29"/>
      <c r="AW57" s="29"/>
    </row>
    <row r="58" spans="3:49" ht="24.75" customHeight="1">
      <c r="C58" s="68"/>
      <c r="D58" s="33"/>
      <c r="E58" s="33"/>
      <c r="F58" s="57"/>
      <c r="G58" s="29"/>
      <c r="H58" s="29"/>
      <c r="I58" s="67"/>
      <c r="J58" s="29"/>
      <c r="K58" s="29"/>
      <c r="L58" s="67"/>
      <c r="M58" s="67"/>
      <c r="N58" s="67"/>
      <c r="O58" s="67"/>
      <c r="P58" s="29"/>
      <c r="Q58" s="29"/>
      <c r="R58" s="67"/>
      <c r="S58" s="29"/>
      <c r="T58" s="29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29"/>
      <c r="AT58" s="29"/>
      <c r="AU58" s="67"/>
      <c r="AV58" s="29"/>
      <c r="AW58" s="29"/>
    </row>
    <row r="59" spans="3:49" ht="24.75" customHeight="1">
      <c r="C59" s="68"/>
      <c r="D59" s="33"/>
      <c r="E59" s="33"/>
      <c r="F59" s="57"/>
      <c r="G59" s="29"/>
      <c r="H59" s="29"/>
      <c r="I59" s="67"/>
      <c r="J59" s="29"/>
      <c r="K59" s="29"/>
      <c r="L59" s="67"/>
      <c r="M59" s="67"/>
      <c r="N59" s="67"/>
      <c r="O59" s="67"/>
      <c r="P59" s="29"/>
      <c r="Q59" s="29"/>
      <c r="R59" s="67"/>
      <c r="S59" s="29"/>
      <c r="T59" s="29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29"/>
      <c r="AT59" s="29"/>
      <c r="AU59" s="67"/>
      <c r="AV59" s="29"/>
      <c r="AW59" s="29">
        <f>AW9+AW17+AW20+AW26+AW36+AW38+AW40</f>
        <v>-5391.000000000001</v>
      </c>
    </row>
    <row r="60" spans="2:49" ht="18.75">
      <c r="B60" s="5" t="s">
        <v>41</v>
      </c>
      <c r="C60" s="68">
        <f>C9+C17+C20+C26+C36+C38+C40</f>
        <v>-3263.6</v>
      </c>
      <c r="D60" s="33"/>
      <c r="E60" s="33"/>
      <c r="F60" s="57"/>
      <c r="G60" s="29"/>
      <c r="H60" s="29"/>
      <c r="I60" s="67"/>
      <c r="J60" s="29"/>
      <c r="K60" s="29"/>
      <c r="L60" s="67"/>
      <c r="M60" s="67"/>
      <c r="N60" s="67"/>
      <c r="O60" s="67"/>
      <c r="P60" s="29"/>
      <c r="Q60" s="29"/>
      <c r="R60" s="67"/>
      <c r="S60" s="29"/>
      <c r="T60" s="29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29"/>
      <c r="AT60" s="29"/>
      <c r="AU60" s="67"/>
      <c r="AV60" s="29"/>
      <c r="AW60" s="29">
        <f>AW11+AW13+AW14+AW16+AW18+AW19+AW25</f>
        <v>-1529.7999999999988</v>
      </c>
    </row>
    <row r="61" spans="2:49" ht="18.75">
      <c r="B61" s="5" t="s">
        <v>42</v>
      </c>
      <c r="C61" s="68">
        <f>C11+C13+C14+C16+C18+C19+C25</f>
        <v>-175.79999999999998</v>
      </c>
      <c r="D61" s="33"/>
      <c r="E61" s="33"/>
      <c r="F61" s="57"/>
      <c r="G61" s="29"/>
      <c r="H61" s="29"/>
      <c r="I61" s="67"/>
      <c r="J61" s="29"/>
      <c r="K61" s="29"/>
      <c r="L61" s="67"/>
      <c r="M61" s="67"/>
      <c r="N61" s="67"/>
      <c r="O61" s="67"/>
      <c r="P61" s="29"/>
      <c r="Q61" s="29"/>
      <c r="R61" s="67"/>
      <c r="S61" s="29"/>
      <c r="T61" s="29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29"/>
      <c r="AT61" s="29"/>
      <c r="AU61" s="67"/>
      <c r="AV61" s="29"/>
      <c r="AW61" s="29"/>
    </row>
    <row r="62" spans="7:49" ht="24.75" customHeight="1">
      <c r="G62" s="29"/>
      <c r="H62" s="29"/>
      <c r="I62" s="67"/>
      <c r="J62" s="29"/>
      <c r="K62" s="29"/>
      <c r="L62" s="67"/>
      <c r="M62" s="67"/>
      <c r="N62" s="67"/>
      <c r="O62" s="67"/>
      <c r="P62" s="29"/>
      <c r="Q62" s="29"/>
      <c r="R62" s="67"/>
      <c r="S62" s="29"/>
      <c r="T62" s="29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29"/>
      <c r="AT62" s="29"/>
      <c r="AU62" s="67"/>
      <c r="AV62" s="29"/>
      <c r="AW62" s="29"/>
    </row>
    <row r="63" spans="7:49" ht="24.75" customHeight="1">
      <c r="G63" s="29"/>
      <c r="H63" s="29"/>
      <c r="I63" s="67"/>
      <c r="J63" s="29"/>
      <c r="K63" s="29"/>
      <c r="L63" s="67"/>
      <c r="M63" s="67"/>
      <c r="N63" s="67"/>
      <c r="O63" s="67"/>
      <c r="P63" s="29"/>
      <c r="Q63" s="29"/>
      <c r="R63" s="67"/>
      <c r="S63" s="29"/>
      <c r="T63" s="29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29"/>
      <c r="AT63" s="29"/>
      <c r="AU63" s="67"/>
      <c r="AV63" s="29"/>
      <c r="AW63" s="29"/>
    </row>
    <row r="64" spans="7:49" ht="24.75" customHeight="1">
      <c r="G64" s="29"/>
      <c r="H64" s="29"/>
      <c r="I64" s="67"/>
      <c r="J64" s="29"/>
      <c r="K64" s="29"/>
      <c r="L64" s="67"/>
      <c r="M64" s="67"/>
      <c r="N64" s="67"/>
      <c r="O64" s="67"/>
      <c r="P64" s="29"/>
      <c r="Q64" s="29"/>
      <c r="R64" s="67"/>
      <c r="S64" s="29"/>
      <c r="T64" s="29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9"/>
      <c r="AT64" s="29"/>
      <c r="AU64" s="67"/>
      <c r="AV64" s="29"/>
      <c r="AW64" s="29"/>
    </row>
    <row r="65" spans="7:49" ht="24.75" customHeight="1">
      <c r="G65" s="29"/>
      <c r="H65" s="29"/>
      <c r="I65" s="67"/>
      <c r="J65" s="29"/>
      <c r="K65" s="29"/>
      <c r="L65" s="67"/>
      <c r="M65" s="67"/>
      <c r="N65" s="67"/>
      <c r="O65" s="67"/>
      <c r="P65" s="29"/>
      <c r="Q65" s="29"/>
      <c r="R65" s="67"/>
      <c r="S65" s="29"/>
      <c r="T65" s="2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9"/>
      <c r="AT65" s="29"/>
      <c r="AU65" s="67"/>
      <c r="AV65" s="29"/>
      <c r="AW65" s="29"/>
    </row>
    <row r="66" spans="7:49" ht="24.75" customHeight="1">
      <c r="G66" s="29"/>
      <c r="H66" s="29"/>
      <c r="I66" s="67"/>
      <c r="J66" s="29"/>
      <c r="K66" s="29"/>
      <c r="L66" s="67"/>
      <c r="M66" s="67"/>
      <c r="N66" s="67"/>
      <c r="O66" s="67"/>
      <c r="P66" s="29"/>
      <c r="Q66" s="29"/>
      <c r="R66" s="67"/>
      <c r="S66" s="29"/>
      <c r="T66" s="2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29"/>
      <c r="AT66" s="29"/>
      <c r="AU66" s="67"/>
      <c r="AV66" s="29"/>
      <c r="AW66" s="29"/>
    </row>
    <row r="67" spans="7:49" ht="24.75" customHeight="1">
      <c r="G67" s="29"/>
      <c r="H67" s="29"/>
      <c r="I67" s="67"/>
      <c r="J67" s="29"/>
      <c r="K67" s="29"/>
      <c r="L67" s="67"/>
      <c r="M67" s="67"/>
      <c r="N67" s="67"/>
      <c r="O67" s="67"/>
      <c r="P67" s="29"/>
      <c r="Q67" s="29"/>
      <c r="R67" s="67"/>
      <c r="S67" s="29"/>
      <c r="T67" s="29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29"/>
      <c r="AT67" s="29"/>
      <c r="AU67" s="67"/>
      <c r="AV67" s="29"/>
      <c r="AW67" s="29"/>
    </row>
    <row r="68" spans="7:49" ht="24.75" customHeight="1">
      <c r="G68" s="29"/>
      <c r="H68" s="29"/>
      <c r="I68" s="67"/>
      <c r="J68" s="29"/>
      <c r="K68" s="29"/>
      <c r="L68" s="67"/>
      <c r="M68" s="67"/>
      <c r="N68" s="67"/>
      <c r="O68" s="67"/>
      <c r="P68" s="29"/>
      <c r="Q68" s="29"/>
      <c r="R68" s="67"/>
      <c r="S68" s="29"/>
      <c r="T68" s="29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29"/>
      <c r="AT68" s="29"/>
      <c r="AU68" s="67"/>
      <c r="AV68" s="29"/>
      <c r="AW68" s="29"/>
    </row>
    <row r="69" spans="7:49" ht="24.75" customHeight="1">
      <c r="G69" s="29"/>
      <c r="H69" s="29"/>
      <c r="I69" s="67"/>
      <c r="J69" s="29"/>
      <c r="K69" s="29"/>
      <c r="L69" s="67"/>
      <c r="M69" s="67"/>
      <c r="N69" s="67"/>
      <c r="O69" s="67"/>
      <c r="P69" s="29"/>
      <c r="Q69" s="29"/>
      <c r="R69" s="67"/>
      <c r="S69" s="29"/>
      <c r="T69" s="29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29"/>
      <c r="AT69" s="29"/>
      <c r="AU69" s="67"/>
      <c r="AV69" s="29"/>
      <c r="AW69" s="29"/>
    </row>
    <row r="70" spans="7:49" ht="24.75" customHeight="1">
      <c r="G70" s="29"/>
      <c r="H70" s="29"/>
      <c r="I70" s="67"/>
      <c r="J70" s="29"/>
      <c r="K70" s="29"/>
      <c r="L70" s="67"/>
      <c r="M70" s="67"/>
      <c r="N70" s="67"/>
      <c r="O70" s="67"/>
      <c r="P70" s="29"/>
      <c r="Q70" s="29"/>
      <c r="R70" s="67"/>
      <c r="S70" s="29"/>
      <c r="T70" s="29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29"/>
      <c r="AT70" s="29"/>
      <c r="AU70" s="67"/>
      <c r="AV70" s="29"/>
      <c r="AW70" s="29"/>
    </row>
    <row r="71" spans="7:49" ht="24.75" customHeight="1">
      <c r="G71" s="29"/>
      <c r="H71" s="29"/>
      <c r="I71" s="67"/>
      <c r="J71" s="29"/>
      <c r="K71" s="29"/>
      <c r="L71" s="67"/>
      <c r="M71" s="67"/>
      <c r="N71" s="67"/>
      <c r="O71" s="67"/>
      <c r="P71" s="29"/>
      <c r="Q71" s="29"/>
      <c r="R71" s="67"/>
      <c r="S71" s="29"/>
      <c r="T71" s="29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29"/>
      <c r="AT71" s="29"/>
      <c r="AU71" s="67"/>
      <c r="AV71" s="29"/>
      <c r="AW71" s="29"/>
    </row>
    <row r="72" spans="7:49" ht="24.75" customHeight="1">
      <c r="G72" s="29"/>
      <c r="H72" s="29"/>
      <c r="I72" s="67"/>
      <c r="J72" s="29"/>
      <c r="K72" s="29"/>
      <c r="L72" s="67"/>
      <c r="M72" s="67"/>
      <c r="N72" s="67"/>
      <c r="O72" s="67"/>
      <c r="P72" s="29"/>
      <c r="Q72" s="29"/>
      <c r="R72" s="67"/>
      <c r="S72" s="29"/>
      <c r="T72" s="29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29"/>
      <c r="AT72" s="29"/>
      <c r="AU72" s="67"/>
      <c r="AV72" s="29"/>
      <c r="AW72" s="29"/>
    </row>
    <row r="73" spans="7:49" ht="24.75" customHeight="1">
      <c r="G73" s="29"/>
      <c r="H73" s="29"/>
      <c r="I73" s="67"/>
      <c r="J73" s="29"/>
      <c r="K73" s="29"/>
      <c r="L73" s="67"/>
      <c r="M73" s="67"/>
      <c r="N73" s="67"/>
      <c r="O73" s="67"/>
      <c r="P73" s="29"/>
      <c r="Q73" s="29"/>
      <c r="R73" s="67"/>
      <c r="S73" s="29"/>
      <c r="T73" s="29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29"/>
      <c r="AT73" s="29"/>
      <c r="AU73" s="67"/>
      <c r="AV73" s="29"/>
      <c r="AW73" s="29"/>
    </row>
    <row r="74" spans="7:49" ht="24.75" customHeight="1">
      <c r="G74" s="29"/>
      <c r="H74" s="29"/>
      <c r="I74" s="67"/>
      <c r="J74" s="29"/>
      <c r="K74" s="29"/>
      <c r="L74" s="67"/>
      <c r="M74" s="67"/>
      <c r="N74" s="67"/>
      <c r="O74" s="67"/>
      <c r="P74" s="29"/>
      <c r="Q74" s="29"/>
      <c r="R74" s="67"/>
      <c r="S74" s="29"/>
      <c r="T74" s="29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29"/>
      <c r="AT74" s="29"/>
      <c r="AU74" s="67"/>
      <c r="AV74" s="29"/>
      <c r="AW74" s="29"/>
    </row>
    <row r="75" spans="7:49" ht="24.75" customHeight="1">
      <c r="G75" s="29"/>
      <c r="H75" s="29"/>
      <c r="I75" s="67"/>
      <c r="J75" s="29"/>
      <c r="K75" s="29"/>
      <c r="L75" s="67"/>
      <c r="M75" s="67"/>
      <c r="N75" s="67"/>
      <c r="O75" s="67"/>
      <c r="P75" s="29"/>
      <c r="Q75" s="29"/>
      <c r="R75" s="67"/>
      <c r="S75" s="29"/>
      <c r="T75" s="29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29"/>
      <c r="AT75" s="29"/>
      <c r="AU75" s="67"/>
      <c r="AV75" s="29"/>
      <c r="AW75" s="29"/>
    </row>
    <row r="76" spans="7:49" ht="24.75" customHeight="1">
      <c r="G76" s="29"/>
      <c r="H76" s="29"/>
      <c r="I76" s="67"/>
      <c r="J76" s="29"/>
      <c r="K76" s="29"/>
      <c r="L76" s="67"/>
      <c r="M76" s="67"/>
      <c r="N76" s="67"/>
      <c r="O76" s="67"/>
      <c r="P76" s="29"/>
      <c r="Q76" s="29"/>
      <c r="R76" s="67"/>
      <c r="S76" s="29"/>
      <c r="T76" s="29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29"/>
      <c r="AT76" s="29"/>
      <c r="AU76" s="67"/>
      <c r="AV76" s="29"/>
      <c r="AW76" s="29"/>
    </row>
    <row r="77" spans="7:49" ht="24.75" customHeight="1">
      <c r="G77" s="29"/>
      <c r="H77" s="29"/>
      <c r="I77" s="67"/>
      <c r="J77" s="29"/>
      <c r="K77" s="29"/>
      <c r="L77" s="67"/>
      <c r="M77" s="67"/>
      <c r="N77" s="67"/>
      <c r="O77" s="67"/>
      <c r="P77" s="29"/>
      <c r="Q77" s="29"/>
      <c r="R77" s="67"/>
      <c r="S77" s="29"/>
      <c r="T77" s="2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29"/>
      <c r="AT77" s="29"/>
      <c r="AU77" s="67"/>
      <c r="AV77" s="29"/>
      <c r="AW77" s="29"/>
    </row>
    <row r="78" spans="7:49" ht="24.75" customHeight="1">
      <c r="G78" s="29"/>
      <c r="H78" s="29"/>
      <c r="I78" s="67"/>
      <c r="J78" s="29"/>
      <c r="K78" s="29"/>
      <c r="L78" s="67"/>
      <c r="M78" s="67"/>
      <c r="N78" s="67"/>
      <c r="O78" s="67"/>
      <c r="P78" s="29"/>
      <c r="Q78" s="29"/>
      <c r="R78" s="67"/>
      <c r="S78" s="29"/>
      <c r="T78" s="2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29"/>
      <c r="AT78" s="29"/>
      <c r="AU78" s="67"/>
      <c r="AV78" s="29"/>
      <c r="AW78" s="29"/>
    </row>
    <row r="79" spans="7:49" ht="24.75" customHeight="1">
      <c r="G79" s="29"/>
      <c r="H79" s="29"/>
      <c r="I79" s="67"/>
      <c r="J79" s="29"/>
      <c r="K79" s="29"/>
      <c r="L79" s="67"/>
      <c r="M79" s="67"/>
      <c r="N79" s="67"/>
      <c r="O79" s="67"/>
      <c r="P79" s="29"/>
      <c r="Q79" s="29"/>
      <c r="R79" s="67"/>
      <c r="S79" s="29"/>
      <c r="T79" s="29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29"/>
      <c r="AT79" s="29"/>
      <c r="AU79" s="67"/>
      <c r="AV79" s="29"/>
      <c r="AW79" s="29"/>
    </row>
    <row r="80" spans="7:49" ht="24.75" customHeight="1">
      <c r="G80" s="29"/>
      <c r="H80" s="29"/>
      <c r="I80" s="67"/>
      <c r="J80" s="29"/>
      <c r="K80" s="29"/>
      <c r="L80" s="67"/>
      <c r="M80" s="67"/>
      <c r="N80" s="67"/>
      <c r="O80" s="67"/>
      <c r="P80" s="29"/>
      <c r="Q80" s="29"/>
      <c r="R80" s="67"/>
      <c r="S80" s="29"/>
      <c r="T80" s="29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29"/>
      <c r="AT80" s="29"/>
      <c r="AU80" s="67"/>
      <c r="AV80" s="29"/>
      <c r="AW80" s="29"/>
    </row>
    <row r="81" spans="7:49" ht="24.75" customHeight="1">
      <c r="G81" s="29"/>
      <c r="H81" s="29"/>
      <c r="I81" s="67"/>
      <c r="J81" s="29"/>
      <c r="K81" s="29"/>
      <c r="L81" s="67"/>
      <c r="M81" s="67"/>
      <c r="N81" s="67"/>
      <c r="O81" s="67"/>
      <c r="P81" s="29"/>
      <c r="Q81" s="29"/>
      <c r="R81" s="67"/>
      <c r="S81" s="29"/>
      <c r="T81" s="29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29"/>
      <c r="AT81" s="29"/>
      <c r="AU81" s="67"/>
      <c r="AV81" s="29"/>
      <c r="AW81" s="29"/>
    </row>
    <row r="82" spans="7:49" ht="24.75" customHeight="1">
      <c r="G82" s="29"/>
      <c r="H82" s="29"/>
      <c r="I82" s="67"/>
      <c r="J82" s="29"/>
      <c r="K82" s="29"/>
      <c r="L82" s="67"/>
      <c r="M82" s="67"/>
      <c r="N82" s="67"/>
      <c r="O82" s="67"/>
      <c r="P82" s="29"/>
      <c r="Q82" s="29"/>
      <c r="R82" s="67"/>
      <c r="S82" s="29"/>
      <c r="T82" s="29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29"/>
      <c r="AT82" s="29"/>
      <c r="AU82" s="67"/>
      <c r="AV82" s="29"/>
      <c r="AW82" s="29"/>
    </row>
    <row r="83" spans="7:49" ht="24.75" customHeight="1">
      <c r="G83" s="29"/>
      <c r="H83" s="29"/>
      <c r="I83" s="67"/>
      <c r="J83" s="29"/>
      <c r="K83" s="29"/>
      <c r="L83" s="67"/>
      <c r="M83" s="67"/>
      <c r="N83" s="67"/>
      <c r="O83" s="67"/>
      <c r="P83" s="29"/>
      <c r="Q83" s="29"/>
      <c r="R83" s="67"/>
      <c r="S83" s="29"/>
      <c r="T83" s="29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29"/>
      <c r="AT83" s="29"/>
      <c r="AU83" s="67"/>
      <c r="AV83" s="29"/>
      <c r="AW83" s="29"/>
    </row>
    <row r="84" spans="7:49" ht="24.75" customHeight="1">
      <c r="G84" s="29"/>
      <c r="H84" s="29"/>
      <c r="I84" s="67"/>
      <c r="J84" s="29"/>
      <c r="K84" s="29"/>
      <c r="L84" s="67"/>
      <c r="M84" s="67"/>
      <c r="N84" s="67"/>
      <c r="O84" s="67"/>
      <c r="P84" s="29"/>
      <c r="Q84" s="29"/>
      <c r="R84" s="67"/>
      <c r="S84" s="29"/>
      <c r="T84" s="29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29"/>
      <c r="AT84" s="29"/>
      <c r="AU84" s="67"/>
      <c r="AV84" s="29"/>
      <c r="AW84" s="29"/>
    </row>
    <row r="85" spans="7:49" ht="24.75" customHeight="1">
      <c r="G85" s="29"/>
      <c r="H85" s="29"/>
      <c r="I85" s="67"/>
      <c r="J85" s="29"/>
      <c r="K85" s="29"/>
      <c r="L85" s="67"/>
      <c r="M85" s="67"/>
      <c r="N85" s="67"/>
      <c r="O85" s="67"/>
      <c r="P85" s="29"/>
      <c r="Q85" s="29"/>
      <c r="R85" s="67"/>
      <c r="S85" s="29"/>
      <c r="T85" s="29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29"/>
      <c r="AT85" s="29"/>
      <c r="AU85" s="67"/>
      <c r="AV85" s="29"/>
      <c r="AW85" s="29"/>
    </row>
    <row r="86" spans="7:49" ht="24.75" customHeight="1">
      <c r="G86" s="29"/>
      <c r="H86" s="29"/>
      <c r="I86" s="67"/>
      <c r="J86" s="29"/>
      <c r="K86" s="29"/>
      <c r="L86" s="67"/>
      <c r="M86" s="67"/>
      <c r="N86" s="67"/>
      <c r="O86" s="67"/>
      <c r="P86" s="29"/>
      <c r="Q86" s="29"/>
      <c r="R86" s="67"/>
      <c r="S86" s="29"/>
      <c r="T86" s="29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29"/>
      <c r="AT86" s="29"/>
      <c r="AU86" s="67"/>
      <c r="AV86" s="29"/>
      <c r="AW86" s="29"/>
    </row>
    <row r="87" spans="7:49" ht="24.75" customHeight="1">
      <c r="G87" s="29"/>
      <c r="H87" s="29"/>
      <c r="I87" s="67"/>
      <c r="J87" s="29"/>
      <c r="K87" s="29"/>
      <c r="L87" s="67"/>
      <c r="M87" s="67"/>
      <c r="N87" s="67"/>
      <c r="O87" s="67"/>
      <c r="P87" s="29"/>
      <c r="Q87" s="29"/>
      <c r="R87" s="67"/>
      <c r="S87" s="29"/>
      <c r="T87" s="29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29"/>
      <c r="AT87" s="29"/>
      <c r="AU87" s="67"/>
      <c r="AV87" s="29"/>
      <c r="AW87" s="29"/>
    </row>
    <row r="88" spans="7:49" ht="24.75" customHeight="1">
      <c r="G88" s="29"/>
      <c r="H88" s="29"/>
      <c r="I88" s="67"/>
      <c r="J88" s="29"/>
      <c r="K88" s="29"/>
      <c r="L88" s="67"/>
      <c r="M88" s="67"/>
      <c r="N88" s="67"/>
      <c r="O88" s="67"/>
      <c r="P88" s="29"/>
      <c r="Q88" s="29"/>
      <c r="R88" s="67"/>
      <c r="S88" s="29"/>
      <c r="T88" s="2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29"/>
      <c r="AT88" s="29"/>
      <c r="AU88" s="67"/>
      <c r="AV88" s="29"/>
      <c r="AW88" s="29"/>
    </row>
    <row r="89" spans="7:49" ht="24.75" customHeight="1">
      <c r="G89" s="29"/>
      <c r="H89" s="29"/>
      <c r="I89" s="67"/>
      <c r="J89" s="29"/>
      <c r="K89" s="29"/>
      <c r="L89" s="67"/>
      <c r="M89" s="67"/>
      <c r="N89" s="67"/>
      <c r="O89" s="67"/>
      <c r="P89" s="29"/>
      <c r="Q89" s="29"/>
      <c r="R89" s="67"/>
      <c r="S89" s="29"/>
      <c r="T89" s="29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29"/>
      <c r="AT89" s="29"/>
      <c r="AU89" s="67"/>
      <c r="AV89" s="29"/>
      <c r="AW89" s="29"/>
    </row>
    <row r="90" spans="7:49" ht="24.75" customHeight="1">
      <c r="G90" s="29"/>
      <c r="H90" s="29"/>
      <c r="I90" s="67"/>
      <c r="J90" s="29"/>
      <c r="K90" s="29"/>
      <c r="L90" s="67"/>
      <c r="M90" s="67"/>
      <c r="N90" s="67"/>
      <c r="O90" s="67"/>
      <c r="P90" s="29"/>
      <c r="Q90" s="29"/>
      <c r="R90" s="67"/>
      <c r="S90" s="29"/>
      <c r="T90" s="29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29"/>
      <c r="AT90" s="29"/>
      <c r="AU90" s="67"/>
      <c r="AV90" s="29"/>
      <c r="AW90" s="29"/>
    </row>
    <row r="91" spans="7:49" ht="24.75" customHeight="1">
      <c r="G91" s="29"/>
      <c r="H91" s="29"/>
      <c r="I91" s="67"/>
      <c r="J91" s="29"/>
      <c r="K91" s="29"/>
      <c r="L91" s="67"/>
      <c r="M91" s="67"/>
      <c r="N91" s="67"/>
      <c r="O91" s="67"/>
      <c r="P91" s="29"/>
      <c r="Q91" s="29"/>
      <c r="R91" s="67"/>
      <c r="S91" s="29"/>
      <c r="T91" s="29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29"/>
      <c r="AT91" s="29"/>
      <c r="AU91" s="67"/>
      <c r="AV91" s="29"/>
      <c r="AW91" s="29"/>
    </row>
    <row r="92" spans="7:49" ht="24.75" customHeight="1">
      <c r="G92" s="29"/>
      <c r="H92" s="29"/>
      <c r="I92" s="67"/>
      <c r="J92" s="29"/>
      <c r="K92" s="29"/>
      <c r="L92" s="67"/>
      <c r="M92" s="67"/>
      <c r="N92" s="67"/>
      <c r="O92" s="67"/>
      <c r="P92" s="29"/>
      <c r="Q92" s="29"/>
      <c r="R92" s="67"/>
      <c r="S92" s="29"/>
      <c r="T92" s="29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29"/>
      <c r="AT92" s="29"/>
      <c r="AU92" s="67"/>
      <c r="AV92" s="29"/>
      <c r="AW92" s="29"/>
    </row>
    <row r="93" spans="7:49" ht="24.75" customHeight="1">
      <c r="G93" s="29"/>
      <c r="H93" s="29"/>
      <c r="I93" s="67"/>
      <c r="J93" s="29"/>
      <c r="K93" s="29"/>
      <c r="L93" s="67"/>
      <c r="M93" s="67"/>
      <c r="N93" s="67"/>
      <c r="O93" s="67"/>
      <c r="P93" s="29"/>
      <c r="Q93" s="29"/>
      <c r="R93" s="67"/>
      <c r="S93" s="29"/>
      <c r="T93" s="29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29"/>
      <c r="AT93" s="29"/>
      <c r="AU93" s="67"/>
      <c r="AV93" s="29"/>
      <c r="AW93" s="29"/>
    </row>
    <row r="94" spans="7:49" ht="24.75" customHeight="1">
      <c r="G94" s="29"/>
      <c r="H94" s="29"/>
      <c r="I94" s="67"/>
      <c r="J94" s="29"/>
      <c r="K94" s="29"/>
      <c r="L94" s="67"/>
      <c r="M94" s="67"/>
      <c r="N94" s="67"/>
      <c r="O94" s="67"/>
      <c r="P94" s="29"/>
      <c r="Q94" s="29"/>
      <c r="R94" s="67"/>
      <c r="S94" s="29"/>
      <c r="T94" s="29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29"/>
      <c r="AT94" s="29"/>
      <c r="AU94" s="67"/>
      <c r="AV94" s="29"/>
      <c r="AW94" s="29"/>
    </row>
    <row r="95" spans="7:49" ht="24.75" customHeight="1">
      <c r="G95" s="29"/>
      <c r="H95" s="29"/>
      <c r="I95" s="67"/>
      <c r="J95" s="29"/>
      <c r="K95" s="29"/>
      <c r="L95" s="67"/>
      <c r="M95" s="67"/>
      <c r="N95" s="67"/>
      <c r="O95" s="67"/>
      <c r="P95" s="29"/>
      <c r="Q95" s="29"/>
      <c r="R95" s="67"/>
      <c r="S95" s="29"/>
      <c r="T95" s="29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29"/>
      <c r="AT95" s="29"/>
      <c r="AU95" s="67"/>
      <c r="AV95" s="29"/>
      <c r="AW95" s="29"/>
    </row>
    <row r="96" spans="7:49" ht="18.75">
      <c r="G96" s="29"/>
      <c r="H96" s="29"/>
      <c r="I96" s="67"/>
      <c r="J96" s="29"/>
      <c r="K96" s="29"/>
      <c r="L96" s="67"/>
      <c r="M96" s="67"/>
      <c r="N96" s="67"/>
      <c r="O96" s="67"/>
      <c r="P96" s="29"/>
      <c r="Q96" s="29"/>
      <c r="R96" s="67"/>
      <c r="S96" s="29"/>
      <c r="T96" s="29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29"/>
      <c r="AT96" s="29"/>
      <c r="AU96" s="67"/>
      <c r="AV96" s="29"/>
      <c r="AW96" s="29"/>
    </row>
    <row r="97" spans="7:49" ht="18.75">
      <c r="G97" s="29"/>
      <c r="H97" s="29"/>
      <c r="I97" s="67"/>
      <c r="J97" s="29"/>
      <c r="K97" s="29"/>
      <c r="L97" s="67"/>
      <c r="M97" s="67"/>
      <c r="N97" s="67"/>
      <c r="O97" s="67"/>
      <c r="P97" s="29"/>
      <c r="Q97" s="29"/>
      <c r="R97" s="67"/>
      <c r="S97" s="29"/>
      <c r="T97" s="29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29"/>
      <c r="AT97" s="29"/>
      <c r="AU97" s="67"/>
      <c r="AV97" s="29"/>
      <c r="AW97" s="29"/>
    </row>
    <row r="98" spans="7:49" ht="18.75">
      <c r="G98" s="29"/>
      <c r="H98" s="29"/>
      <c r="I98" s="67"/>
      <c r="J98" s="29"/>
      <c r="K98" s="29"/>
      <c r="L98" s="67"/>
      <c r="M98" s="67"/>
      <c r="N98" s="67"/>
      <c r="O98" s="67"/>
      <c r="P98" s="29"/>
      <c r="Q98" s="29"/>
      <c r="R98" s="67"/>
      <c r="S98" s="29"/>
      <c r="T98" s="29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29"/>
      <c r="AT98" s="29"/>
      <c r="AU98" s="67"/>
      <c r="AV98" s="29"/>
      <c r="AW98" s="29"/>
    </row>
    <row r="99" spans="7:49" ht="18.75">
      <c r="G99" s="29"/>
      <c r="H99" s="29"/>
      <c r="I99" s="67"/>
      <c r="J99" s="29"/>
      <c r="K99" s="29"/>
      <c r="L99" s="67"/>
      <c r="M99" s="67"/>
      <c r="N99" s="67"/>
      <c r="O99" s="67"/>
      <c r="P99" s="29"/>
      <c r="Q99" s="29"/>
      <c r="R99" s="67"/>
      <c r="S99" s="29"/>
      <c r="T99" s="29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29"/>
      <c r="AT99" s="29"/>
      <c r="AU99" s="67"/>
      <c r="AV99" s="29"/>
      <c r="AW99" s="29"/>
    </row>
    <row r="100" spans="7:49" ht="18.75">
      <c r="G100" s="29"/>
      <c r="H100" s="29"/>
      <c r="I100" s="67"/>
      <c r="J100" s="29"/>
      <c r="K100" s="29"/>
      <c r="L100" s="67"/>
      <c r="M100" s="67"/>
      <c r="N100" s="67"/>
      <c r="O100" s="67"/>
      <c r="P100" s="29"/>
      <c r="Q100" s="29"/>
      <c r="R100" s="67"/>
      <c r="S100" s="29"/>
      <c r="T100" s="29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29"/>
      <c r="AT100" s="29"/>
      <c r="AU100" s="67"/>
      <c r="AV100" s="29"/>
      <c r="AW100" s="29"/>
    </row>
    <row r="101" spans="7:49" ht="18.75">
      <c r="G101" s="29"/>
      <c r="H101" s="29"/>
      <c r="I101" s="67"/>
      <c r="J101" s="29"/>
      <c r="K101" s="29"/>
      <c r="L101" s="67"/>
      <c r="M101" s="67"/>
      <c r="N101" s="67"/>
      <c r="O101" s="67"/>
      <c r="P101" s="29"/>
      <c r="Q101" s="29"/>
      <c r="R101" s="67"/>
      <c r="S101" s="29"/>
      <c r="T101" s="29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29"/>
      <c r="AT101" s="29"/>
      <c r="AU101" s="67"/>
      <c r="AV101" s="29"/>
      <c r="AW101" s="29"/>
    </row>
    <row r="102" spans="7:49" ht="18.75">
      <c r="G102" s="29"/>
      <c r="H102" s="29"/>
      <c r="I102" s="67"/>
      <c r="J102" s="29"/>
      <c r="K102" s="29"/>
      <c r="L102" s="67"/>
      <c r="M102" s="67"/>
      <c r="N102" s="67"/>
      <c r="O102" s="67"/>
      <c r="P102" s="29"/>
      <c r="Q102" s="29"/>
      <c r="R102" s="67"/>
      <c r="S102" s="29"/>
      <c r="T102" s="29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29"/>
      <c r="AT102" s="29"/>
      <c r="AU102" s="67"/>
      <c r="AV102" s="29"/>
      <c r="AW102" s="29"/>
    </row>
  </sheetData>
  <sheetProtection/>
  <autoFilter ref="F1:F103"/>
  <mergeCells count="25">
    <mergeCell ref="D1:AW1"/>
    <mergeCell ref="B2:AW2"/>
    <mergeCell ref="B3:AW3"/>
    <mergeCell ref="G5:I5"/>
    <mergeCell ref="AS5:AU5"/>
    <mergeCell ref="S5:U5"/>
    <mergeCell ref="AQ5:AR5"/>
    <mergeCell ref="P5:R5"/>
    <mergeCell ref="AW5:AW6"/>
    <mergeCell ref="AJ5:AL5"/>
    <mergeCell ref="AB5:AD5"/>
    <mergeCell ref="M5:O5"/>
    <mergeCell ref="A55:C55"/>
    <mergeCell ref="AV5:AV6"/>
    <mergeCell ref="J5:L5"/>
    <mergeCell ref="V5:X5"/>
    <mergeCell ref="B48:F48"/>
    <mergeCell ref="B53:D53"/>
    <mergeCell ref="B54:C54"/>
    <mergeCell ref="AM5:AN5"/>
    <mergeCell ref="AE5:AG5"/>
    <mergeCell ref="AO5:AP5"/>
    <mergeCell ref="AH5:AI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1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A102"/>
  <sheetViews>
    <sheetView view="pageBreakPreview" zoomScale="70" zoomScaleNormal="75" zoomScaleSheetLayoutView="70" zoomScalePageLayoutView="0" workbookViewId="0" topLeftCell="A1">
      <pane xSplit="7" ySplit="8" topLeftCell="AK2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S24" sqref="AS24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41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customWidth="1"/>
    <col min="26" max="26" width="12.875" style="8" customWidth="1"/>
    <col min="27" max="27" width="11.875" style="8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customWidth="1"/>
    <col min="37" max="37" width="12.875" style="8" customWidth="1"/>
    <col min="38" max="38" width="11.875" style="8" hidden="1" customWidth="1"/>
    <col min="39" max="39" width="14.625" style="8" customWidth="1"/>
    <col min="40" max="40" width="13.875" style="8" customWidth="1"/>
    <col min="41" max="41" width="14.625" style="8" customWidth="1"/>
    <col min="42" max="42" width="13.875" style="8" customWidth="1"/>
    <col min="43" max="43" width="14.625" style="8" customWidth="1"/>
    <col min="44" max="44" width="13.875" style="8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</row>
    <row r="2" spans="1:49" s="32" customFormat="1" ht="42" customHeight="1">
      <c r="A2" s="31"/>
      <c r="B2" s="122" t="s">
        <v>86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</row>
    <row r="3" spans="1:49" s="32" customFormat="1" ht="42" customHeight="1">
      <c r="A3" s="31"/>
      <c r="B3" s="122" t="s">
        <v>130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</row>
    <row r="4" spans="2:49" ht="18.75">
      <c r="B4" s="123"/>
      <c r="C4" s="123"/>
      <c r="AW4" s="11" t="s">
        <v>48</v>
      </c>
    </row>
    <row r="5" spans="1:49" ht="36.75" customHeight="1">
      <c r="A5" s="24" t="s">
        <v>36</v>
      </c>
      <c r="B5" s="25"/>
      <c r="C5" s="26" t="s">
        <v>1</v>
      </c>
      <c r="D5" s="124" t="s">
        <v>111</v>
      </c>
      <c r="E5" s="125"/>
      <c r="F5" s="126"/>
      <c r="G5" s="119" t="s">
        <v>113</v>
      </c>
      <c r="H5" s="120"/>
      <c r="I5" s="121"/>
      <c r="J5" s="119" t="s">
        <v>116</v>
      </c>
      <c r="K5" s="120"/>
      <c r="L5" s="121"/>
      <c r="M5" s="119" t="s">
        <v>118</v>
      </c>
      <c r="N5" s="120"/>
      <c r="O5" s="121"/>
      <c r="P5" s="119" t="s">
        <v>117</v>
      </c>
      <c r="Q5" s="120"/>
      <c r="R5" s="121"/>
      <c r="S5" s="119" t="s">
        <v>119</v>
      </c>
      <c r="T5" s="120"/>
      <c r="U5" s="121"/>
      <c r="V5" s="119" t="s">
        <v>120</v>
      </c>
      <c r="W5" s="120"/>
      <c r="X5" s="121"/>
      <c r="Y5" s="119" t="s">
        <v>121</v>
      </c>
      <c r="Z5" s="120"/>
      <c r="AA5" s="121"/>
      <c r="AB5" s="119" t="s">
        <v>122</v>
      </c>
      <c r="AC5" s="120"/>
      <c r="AD5" s="121"/>
      <c r="AE5" s="119" t="s">
        <v>123</v>
      </c>
      <c r="AF5" s="120"/>
      <c r="AG5" s="121"/>
      <c r="AH5" s="119" t="s">
        <v>124</v>
      </c>
      <c r="AI5" s="121"/>
      <c r="AJ5" s="119" t="s">
        <v>126</v>
      </c>
      <c r="AK5" s="120"/>
      <c r="AL5" s="121"/>
      <c r="AM5" s="119" t="s">
        <v>125</v>
      </c>
      <c r="AN5" s="121"/>
      <c r="AO5" s="119" t="s">
        <v>127</v>
      </c>
      <c r="AP5" s="121"/>
      <c r="AQ5" s="119" t="s">
        <v>128</v>
      </c>
      <c r="AR5" s="121"/>
      <c r="AS5" s="124" t="s">
        <v>114</v>
      </c>
      <c r="AT5" s="125"/>
      <c r="AU5" s="126"/>
      <c r="AV5" s="127" t="s">
        <v>131</v>
      </c>
      <c r="AW5" s="127" t="s">
        <v>132</v>
      </c>
    </row>
    <row r="6" spans="1:49" ht="67.5" customHeight="1">
      <c r="A6" s="27" t="s">
        <v>9</v>
      </c>
      <c r="B6" s="42" t="s">
        <v>46</v>
      </c>
      <c r="C6" s="21" t="s">
        <v>106</v>
      </c>
      <c r="D6" s="28" t="s">
        <v>112</v>
      </c>
      <c r="E6" s="28" t="s">
        <v>47</v>
      </c>
      <c r="F6" s="13" t="s">
        <v>0</v>
      </c>
      <c r="G6" s="28" t="s">
        <v>112</v>
      </c>
      <c r="H6" s="28" t="s">
        <v>47</v>
      </c>
      <c r="I6" s="13" t="s">
        <v>0</v>
      </c>
      <c r="J6" s="28" t="s">
        <v>112</v>
      </c>
      <c r="K6" s="28" t="s">
        <v>47</v>
      </c>
      <c r="L6" s="13" t="s">
        <v>0</v>
      </c>
      <c r="M6" s="28" t="s">
        <v>112</v>
      </c>
      <c r="N6" s="28" t="s">
        <v>47</v>
      </c>
      <c r="O6" s="13" t="s">
        <v>0</v>
      </c>
      <c r="P6" s="28" t="s">
        <v>112</v>
      </c>
      <c r="Q6" s="28" t="s">
        <v>47</v>
      </c>
      <c r="R6" s="13" t="s">
        <v>0</v>
      </c>
      <c r="S6" s="28" t="s">
        <v>112</v>
      </c>
      <c r="T6" s="28" t="s">
        <v>47</v>
      </c>
      <c r="U6" s="13" t="s">
        <v>0</v>
      </c>
      <c r="V6" s="28" t="s">
        <v>112</v>
      </c>
      <c r="W6" s="28" t="s">
        <v>47</v>
      </c>
      <c r="X6" s="13" t="s">
        <v>0</v>
      </c>
      <c r="Y6" s="28" t="s">
        <v>112</v>
      </c>
      <c r="Z6" s="28" t="s">
        <v>47</v>
      </c>
      <c r="AA6" s="13" t="s">
        <v>0</v>
      </c>
      <c r="AB6" s="28" t="s">
        <v>112</v>
      </c>
      <c r="AC6" s="28" t="s">
        <v>47</v>
      </c>
      <c r="AD6" s="13" t="s">
        <v>0</v>
      </c>
      <c r="AE6" s="28" t="s">
        <v>112</v>
      </c>
      <c r="AF6" s="28" t="s">
        <v>47</v>
      </c>
      <c r="AG6" s="13" t="s">
        <v>0</v>
      </c>
      <c r="AH6" s="28" t="s">
        <v>112</v>
      </c>
      <c r="AI6" s="28" t="s">
        <v>47</v>
      </c>
      <c r="AJ6" s="28" t="s">
        <v>112</v>
      </c>
      <c r="AK6" s="28" t="s">
        <v>47</v>
      </c>
      <c r="AL6" s="13" t="s">
        <v>0</v>
      </c>
      <c r="AM6" s="28" t="s">
        <v>112</v>
      </c>
      <c r="AN6" s="28" t="s">
        <v>47</v>
      </c>
      <c r="AO6" s="28" t="s">
        <v>112</v>
      </c>
      <c r="AP6" s="28" t="s">
        <v>47</v>
      </c>
      <c r="AQ6" s="28" t="s">
        <v>112</v>
      </c>
      <c r="AR6" s="28" t="s">
        <v>47</v>
      </c>
      <c r="AS6" s="28" t="s">
        <v>112</v>
      </c>
      <c r="AT6" s="28" t="s">
        <v>47</v>
      </c>
      <c r="AU6" s="13" t="s">
        <v>0</v>
      </c>
      <c r="AV6" s="128"/>
      <c r="AW6" s="128"/>
    </row>
    <row r="7" spans="1:51" s="8" customFormat="1" ht="36" customHeight="1">
      <c r="A7" s="13"/>
      <c r="B7" s="14" t="s">
        <v>49</v>
      </c>
      <c r="C7" s="70">
        <f>SUM(C8:C42)</f>
        <v>-2529.8999999999996</v>
      </c>
      <c r="D7" s="15">
        <f>SUM(D8:D42)</f>
        <v>6895.9</v>
      </c>
      <c r="E7" s="15">
        <f>SUM(E8:E42)</f>
        <v>804.9</v>
      </c>
      <c r="F7" s="15">
        <f aca="true" t="shared" si="0" ref="F7:F44">E7/D7*100</f>
        <v>11.672153018460245</v>
      </c>
      <c r="G7" s="15">
        <f>SUM(G8:G42)</f>
        <v>6788.799999999999</v>
      </c>
      <c r="H7" s="15">
        <f>SUM(H8:H42)</f>
        <v>6289.2</v>
      </c>
      <c r="I7" s="15">
        <f>H7/G7*100</f>
        <v>92.64082017440491</v>
      </c>
      <c r="J7" s="15">
        <f>SUM(J8:J42)</f>
        <v>4422.3</v>
      </c>
      <c r="K7" s="15">
        <f>SUM(K8:K42)</f>
        <v>8766.699999999999</v>
      </c>
      <c r="L7" s="15">
        <f>K7/J7*100</f>
        <v>198.2384731926825</v>
      </c>
      <c r="M7" s="15">
        <f>SUM(M8:M42)</f>
        <v>18107</v>
      </c>
      <c r="N7" s="15">
        <f>SUM(N8:N42)</f>
        <v>15860.800000000001</v>
      </c>
      <c r="O7" s="15"/>
      <c r="P7" s="15">
        <f>SUM(P8:P42)</f>
        <v>672.4</v>
      </c>
      <c r="Q7" s="15">
        <f>SUM(Q8:Q42)</f>
        <v>1554.6999999999998</v>
      </c>
      <c r="R7" s="15">
        <f>Q7/P7*100</f>
        <v>231.21653777513384</v>
      </c>
      <c r="S7" s="15">
        <f>SUM(S8:S42)</f>
        <v>131.6</v>
      </c>
      <c r="T7" s="15">
        <f>SUM(T8:T42)</f>
        <v>511.40000000000003</v>
      </c>
      <c r="U7" s="15">
        <f>T7/S7*100</f>
        <v>388.6018237082067</v>
      </c>
      <c r="V7" s="15">
        <f>SUM(V8:V42)</f>
        <v>151</v>
      </c>
      <c r="W7" s="15">
        <f>SUM(W8:W42)</f>
        <v>65.2</v>
      </c>
      <c r="X7" s="15">
        <f>W7/V7*100</f>
        <v>43.17880794701987</v>
      </c>
      <c r="Y7" s="15">
        <f>SUM(Y8:Y42)</f>
        <v>954.9999999999999</v>
      </c>
      <c r="Z7" s="15">
        <f>SUM(Z8:Z42)</f>
        <v>2131.2999999999997</v>
      </c>
      <c r="AA7" s="15"/>
      <c r="AB7" s="15">
        <f>SUM(AB8:AB42)</f>
        <v>162.50000000000003</v>
      </c>
      <c r="AC7" s="15">
        <f>SUM(AC8:AC42)</f>
        <v>182.20000000000002</v>
      </c>
      <c r="AD7" s="15">
        <f>AC7/AB7*100</f>
        <v>112.12307692307691</v>
      </c>
      <c r="AE7" s="15">
        <f>SUM(AE8:AE42)</f>
        <v>116.30000000000001</v>
      </c>
      <c r="AF7" s="15">
        <f>SUM(AF8:AF42)</f>
        <v>119.9</v>
      </c>
      <c r="AG7" s="30">
        <f>AF7/AE7*100</f>
        <v>103.09544282029235</v>
      </c>
      <c r="AH7" s="15">
        <f>SUM(AH8:AH42)</f>
        <v>162.00000000000003</v>
      </c>
      <c r="AI7" s="15">
        <f>SUM(AI8:AI42)</f>
        <v>176.60000000000002</v>
      </c>
      <c r="AJ7" s="15">
        <f>SUM(AJ8:AJ42)</f>
        <v>440.79999999999995</v>
      </c>
      <c r="AK7" s="15">
        <f>SUM(AK8:AK42)</f>
        <v>478.69999999999993</v>
      </c>
      <c r="AL7" s="15"/>
      <c r="AM7" s="15">
        <f aca="true" t="shared" si="1" ref="AM7:AT7">SUM(AM8:AM42)</f>
        <v>2609.8999999999996</v>
      </c>
      <c r="AN7" s="15">
        <f t="shared" si="1"/>
        <v>2825.7</v>
      </c>
      <c r="AO7" s="15">
        <f t="shared" si="1"/>
        <v>7575.400000000001</v>
      </c>
      <c r="AP7" s="15">
        <f t="shared" si="1"/>
        <v>6770.5</v>
      </c>
      <c r="AQ7" s="15">
        <f>SUM(AQ8:AQ42)</f>
        <v>10076.899999999998</v>
      </c>
      <c r="AR7" s="15">
        <f>SUM(AR8:AR42)</f>
        <v>12329.1</v>
      </c>
      <c r="AS7" s="15">
        <f t="shared" si="1"/>
        <v>39765</v>
      </c>
      <c r="AT7" s="15">
        <f t="shared" si="1"/>
        <v>40396.1</v>
      </c>
      <c r="AU7" s="15">
        <f>AT7/AS7*100</f>
        <v>101.5870740601031</v>
      </c>
      <c r="AV7" s="44">
        <f>SUM(AV8:AV42)</f>
        <v>-631.1000000000001</v>
      </c>
      <c r="AW7" s="44">
        <f>SUM(AW8:AW42)</f>
        <v>-3160.9999999999995</v>
      </c>
      <c r="AX7" s="22">
        <f>AS7-AT7</f>
        <v>-631.0999999999985</v>
      </c>
      <c r="AY7" s="22">
        <f>C7+AS7-AT7</f>
        <v>-3161</v>
      </c>
    </row>
    <row r="8" spans="1:49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5">
        <f t="shared" si="0"/>
        <v>0</v>
      </c>
      <c r="G8" s="3">
        <v>341</v>
      </c>
      <c r="H8" s="3">
        <v>405.9</v>
      </c>
      <c r="I8" s="15">
        <f>H8/G8*100</f>
        <v>119.03225806451611</v>
      </c>
      <c r="J8" s="3">
        <v>186.1</v>
      </c>
      <c r="K8" s="3">
        <v>437.1</v>
      </c>
      <c r="L8" s="15">
        <f>K8/J8*100</f>
        <v>234.87372380440627</v>
      </c>
      <c r="M8" s="3">
        <f>D8+G8+J8</f>
        <v>880.3000000000001</v>
      </c>
      <c r="N8" s="3">
        <f>E8+H8+K8</f>
        <v>843</v>
      </c>
      <c r="O8" s="15">
        <f>N8/M8*100</f>
        <v>95.76280813359081</v>
      </c>
      <c r="P8" s="3">
        <v>7</v>
      </c>
      <c r="Q8" s="3">
        <v>44.3</v>
      </c>
      <c r="R8" s="15">
        <f>Q8/P8*100</f>
        <v>632.8571428571428</v>
      </c>
      <c r="S8" s="3">
        <v>0</v>
      </c>
      <c r="T8" s="3">
        <v>0</v>
      </c>
      <c r="U8" s="15"/>
      <c r="V8" s="3">
        <v>0</v>
      </c>
      <c r="W8" s="3">
        <v>0</v>
      </c>
      <c r="X8" s="15"/>
      <c r="Y8" s="3">
        <f>P8+S8+V8</f>
        <v>7</v>
      </c>
      <c r="Z8" s="3">
        <f>Q8+T8+W8</f>
        <v>44.3</v>
      </c>
      <c r="AA8" s="15">
        <f>Z8/Y8*100</f>
        <v>632.8571428571428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0" t="e">
        <f>AF8/AE8*100</f>
        <v>#DIV/0!</v>
      </c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5" t="e">
        <f>AK8/AJ8*100</f>
        <v>#DIV/0!</v>
      </c>
      <c r="AM8" s="3">
        <v>97.8</v>
      </c>
      <c r="AN8" s="3">
        <v>71.6</v>
      </c>
      <c r="AO8" s="3">
        <v>336.8</v>
      </c>
      <c r="AP8" s="3">
        <v>296.3</v>
      </c>
      <c r="AQ8" s="3">
        <v>433.1</v>
      </c>
      <c r="AR8" s="3">
        <v>499.8</v>
      </c>
      <c r="AS8" s="3">
        <f>M8+Y8+AJ8+AM8+AO8+AQ8</f>
        <v>1755</v>
      </c>
      <c r="AT8" s="3">
        <f>N8+Z8+AK8+AN8+AP8+AR8</f>
        <v>1755</v>
      </c>
      <c r="AU8" s="15">
        <f>AT8/AS8*100</f>
        <v>100</v>
      </c>
      <c r="AV8" s="15">
        <f>AS8-AT8</f>
        <v>0</v>
      </c>
      <c r="AW8" s="4">
        <f>C8+AS8-AT8</f>
        <v>0</v>
      </c>
    </row>
    <row r="9" spans="1:49" ht="36.75" customHeight="1">
      <c r="A9" s="6">
        <v>2</v>
      </c>
      <c r="B9" s="34" t="s">
        <v>81</v>
      </c>
      <c r="C9" s="2">
        <v>-120.5</v>
      </c>
      <c r="D9" s="3">
        <v>191.9</v>
      </c>
      <c r="E9" s="3">
        <v>0</v>
      </c>
      <c r="F9" s="15">
        <f t="shared" si="0"/>
        <v>0</v>
      </c>
      <c r="G9" s="3">
        <v>154</v>
      </c>
      <c r="H9" s="3">
        <v>160.5</v>
      </c>
      <c r="I9" s="15">
        <f aca="true" t="shared" si="2" ref="I9:I21">H9/G9*100</f>
        <v>104.2207792207792</v>
      </c>
      <c r="J9" s="3">
        <v>48.4</v>
      </c>
      <c r="K9" s="3">
        <v>91.2</v>
      </c>
      <c r="L9" s="15">
        <f>K9/J9*100</f>
        <v>188.42975206611573</v>
      </c>
      <c r="M9" s="3">
        <f>D9+G9+J9</f>
        <v>394.29999999999995</v>
      </c>
      <c r="N9" s="3">
        <f>E9+H9+K9</f>
        <v>251.7</v>
      </c>
      <c r="O9" s="15">
        <f aca="true" t="shared" si="3" ref="O9:O46">N9/M9*100</f>
        <v>63.834643672330714</v>
      </c>
      <c r="P9" s="3">
        <v>0</v>
      </c>
      <c r="Q9" s="3">
        <v>22.1</v>
      </c>
      <c r="R9" s="30" t="e">
        <f>Q9/P9*100</f>
        <v>#DIV/0!</v>
      </c>
      <c r="S9" s="3">
        <v>0</v>
      </c>
      <c r="T9" s="3">
        <v>0</v>
      </c>
      <c r="U9" s="30" t="e">
        <f>T9/S9*100</f>
        <v>#DIV/0!</v>
      </c>
      <c r="V9" s="3">
        <v>0</v>
      </c>
      <c r="W9" s="3">
        <v>0</v>
      </c>
      <c r="X9" s="30" t="e">
        <f>W9/V9*100</f>
        <v>#DIV/0!</v>
      </c>
      <c r="Y9" s="3">
        <f>P9+S9+V9</f>
        <v>0</v>
      </c>
      <c r="Z9" s="3">
        <f>Q9+T9+W9</f>
        <v>22.1</v>
      </c>
      <c r="AA9" s="30" t="e">
        <f>Z9/Y9*100</f>
        <v>#DIV/0!</v>
      </c>
      <c r="AB9" s="3">
        <v>0</v>
      </c>
      <c r="AC9" s="3">
        <v>0</v>
      </c>
      <c r="AD9" s="46">
        <v>0</v>
      </c>
      <c r="AE9" s="3">
        <v>0</v>
      </c>
      <c r="AF9" s="3">
        <v>0</v>
      </c>
      <c r="AG9" s="30" t="e">
        <f aca="true" t="shared" si="4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30" t="e">
        <f>AK9/AJ9*100</f>
        <v>#DIV/0!</v>
      </c>
      <c r="AM9" s="3">
        <v>0</v>
      </c>
      <c r="AN9" s="3">
        <v>0</v>
      </c>
      <c r="AO9" s="3">
        <v>247</v>
      </c>
      <c r="AP9" s="3">
        <v>0</v>
      </c>
      <c r="AQ9" s="3">
        <v>266.1</v>
      </c>
      <c r="AR9" s="3">
        <v>739.3</v>
      </c>
      <c r="AS9" s="3">
        <f>M9+Y9+AJ9+AM9+AO9+AQ9</f>
        <v>907.4</v>
      </c>
      <c r="AT9" s="3">
        <f>N9+Z9+AK9+AN9+AP9+AR9</f>
        <v>1013.0999999999999</v>
      </c>
      <c r="AU9" s="15">
        <f>AT9/AS9*100</f>
        <v>111.64866651972669</v>
      </c>
      <c r="AV9" s="15">
        <f>AS9-AT9</f>
        <v>-105.69999999999993</v>
      </c>
      <c r="AW9" s="4">
        <f>C9+AS9-AT9</f>
        <v>-226.19999999999993</v>
      </c>
    </row>
    <row r="10" spans="1:49" ht="36" customHeight="1">
      <c r="A10" s="6">
        <v>3</v>
      </c>
      <c r="B10" s="16" t="s">
        <v>96</v>
      </c>
      <c r="C10" s="80">
        <v>0</v>
      </c>
      <c r="D10" s="23"/>
      <c r="E10" s="23"/>
      <c r="F10" s="38" t="e">
        <f t="shared" si="0"/>
        <v>#DIV/0!</v>
      </c>
      <c r="G10" s="23"/>
      <c r="H10" s="23"/>
      <c r="I10" s="38" t="e">
        <f t="shared" si="2"/>
        <v>#DIV/0!</v>
      </c>
      <c r="J10" s="23"/>
      <c r="K10" s="23"/>
      <c r="L10" s="38" t="e">
        <f>K10/J10*100</f>
        <v>#DIV/0!</v>
      </c>
      <c r="M10" s="3"/>
      <c r="N10" s="3"/>
      <c r="O10" s="15"/>
      <c r="P10" s="23"/>
      <c r="Q10" s="23"/>
      <c r="R10" s="38" t="e">
        <f>Q10/P10*100</f>
        <v>#DIV/0!</v>
      </c>
      <c r="S10" s="23"/>
      <c r="T10" s="23"/>
      <c r="U10" s="38" t="e">
        <f>T10/S10*100</f>
        <v>#DIV/0!</v>
      </c>
      <c r="V10" s="23"/>
      <c r="W10" s="23"/>
      <c r="X10" s="38" t="e">
        <f>W10/V10*100</f>
        <v>#DIV/0!</v>
      </c>
      <c r="Y10" s="3"/>
      <c r="Z10" s="3"/>
      <c r="AA10" s="15"/>
      <c r="AB10" s="23"/>
      <c r="AC10" s="23"/>
      <c r="AD10" s="23" t="e">
        <f>AC10/AB10*100</f>
        <v>#DIV/0!</v>
      </c>
      <c r="AE10" s="23"/>
      <c r="AF10" s="23"/>
      <c r="AG10" s="30" t="e">
        <f t="shared" si="4"/>
        <v>#DIV/0!</v>
      </c>
      <c r="AH10" s="23"/>
      <c r="AI10" s="23"/>
      <c r="AJ10" s="3"/>
      <c r="AK10" s="3"/>
      <c r="AL10" s="15"/>
      <c r="AM10" s="23"/>
      <c r="AN10" s="23"/>
      <c r="AO10" s="23"/>
      <c r="AP10" s="23"/>
      <c r="AQ10" s="23"/>
      <c r="AR10" s="23"/>
      <c r="AS10" s="3"/>
      <c r="AT10" s="3"/>
      <c r="AU10" s="38" t="e">
        <f>AT10/AS10*100</f>
        <v>#DIV/0!</v>
      </c>
      <c r="AV10" s="15"/>
      <c r="AW10" s="4"/>
    </row>
    <row r="11" spans="1:49" ht="24" customHeight="1">
      <c r="A11" s="6">
        <v>4</v>
      </c>
      <c r="B11" s="1" t="s">
        <v>107</v>
      </c>
      <c r="C11" s="2"/>
      <c r="D11" s="3"/>
      <c r="E11" s="3"/>
      <c r="F11" s="15"/>
      <c r="G11" s="3"/>
      <c r="H11" s="3"/>
      <c r="I11" s="38" t="e">
        <f t="shared" si="2"/>
        <v>#DIV/0!</v>
      </c>
      <c r="J11" s="3"/>
      <c r="K11" s="3"/>
      <c r="L11" s="38" t="e">
        <f>K11/J11*100</f>
        <v>#DIV/0!</v>
      </c>
      <c r="M11" s="3"/>
      <c r="N11" s="3"/>
      <c r="O11" s="15"/>
      <c r="P11" s="3"/>
      <c r="Q11" s="3"/>
      <c r="R11" s="38" t="e">
        <f>Q11/P11*100</f>
        <v>#DIV/0!</v>
      </c>
      <c r="S11" s="3"/>
      <c r="T11" s="3"/>
      <c r="U11" s="38" t="e">
        <f>T11/S11*100</f>
        <v>#DIV/0!</v>
      </c>
      <c r="V11" s="3"/>
      <c r="W11" s="3"/>
      <c r="X11" s="38" t="e">
        <f>W11/V11*100</f>
        <v>#DIV/0!</v>
      </c>
      <c r="Y11" s="3"/>
      <c r="Z11" s="3"/>
      <c r="AA11" s="15"/>
      <c r="AB11" s="3"/>
      <c r="AC11" s="3"/>
      <c r="AD11" s="23" t="e">
        <f>AC11/AB11*100</f>
        <v>#DIV/0!</v>
      </c>
      <c r="AE11" s="3"/>
      <c r="AF11" s="3"/>
      <c r="AG11" s="30" t="e">
        <f t="shared" si="4"/>
        <v>#DIV/0!</v>
      </c>
      <c r="AH11" s="3"/>
      <c r="AI11" s="3"/>
      <c r="AJ11" s="3"/>
      <c r="AK11" s="3"/>
      <c r="AL11" s="15"/>
      <c r="AM11" s="3"/>
      <c r="AN11" s="3"/>
      <c r="AO11" s="3"/>
      <c r="AP11" s="3"/>
      <c r="AQ11" s="3"/>
      <c r="AR11" s="3"/>
      <c r="AS11" s="3"/>
      <c r="AT11" s="3"/>
      <c r="AU11" s="38"/>
      <c r="AV11" s="15"/>
      <c r="AW11" s="4"/>
    </row>
    <row r="12" spans="1:49" s="45" customFormat="1" ht="24" customHeight="1">
      <c r="A12" s="6">
        <v>5</v>
      </c>
      <c r="B12" s="1" t="s">
        <v>79</v>
      </c>
      <c r="C12" s="80">
        <v>0</v>
      </c>
      <c r="D12" s="23"/>
      <c r="E12" s="23"/>
      <c r="F12" s="38" t="e">
        <f t="shared" si="0"/>
        <v>#DIV/0!</v>
      </c>
      <c r="G12" s="3"/>
      <c r="H12" s="3"/>
      <c r="I12" s="15"/>
      <c r="J12" s="3"/>
      <c r="K12" s="3"/>
      <c r="L12" s="15"/>
      <c r="M12" s="3"/>
      <c r="N12" s="3"/>
      <c r="O12" s="15"/>
      <c r="P12" s="3"/>
      <c r="Q12" s="3"/>
      <c r="R12" s="15"/>
      <c r="S12" s="3"/>
      <c r="T12" s="3"/>
      <c r="U12" s="15"/>
      <c r="V12" s="3"/>
      <c r="W12" s="3"/>
      <c r="X12" s="15"/>
      <c r="Y12" s="3"/>
      <c r="Z12" s="3"/>
      <c r="AA12" s="15"/>
      <c r="AB12" s="3"/>
      <c r="AC12" s="3"/>
      <c r="AD12" s="3"/>
      <c r="AE12" s="3"/>
      <c r="AF12" s="3"/>
      <c r="AG12" s="30" t="e">
        <f t="shared" si="4"/>
        <v>#DIV/0!</v>
      </c>
      <c r="AH12" s="3"/>
      <c r="AI12" s="3"/>
      <c r="AJ12" s="3"/>
      <c r="AK12" s="3"/>
      <c r="AL12" s="15"/>
      <c r="AM12" s="3"/>
      <c r="AN12" s="3"/>
      <c r="AO12" s="3"/>
      <c r="AP12" s="3"/>
      <c r="AQ12" s="3"/>
      <c r="AR12" s="3"/>
      <c r="AS12" s="3"/>
      <c r="AT12" s="3"/>
      <c r="AU12" s="15"/>
      <c r="AV12" s="15"/>
      <c r="AW12" s="4"/>
    </row>
    <row r="13" spans="1:49" s="4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5">
        <v>0</v>
      </c>
      <c r="G13" s="3">
        <v>36.3</v>
      </c>
      <c r="H13" s="3">
        <v>30.6</v>
      </c>
      <c r="I13" s="15">
        <f t="shared" si="2"/>
        <v>84.29752066115704</v>
      </c>
      <c r="J13" s="3">
        <v>25.4</v>
      </c>
      <c r="K13" s="3">
        <v>36.3</v>
      </c>
      <c r="L13" s="15">
        <f>K13/J13*100</f>
        <v>142.91338582677164</v>
      </c>
      <c r="M13" s="3">
        <f>D13+G13+J13</f>
        <v>102.69999999999999</v>
      </c>
      <c r="N13" s="3">
        <f>E13+H13+K13</f>
        <v>66.9</v>
      </c>
      <c r="O13" s="15">
        <f t="shared" si="3"/>
        <v>65.14118792599807</v>
      </c>
      <c r="P13" s="3">
        <v>0</v>
      </c>
      <c r="Q13" s="3">
        <v>25.4</v>
      </c>
      <c r="R13" s="30" t="e">
        <f>Q13/P13*100</f>
        <v>#DIV/0!</v>
      </c>
      <c r="S13" s="3">
        <v>0</v>
      </c>
      <c r="T13" s="3">
        <v>0</v>
      </c>
      <c r="U13" s="30" t="e">
        <f>T13/S13*100</f>
        <v>#DIV/0!</v>
      </c>
      <c r="V13" s="3">
        <v>0</v>
      </c>
      <c r="W13" s="3">
        <v>0</v>
      </c>
      <c r="X13" s="30" t="e">
        <f>W13/V13*100</f>
        <v>#DIV/0!</v>
      </c>
      <c r="Y13" s="3">
        <f>P13+S13+V13</f>
        <v>0</v>
      </c>
      <c r="Z13" s="3">
        <f>Q13+T13+W13</f>
        <v>25.4</v>
      </c>
      <c r="AA13" s="30" t="e">
        <f>Z13/Y13*100</f>
        <v>#DIV/0!</v>
      </c>
      <c r="AB13" s="3">
        <v>0</v>
      </c>
      <c r="AC13" s="3">
        <v>0</v>
      </c>
      <c r="AD13" s="46">
        <v>0</v>
      </c>
      <c r="AE13" s="3"/>
      <c r="AF13" s="3"/>
      <c r="AG13" s="30" t="e">
        <f t="shared" si="4"/>
        <v>#DIV/0!</v>
      </c>
      <c r="AH13" s="3"/>
      <c r="AI13" s="3"/>
      <c r="AJ13" s="3">
        <f>AB13+AE13+AH13</f>
        <v>0</v>
      </c>
      <c r="AK13" s="3">
        <f>AC13+AF13+AI13</f>
        <v>0</v>
      </c>
      <c r="AL13" s="30" t="e">
        <f>AK13/AJ13*100</f>
        <v>#DIV/0!</v>
      </c>
      <c r="AM13" s="3">
        <v>12</v>
      </c>
      <c r="AN13" s="3">
        <v>0</v>
      </c>
      <c r="AO13" s="3">
        <v>53.4</v>
      </c>
      <c r="AP13" s="3">
        <v>12</v>
      </c>
      <c r="AQ13" s="3">
        <v>49.2</v>
      </c>
      <c r="AR13" s="3">
        <v>93.6</v>
      </c>
      <c r="AS13" s="3">
        <f>M13+Y13+AJ13+AM13+AO13+AQ13</f>
        <v>217.3</v>
      </c>
      <c r="AT13" s="3">
        <f>N13+Z13+AK13+AN13+AP13+AR13</f>
        <v>197.9</v>
      </c>
      <c r="AU13" s="15">
        <f aca="true" t="shared" si="5" ref="AU13:AU22">AT13/AS13*100</f>
        <v>91.07225034514495</v>
      </c>
      <c r="AV13" s="15">
        <f>AS13-AT13</f>
        <v>19.400000000000006</v>
      </c>
      <c r="AW13" s="4">
        <f>C13+AS13-AT13</f>
        <v>9</v>
      </c>
    </row>
    <row r="14" spans="1:49" ht="24" customHeight="1">
      <c r="A14" s="6">
        <v>7</v>
      </c>
      <c r="B14" s="1" t="s">
        <v>52</v>
      </c>
      <c r="C14" s="80">
        <v>0</v>
      </c>
      <c r="D14" s="23"/>
      <c r="E14" s="23"/>
      <c r="F14" s="38" t="e">
        <f t="shared" si="0"/>
        <v>#DIV/0!</v>
      </c>
      <c r="G14" s="23"/>
      <c r="H14" s="23"/>
      <c r="I14" s="38" t="e">
        <f t="shared" si="2"/>
        <v>#DIV/0!</v>
      </c>
      <c r="J14" s="23"/>
      <c r="K14" s="23"/>
      <c r="L14" s="38" t="e">
        <f>K14/J14*100</f>
        <v>#DIV/0!</v>
      </c>
      <c r="M14" s="3"/>
      <c r="N14" s="3"/>
      <c r="O14" s="15"/>
      <c r="P14" s="23"/>
      <c r="Q14" s="23"/>
      <c r="R14" s="38" t="e">
        <f>Q14/P14*100</f>
        <v>#DIV/0!</v>
      </c>
      <c r="S14" s="23"/>
      <c r="T14" s="23"/>
      <c r="U14" s="38" t="e">
        <f>T14/S14*100</f>
        <v>#DIV/0!</v>
      </c>
      <c r="V14" s="23"/>
      <c r="W14" s="23"/>
      <c r="X14" s="38" t="e">
        <f>W14/V14*100</f>
        <v>#DIV/0!</v>
      </c>
      <c r="Y14" s="3"/>
      <c r="Z14" s="3"/>
      <c r="AA14" s="15"/>
      <c r="AB14" s="23"/>
      <c r="AC14" s="23"/>
      <c r="AD14" s="23" t="e">
        <f>AC14/AB14*100</f>
        <v>#DIV/0!</v>
      </c>
      <c r="AE14" s="23"/>
      <c r="AF14" s="23"/>
      <c r="AG14" s="30" t="e">
        <f t="shared" si="4"/>
        <v>#DIV/0!</v>
      </c>
      <c r="AH14" s="23"/>
      <c r="AI14" s="23"/>
      <c r="AJ14" s="3"/>
      <c r="AK14" s="3"/>
      <c r="AL14" s="15"/>
      <c r="AM14" s="23"/>
      <c r="AN14" s="23"/>
      <c r="AO14" s="23"/>
      <c r="AP14" s="23"/>
      <c r="AQ14" s="23"/>
      <c r="AR14" s="23"/>
      <c r="AS14" s="3"/>
      <c r="AT14" s="3"/>
      <c r="AU14" s="38" t="e">
        <f t="shared" si="5"/>
        <v>#DIV/0!</v>
      </c>
      <c r="AV14" s="15"/>
      <c r="AW14" s="4"/>
    </row>
    <row r="15" spans="1:49" s="4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5">
        <f t="shared" si="0"/>
        <v>15.278396436525613</v>
      </c>
      <c r="G15" s="3">
        <v>441.2</v>
      </c>
      <c r="H15" s="3">
        <v>74</v>
      </c>
      <c r="I15" s="15">
        <f t="shared" si="2"/>
        <v>16.772438803263825</v>
      </c>
      <c r="J15" s="3">
        <v>324.3</v>
      </c>
      <c r="K15" s="3">
        <v>1024.3</v>
      </c>
      <c r="L15" s="15">
        <f>K15/J15*100</f>
        <v>315.84952204748686</v>
      </c>
      <c r="M15" s="3">
        <f>D15+G15+J15</f>
        <v>1214.5</v>
      </c>
      <c r="N15" s="3">
        <f>E15+H15+K15</f>
        <v>1166.8999999999999</v>
      </c>
      <c r="O15" s="15">
        <f t="shared" si="3"/>
        <v>96.08069164265129</v>
      </c>
      <c r="P15" s="3">
        <v>23.4</v>
      </c>
      <c r="Q15" s="3">
        <v>11.6</v>
      </c>
      <c r="R15" s="15">
        <f>Q15/P15*100</f>
        <v>49.572649572649574</v>
      </c>
      <c r="S15" s="3">
        <v>0</v>
      </c>
      <c r="T15" s="3">
        <v>0</v>
      </c>
      <c r="U15" s="15"/>
      <c r="V15" s="3">
        <v>0</v>
      </c>
      <c r="W15" s="3">
        <v>0</v>
      </c>
      <c r="X15" s="15"/>
      <c r="Y15" s="3">
        <f>P15+S15+V15</f>
        <v>23.4</v>
      </c>
      <c r="Z15" s="3">
        <f>Q15+T15+W15</f>
        <v>11.6</v>
      </c>
      <c r="AA15" s="15">
        <f>Z15/Y15*100</f>
        <v>49.572649572649574</v>
      </c>
      <c r="AB15" s="3">
        <v>0</v>
      </c>
      <c r="AC15" s="3">
        <v>11.4</v>
      </c>
      <c r="AD15" s="3"/>
      <c r="AE15" s="3">
        <v>0</v>
      </c>
      <c r="AF15" s="3">
        <v>0</v>
      </c>
      <c r="AG15" s="30" t="e">
        <f t="shared" si="4"/>
        <v>#DIV/0!</v>
      </c>
      <c r="AH15" s="3">
        <v>0</v>
      </c>
      <c r="AI15" s="3">
        <v>0</v>
      </c>
      <c r="AJ15" s="3">
        <f>AB15+AE15+AH15</f>
        <v>0</v>
      </c>
      <c r="AK15" s="3">
        <f>AC15+AF15+AI15</f>
        <v>11.4</v>
      </c>
      <c r="AL15" s="15" t="e">
        <f>AK15/AJ15*100</f>
        <v>#DIV/0!</v>
      </c>
      <c r="AM15" s="3">
        <v>229.1</v>
      </c>
      <c r="AN15" s="3">
        <v>412.3</v>
      </c>
      <c r="AO15" s="3">
        <v>590.8</v>
      </c>
      <c r="AP15" s="3">
        <v>597.9</v>
      </c>
      <c r="AQ15" s="3">
        <v>809.6</v>
      </c>
      <c r="AR15" s="3">
        <v>617.5</v>
      </c>
      <c r="AS15" s="3">
        <f>M15+Y15+AJ15+AM15+AO15+AQ15</f>
        <v>2867.4</v>
      </c>
      <c r="AT15" s="3">
        <f>N15+Z15+AK15+AN15+AP15+AR15</f>
        <v>2817.6</v>
      </c>
      <c r="AU15" s="15">
        <f t="shared" si="5"/>
        <v>98.26323498639881</v>
      </c>
      <c r="AV15" s="15">
        <f>AS15-AT15</f>
        <v>49.80000000000018</v>
      </c>
      <c r="AW15" s="4">
        <f>C15+AS15-AT15</f>
        <v>-11.799999999999727</v>
      </c>
    </row>
    <row r="16" spans="1:49" s="45" customFormat="1" ht="24" customHeight="1">
      <c r="A16" s="6">
        <v>9</v>
      </c>
      <c r="B16" s="1" t="s">
        <v>54</v>
      </c>
      <c r="C16" s="80">
        <v>0</v>
      </c>
      <c r="D16" s="23"/>
      <c r="E16" s="23"/>
      <c r="F16" s="38" t="e">
        <f t="shared" si="0"/>
        <v>#DIV/0!</v>
      </c>
      <c r="G16" s="23"/>
      <c r="H16" s="23"/>
      <c r="I16" s="38" t="e">
        <f t="shared" si="2"/>
        <v>#DIV/0!</v>
      </c>
      <c r="J16" s="23"/>
      <c r="K16" s="23"/>
      <c r="L16" s="38" t="e">
        <f>K16/J16*100</f>
        <v>#DIV/0!</v>
      </c>
      <c r="M16" s="3"/>
      <c r="N16" s="3"/>
      <c r="O16" s="15"/>
      <c r="P16" s="23"/>
      <c r="Q16" s="23"/>
      <c r="R16" s="38" t="e">
        <f>Q16/P16*100</f>
        <v>#DIV/0!</v>
      </c>
      <c r="S16" s="23"/>
      <c r="T16" s="23"/>
      <c r="U16" s="38" t="e">
        <f>T16/S16*100</f>
        <v>#DIV/0!</v>
      </c>
      <c r="V16" s="23"/>
      <c r="W16" s="23"/>
      <c r="X16" s="38" t="e">
        <f>W16/V16*100</f>
        <v>#DIV/0!</v>
      </c>
      <c r="Y16" s="3"/>
      <c r="Z16" s="3"/>
      <c r="AA16" s="15"/>
      <c r="AB16" s="23"/>
      <c r="AC16" s="23"/>
      <c r="AD16" s="23" t="e">
        <f>AC16/AB16*100</f>
        <v>#DIV/0!</v>
      </c>
      <c r="AE16" s="23"/>
      <c r="AF16" s="23"/>
      <c r="AG16" s="30"/>
      <c r="AH16" s="23"/>
      <c r="AI16" s="23"/>
      <c r="AJ16" s="3"/>
      <c r="AK16" s="3"/>
      <c r="AL16" s="15"/>
      <c r="AM16" s="23"/>
      <c r="AN16" s="23"/>
      <c r="AO16" s="23"/>
      <c r="AP16" s="23"/>
      <c r="AQ16" s="23"/>
      <c r="AR16" s="23"/>
      <c r="AS16" s="3"/>
      <c r="AT16" s="3"/>
      <c r="AU16" s="38" t="e">
        <f t="shared" si="5"/>
        <v>#DIV/0!</v>
      </c>
      <c r="AV16" s="15"/>
      <c r="AW16" s="4"/>
    </row>
    <row r="17" spans="1:49" ht="24" customHeight="1">
      <c r="A17" s="6">
        <v>10</v>
      </c>
      <c r="B17" s="16" t="s">
        <v>55</v>
      </c>
      <c r="C17" s="80">
        <v>0</v>
      </c>
      <c r="D17" s="23"/>
      <c r="E17" s="23"/>
      <c r="F17" s="38" t="e">
        <f t="shared" si="0"/>
        <v>#DIV/0!</v>
      </c>
      <c r="G17" s="3"/>
      <c r="H17" s="3"/>
      <c r="I17" s="15"/>
      <c r="J17" s="3"/>
      <c r="K17" s="3"/>
      <c r="L17" s="15"/>
      <c r="M17" s="3"/>
      <c r="N17" s="3"/>
      <c r="O17" s="15"/>
      <c r="P17" s="3"/>
      <c r="Q17" s="3"/>
      <c r="R17" s="15"/>
      <c r="S17" s="3"/>
      <c r="T17" s="3"/>
      <c r="U17" s="15"/>
      <c r="V17" s="3"/>
      <c r="W17" s="3"/>
      <c r="X17" s="15"/>
      <c r="Y17" s="3"/>
      <c r="Z17" s="3"/>
      <c r="AA17" s="15"/>
      <c r="AB17" s="3"/>
      <c r="AC17" s="3"/>
      <c r="AD17" s="3"/>
      <c r="AE17" s="3"/>
      <c r="AF17" s="3"/>
      <c r="AG17" s="30" t="e">
        <f>AF17/AE17*100</f>
        <v>#DIV/0!</v>
      </c>
      <c r="AH17" s="3"/>
      <c r="AI17" s="3"/>
      <c r="AJ17" s="3"/>
      <c r="AK17" s="3"/>
      <c r="AL17" s="15"/>
      <c r="AM17" s="3"/>
      <c r="AN17" s="3"/>
      <c r="AO17" s="3"/>
      <c r="AP17" s="3"/>
      <c r="AQ17" s="3"/>
      <c r="AR17" s="3"/>
      <c r="AS17" s="3"/>
      <c r="AT17" s="3"/>
      <c r="AU17" s="15"/>
      <c r="AV17" s="15"/>
      <c r="AW17" s="4"/>
    </row>
    <row r="18" spans="1:49" ht="24" customHeight="1">
      <c r="A18" s="6">
        <v>11</v>
      </c>
      <c r="B18" s="16" t="s">
        <v>56</v>
      </c>
      <c r="C18" s="80">
        <v>0</v>
      </c>
      <c r="D18" s="23"/>
      <c r="E18" s="23"/>
      <c r="F18" s="38" t="e">
        <f t="shared" si="0"/>
        <v>#DIV/0!</v>
      </c>
      <c r="G18" s="3"/>
      <c r="H18" s="3"/>
      <c r="I18" s="15"/>
      <c r="J18" s="3"/>
      <c r="K18" s="3"/>
      <c r="L18" s="15"/>
      <c r="M18" s="3"/>
      <c r="N18" s="3"/>
      <c r="O18" s="15"/>
      <c r="P18" s="3"/>
      <c r="Q18" s="3"/>
      <c r="R18" s="15"/>
      <c r="S18" s="3"/>
      <c r="T18" s="3"/>
      <c r="U18" s="15"/>
      <c r="V18" s="3"/>
      <c r="W18" s="3"/>
      <c r="X18" s="15"/>
      <c r="Y18" s="3"/>
      <c r="Z18" s="3"/>
      <c r="AA18" s="15"/>
      <c r="AB18" s="3"/>
      <c r="AC18" s="3"/>
      <c r="AD18" s="3"/>
      <c r="AE18" s="3"/>
      <c r="AF18" s="3"/>
      <c r="AG18" s="30" t="e">
        <f>AF18/AE18*100</f>
        <v>#DIV/0!</v>
      </c>
      <c r="AH18" s="3"/>
      <c r="AI18" s="3"/>
      <c r="AJ18" s="3"/>
      <c r="AK18" s="3"/>
      <c r="AL18" s="15"/>
      <c r="AM18" s="3"/>
      <c r="AN18" s="3"/>
      <c r="AO18" s="3"/>
      <c r="AP18" s="3"/>
      <c r="AQ18" s="3"/>
      <c r="AR18" s="3"/>
      <c r="AS18" s="3"/>
      <c r="AT18" s="3"/>
      <c r="AU18" s="15"/>
      <c r="AV18" s="15"/>
      <c r="AW18" s="4"/>
    </row>
    <row r="19" spans="1:49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5">
        <f t="shared" si="0"/>
        <v>0</v>
      </c>
      <c r="G19" s="3">
        <f>66.9+702.5</f>
        <v>769.4</v>
      </c>
      <c r="H19" s="3">
        <f>96+1033.5</f>
        <v>1129.5</v>
      </c>
      <c r="I19" s="15">
        <f t="shared" si="2"/>
        <v>146.80270340525087</v>
      </c>
      <c r="J19" s="3">
        <f>44.2+428.5</f>
        <v>472.7</v>
      </c>
      <c r="K19" s="3">
        <v>200</v>
      </c>
      <c r="L19" s="15">
        <f>K19/J19*100</f>
        <v>42.31013327691983</v>
      </c>
      <c r="M19" s="3">
        <f>D19+G19+J19</f>
        <v>1732.8999999999999</v>
      </c>
      <c r="N19" s="3">
        <f>E19+H19+K19</f>
        <v>1329.5</v>
      </c>
      <c r="O19" s="15">
        <f t="shared" si="3"/>
        <v>76.72110335276128</v>
      </c>
      <c r="P19" s="3">
        <v>0</v>
      </c>
      <c r="Q19" s="3">
        <v>0</v>
      </c>
      <c r="R19" s="30" t="e">
        <f>Q19/P19*100</f>
        <v>#DIV/0!</v>
      </c>
      <c r="S19" s="3">
        <v>0</v>
      </c>
      <c r="T19" s="3">
        <v>16.3</v>
      </c>
      <c r="U19" s="30" t="e">
        <f>T19/S19*100</f>
        <v>#DIV/0!</v>
      </c>
      <c r="V19" s="3">
        <v>0</v>
      </c>
      <c r="W19" s="3">
        <v>0</v>
      </c>
      <c r="X19" s="30" t="e">
        <f>W19/V19*100</f>
        <v>#DIV/0!</v>
      </c>
      <c r="Y19" s="3">
        <f>P19+S19+V19</f>
        <v>0</v>
      </c>
      <c r="Z19" s="3">
        <f>Q19+T19+W19</f>
        <v>16.3</v>
      </c>
      <c r="AA19" s="30" t="e">
        <f>Z19/Y19*100</f>
        <v>#DIV/0!</v>
      </c>
      <c r="AB19" s="3">
        <v>0</v>
      </c>
      <c r="AC19" s="3">
        <v>0</v>
      </c>
      <c r="AD19" s="46">
        <v>0</v>
      </c>
      <c r="AE19" s="3"/>
      <c r="AF19" s="3"/>
      <c r="AG19" s="30" t="e">
        <f>AF19/AE19*100</f>
        <v>#DIV/0!</v>
      </c>
      <c r="AH19" s="3"/>
      <c r="AI19" s="3"/>
      <c r="AJ19" s="3">
        <f aca="true" t="shared" si="6" ref="AJ19:AK21">AB19+AE19+AH19</f>
        <v>0</v>
      </c>
      <c r="AK19" s="3">
        <f t="shared" si="6"/>
        <v>0</v>
      </c>
      <c r="AL19" s="30" t="e">
        <f>AK19/AJ19*100</f>
        <v>#DIV/0!</v>
      </c>
      <c r="AM19" s="3">
        <v>365.7</v>
      </c>
      <c r="AN19" s="3">
        <v>971.3</v>
      </c>
      <c r="AO19" s="3">
        <v>1163.9</v>
      </c>
      <c r="AP19" s="3">
        <v>966.4</v>
      </c>
      <c r="AQ19" s="3">
        <v>1193.7</v>
      </c>
      <c r="AR19" s="3">
        <v>797.7</v>
      </c>
      <c r="AS19" s="3">
        <f>M19+Y19+AJ19+AM19+AO19+AQ19</f>
        <v>4456.2</v>
      </c>
      <c r="AT19" s="3">
        <f>N19+Z19+AK19+AN19+AP19+AR19</f>
        <v>4081.2</v>
      </c>
      <c r="AU19" s="15">
        <f t="shared" si="5"/>
        <v>91.58475831425878</v>
      </c>
      <c r="AV19" s="15">
        <f>AS19-AT19</f>
        <v>375</v>
      </c>
      <c r="AW19" s="4">
        <f>C19+AS19-AT19</f>
        <v>-0.09999999999990905</v>
      </c>
    </row>
    <row r="20" spans="1:49" ht="24" customHeight="1">
      <c r="A20" s="6">
        <v>13</v>
      </c>
      <c r="B20" s="16" t="s">
        <v>57</v>
      </c>
      <c r="C20" s="2">
        <v>-1.7</v>
      </c>
      <c r="D20" s="3"/>
      <c r="E20" s="3"/>
      <c r="F20" s="30"/>
      <c r="G20" s="23"/>
      <c r="H20" s="23"/>
      <c r="I20" s="15"/>
      <c r="J20" s="23"/>
      <c r="K20" s="23"/>
      <c r="L20" s="15"/>
      <c r="M20" s="3"/>
      <c r="N20" s="3"/>
      <c r="O20" s="15"/>
      <c r="P20" s="23"/>
      <c r="Q20" s="23"/>
      <c r="R20" s="15"/>
      <c r="S20" s="23"/>
      <c r="T20" s="23"/>
      <c r="U20" s="15"/>
      <c r="V20" s="23"/>
      <c r="W20" s="23"/>
      <c r="X20" s="15"/>
      <c r="Y20" s="3"/>
      <c r="Z20" s="3"/>
      <c r="AA20" s="15"/>
      <c r="AB20" s="23"/>
      <c r="AC20" s="23"/>
      <c r="AD20" s="3"/>
      <c r="AE20" s="23"/>
      <c r="AF20" s="23"/>
      <c r="AG20" s="30"/>
      <c r="AH20" s="23"/>
      <c r="AI20" s="23"/>
      <c r="AJ20" s="3">
        <f t="shared" si="6"/>
        <v>0</v>
      </c>
      <c r="AK20" s="3">
        <f t="shared" si="6"/>
        <v>0</v>
      </c>
      <c r="AL20" s="15"/>
      <c r="AM20" s="23"/>
      <c r="AN20" s="23"/>
      <c r="AO20" s="23"/>
      <c r="AP20" s="23"/>
      <c r="AQ20" s="23"/>
      <c r="AR20" s="23"/>
      <c r="AS20" s="3"/>
      <c r="AT20" s="3"/>
      <c r="AU20" s="15"/>
      <c r="AV20" s="15">
        <f>AS20-AT20</f>
        <v>0</v>
      </c>
      <c r="AW20" s="4">
        <f>C20+AS20-AT20</f>
        <v>-1.7</v>
      </c>
    </row>
    <row r="21" spans="1:49" ht="24" customHeight="1">
      <c r="A21" s="6">
        <v>14</v>
      </c>
      <c r="B21" s="16" t="s">
        <v>58</v>
      </c>
      <c r="C21" s="2">
        <v>-438</v>
      </c>
      <c r="D21" s="3">
        <v>565.3</v>
      </c>
      <c r="E21" s="3">
        <v>0</v>
      </c>
      <c r="F21" s="15">
        <f t="shared" si="0"/>
        <v>0</v>
      </c>
      <c r="G21" s="46">
        <v>463.5</v>
      </c>
      <c r="H21" s="46">
        <v>580</v>
      </c>
      <c r="I21" s="15">
        <f t="shared" si="2"/>
        <v>125.13484358144554</v>
      </c>
      <c r="J21" s="46">
        <v>328.2</v>
      </c>
      <c r="K21" s="46">
        <v>390</v>
      </c>
      <c r="L21" s="15">
        <f>K21/J21*100</f>
        <v>118.82998171846435</v>
      </c>
      <c r="M21" s="3">
        <f>D21+G21+J21</f>
        <v>1357</v>
      </c>
      <c r="N21" s="3">
        <f>E21+H21+K21</f>
        <v>970</v>
      </c>
      <c r="O21" s="15">
        <f t="shared" si="3"/>
        <v>71.48120854826824</v>
      </c>
      <c r="P21" s="46">
        <v>134.8</v>
      </c>
      <c r="Q21" s="46">
        <v>126.3</v>
      </c>
      <c r="R21" s="15">
        <f>Q21/P21*100</f>
        <v>93.69436201780414</v>
      </c>
      <c r="S21" s="46">
        <v>41.6</v>
      </c>
      <c r="T21" s="46">
        <v>50</v>
      </c>
      <c r="U21" s="15">
        <f>T21/S21*100</f>
        <v>120.1923076923077</v>
      </c>
      <c r="V21" s="46">
        <v>74.7</v>
      </c>
      <c r="W21" s="46">
        <v>0</v>
      </c>
      <c r="X21" s="15">
        <f>W21/V21*100</f>
        <v>0</v>
      </c>
      <c r="Y21" s="3">
        <f>P21+S21+V21</f>
        <v>251.10000000000002</v>
      </c>
      <c r="Z21" s="3">
        <f>Q21+T21+W21</f>
        <v>176.3</v>
      </c>
      <c r="AA21" s="15">
        <f>Z21/Y21*100</f>
        <v>70.2110712863401</v>
      </c>
      <c r="AB21" s="46">
        <v>85.7</v>
      </c>
      <c r="AC21" s="46">
        <v>121.1</v>
      </c>
      <c r="AD21" s="3">
        <f>AC21/AB21*100</f>
        <v>141.3068844807468</v>
      </c>
      <c r="AE21" s="46">
        <v>79</v>
      </c>
      <c r="AF21" s="46">
        <v>75</v>
      </c>
      <c r="AG21" s="30"/>
      <c r="AH21" s="46">
        <v>89.1</v>
      </c>
      <c r="AI21" s="46">
        <v>80</v>
      </c>
      <c r="AJ21" s="3">
        <f t="shared" si="6"/>
        <v>253.79999999999998</v>
      </c>
      <c r="AK21" s="3">
        <f t="shared" si="6"/>
        <v>276.1</v>
      </c>
      <c r="AL21" s="15">
        <f>AK21/AJ21*100</f>
        <v>108.7864460204886</v>
      </c>
      <c r="AM21" s="46">
        <v>240</v>
      </c>
      <c r="AN21" s="46">
        <v>320</v>
      </c>
      <c r="AO21" s="46">
        <v>370.2</v>
      </c>
      <c r="AP21" s="46">
        <v>376</v>
      </c>
      <c r="AQ21" s="46">
        <v>68.8</v>
      </c>
      <c r="AR21" s="46">
        <v>154.3</v>
      </c>
      <c r="AS21" s="3">
        <f>M21+Y21+AJ21+AM21+AO21+AQ21</f>
        <v>2540.8999999999996</v>
      </c>
      <c r="AT21" s="3">
        <f>N21+Z21+AK21+AN21+AP21+AR21</f>
        <v>2272.7000000000003</v>
      </c>
      <c r="AU21" s="15">
        <f>AT21/AS21*100</f>
        <v>89.44468495415013</v>
      </c>
      <c r="AV21" s="15">
        <f>AS21-AT21</f>
        <v>268.19999999999936</v>
      </c>
      <c r="AW21" s="4">
        <f>C21+AS21-AT21</f>
        <v>-169.80000000000064</v>
      </c>
    </row>
    <row r="22" spans="1:49" ht="27" customHeight="1">
      <c r="A22" s="6">
        <v>15</v>
      </c>
      <c r="B22" s="16" t="s">
        <v>59</v>
      </c>
      <c r="C22" s="80">
        <v>0</v>
      </c>
      <c r="D22" s="23"/>
      <c r="E22" s="23"/>
      <c r="F22" s="38" t="e">
        <f t="shared" si="0"/>
        <v>#DIV/0!</v>
      </c>
      <c r="G22" s="23"/>
      <c r="H22" s="23"/>
      <c r="I22" s="38" t="e">
        <f>H22/G22*100</f>
        <v>#DIV/0!</v>
      </c>
      <c r="J22" s="23"/>
      <c r="K22" s="23"/>
      <c r="L22" s="38" t="e">
        <f>K22/J22*100</f>
        <v>#DIV/0!</v>
      </c>
      <c r="M22" s="3"/>
      <c r="N22" s="3"/>
      <c r="O22" s="15"/>
      <c r="P22" s="23"/>
      <c r="Q22" s="23"/>
      <c r="R22" s="38" t="e">
        <f>Q22/P22*100</f>
        <v>#DIV/0!</v>
      </c>
      <c r="S22" s="23"/>
      <c r="T22" s="23"/>
      <c r="U22" s="38" t="e">
        <f>T22/S22*100</f>
        <v>#DIV/0!</v>
      </c>
      <c r="V22" s="23"/>
      <c r="W22" s="23"/>
      <c r="X22" s="38" t="e">
        <f>W22/V22*100</f>
        <v>#DIV/0!</v>
      </c>
      <c r="Y22" s="3"/>
      <c r="Z22" s="3"/>
      <c r="AA22" s="15"/>
      <c r="AB22" s="23"/>
      <c r="AC22" s="23"/>
      <c r="AD22" s="23" t="e">
        <f>AC22/AB22*100</f>
        <v>#DIV/0!</v>
      </c>
      <c r="AE22" s="23"/>
      <c r="AF22" s="23"/>
      <c r="AG22" s="30"/>
      <c r="AH22" s="23"/>
      <c r="AI22" s="23"/>
      <c r="AJ22" s="3"/>
      <c r="AK22" s="3"/>
      <c r="AL22" s="15"/>
      <c r="AM22" s="23"/>
      <c r="AN22" s="23"/>
      <c r="AO22" s="23"/>
      <c r="AP22" s="23"/>
      <c r="AQ22" s="23"/>
      <c r="AR22" s="23"/>
      <c r="AS22" s="3"/>
      <c r="AT22" s="3"/>
      <c r="AU22" s="38" t="e">
        <f t="shared" si="5"/>
        <v>#DIV/0!</v>
      </c>
      <c r="AV22" s="15"/>
      <c r="AW22" s="4"/>
    </row>
    <row r="23" spans="1:49" ht="24" customHeight="1">
      <c r="A23" s="6">
        <v>16</v>
      </c>
      <c r="B23" s="16" t="s">
        <v>60</v>
      </c>
      <c r="C23" s="2"/>
      <c r="D23" s="109"/>
      <c r="E23" s="110"/>
      <c r="F23" s="110"/>
      <c r="G23" s="110"/>
      <c r="H23" s="110"/>
      <c r="I23" s="110"/>
      <c r="J23" s="110"/>
      <c r="K23" s="110"/>
      <c r="L23" s="110"/>
      <c r="M23" s="3"/>
      <c r="N23" s="3"/>
      <c r="O23" s="15"/>
      <c r="P23" s="110"/>
      <c r="Q23" s="110"/>
      <c r="R23" s="110"/>
      <c r="S23" s="110"/>
      <c r="T23" s="110"/>
      <c r="U23" s="110"/>
      <c r="V23" s="110"/>
      <c r="W23" s="110"/>
      <c r="X23" s="110"/>
      <c r="Y23" s="3"/>
      <c r="Z23" s="3"/>
      <c r="AA23" s="15"/>
      <c r="AB23" s="110"/>
      <c r="AC23" s="110"/>
      <c r="AD23" s="114"/>
      <c r="AE23" s="92"/>
      <c r="AF23" s="92"/>
      <c r="AG23" s="112"/>
      <c r="AH23" s="92"/>
      <c r="AI23" s="92"/>
      <c r="AJ23" s="3"/>
      <c r="AK23" s="3"/>
      <c r="AL23" s="15"/>
      <c r="AM23" s="92"/>
      <c r="AN23" s="92"/>
      <c r="AO23" s="92"/>
      <c r="AP23" s="92"/>
      <c r="AQ23" s="92"/>
      <c r="AR23" s="92"/>
      <c r="AS23" s="3"/>
      <c r="AT23" s="3"/>
      <c r="AU23" s="110"/>
      <c r="AV23" s="15"/>
      <c r="AW23" s="4"/>
    </row>
    <row r="24" spans="1:49" ht="29.25" customHeight="1">
      <c r="A24" s="6">
        <v>17</v>
      </c>
      <c r="B24" s="16" t="s">
        <v>61</v>
      </c>
      <c r="C24" s="2">
        <v>-19.9</v>
      </c>
      <c r="D24" s="3">
        <v>468.9</v>
      </c>
      <c r="E24" s="3">
        <v>0</v>
      </c>
      <c r="F24" s="15">
        <f t="shared" si="0"/>
        <v>0</v>
      </c>
      <c r="G24" s="3">
        <v>443.2</v>
      </c>
      <c r="H24" s="3">
        <v>807.7</v>
      </c>
      <c r="I24" s="15">
        <f>H24/G24*100</f>
        <v>182.24277978339353</v>
      </c>
      <c r="J24" s="3">
        <v>251.9</v>
      </c>
      <c r="K24" s="3">
        <v>296.1</v>
      </c>
      <c r="L24" s="15">
        <f>K24/J24*100</f>
        <v>117.54664549424376</v>
      </c>
      <c r="M24" s="3">
        <f>D24+G24+J24</f>
        <v>1164</v>
      </c>
      <c r="N24" s="3">
        <f>E24+H24+K24</f>
        <v>1103.8000000000002</v>
      </c>
      <c r="O24" s="15">
        <f t="shared" si="3"/>
        <v>94.8281786941581</v>
      </c>
      <c r="P24" s="3">
        <v>0</v>
      </c>
      <c r="Q24" s="3">
        <v>40.7</v>
      </c>
      <c r="R24" s="30" t="e">
        <f>Q24/P24*100</f>
        <v>#DIV/0!</v>
      </c>
      <c r="S24" s="3">
        <v>0</v>
      </c>
      <c r="T24" s="3">
        <v>0</v>
      </c>
      <c r="U24" s="30" t="e">
        <f>T24/S24*100</f>
        <v>#DIV/0!</v>
      </c>
      <c r="V24" s="3">
        <v>0</v>
      </c>
      <c r="W24" s="3">
        <v>0</v>
      </c>
      <c r="X24" s="30" t="e">
        <f>W24/V24*100</f>
        <v>#DIV/0!</v>
      </c>
      <c r="Y24" s="3">
        <f>P24+S24+V24</f>
        <v>0</v>
      </c>
      <c r="Z24" s="3">
        <f>Q24+T24+W24</f>
        <v>40.7</v>
      </c>
      <c r="AA24" s="30" t="e">
        <f>Z24/Y24*100</f>
        <v>#DIV/0!</v>
      </c>
      <c r="AB24" s="3">
        <v>0</v>
      </c>
      <c r="AC24" s="3">
        <v>0</v>
      </c>
      <c r="AD24" s="46">
        <v>0</v>
      </c>
      <c r="AE24" s="3">
        <v>0</v>
      </c>
      <c r="AF24" s="3">
        <v>0</v>
      </c>
      <c r="AG24" s="30" t="e">
        <f>AF24/AE24*100</f>
        <v>#DIV/0!</v>
      </c>
      <c r="AH24" s="3">
        <v>0</v>
      </c>
      <c r="AI24" s="3">
        <v>0</v>
      </c>
      <c r="AJ24" s="3">
        <f>AB24+AE24+AH24</f>
        <v>0</v>
      </c>
      <c r="AK24" s="3">
        <f>AC24+AF24+AI24</f>
        <v>0</v>
      </c>
      <c r="AL24" s="30" t="e">
        <f>AK24/AJ24*100</f>
        <v>#DIV/0!</v>
      </c>
      <c r="AM24" s="3">
        <v>123.8</v>
      </c>
      <c r="AN24" s="3">
        <v>279.1</v>
      </c>
      <c r="AO24" s="3">
        <v>454.3</v>
      </c>
      <c r="AP24" s="3">
        <v>266.5</v>
      </c>
      <c r="AQ24" s="3">
        <v>741.2</v>
      </c>
      <c r="AR24" s="3">
        <v>984.6</v>
      </c>
      <c r="AS24" s="3">
        <f>M24+Y24+AJ24+AM24+AO24+AQ24</f>
        <v>2483.3</v>
      </c>
      <c r="AT24" s="3">
        <f>N24+Z24+AK24+AN24+AP24+AR24</f>
        <v>2674.7000000000003</v>
      </c>
      <c r="AU24" s="15">
        <f>AT24/AS24*100</f>
        <v>107.70748600652358</v>
      </c>
      <c r="AV24" s="15">
        <f>AS24-AT24</f>
        <v>-191.4000000000001</v>
      </c>
      <c r="AW24" s="4">
        <f>C24+AS24-AT24</f>
        <v>-211.30000000000018</v>
      </c>
    </row>
    <row r="25" spans="1:49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5">
        <f t="shared" si="0"/>
        <v>16.850551654964896</v>
      </c>
      <c r="G25" s="46">
        <v>183.7</v>
      </c>
      <c r="H25" s="46">
        <v>369.6</v>
      </c>
      <c r="I25" s="35">
        <f>H25/G25*100</f>
        <v>201.1976047904192</v>
      </c>
      <c r="J25" s="46">
        <v>125.4</v>
      </c>
      <c r="K25" s="46">
        <v>125.4</v>
      </c>
      <c r="L25" s="35">
        <f>K25/J25*100</f>
        <v>100</v>
      </c>
      <c r="M25" s="3">
        <f>D25+G25+J25</f>
        <v>508.5</v>
      </c>
      <c r="N25" s="3">
        <f>E25+H25+K25</f>
        <v>528.6</v>
      </c>
      <c r="O25" s="15">
        <f t="shared" si="3"/>
        <v>103.952802359882</v>
      </c>
      <c r="P25" s="46">
        <v>62.7</v>
      </c>
      <c r="Q25" s="46">
        <v>0</v>
      </c>
      <c r="R25" s="35">
        <f>Q25/P25*100</f>
        <v>0</v>
      </c>
      <c r="S25" s="46">
        <v>6.7</v>
      </c>
      <c r="T25" s="46">
        <v>6.7</v>
      </c>
      <c r="U25" s="35">
        <f>T25/S25*100</f>
        <v>100</v>
      </c>
      <c r="V25" s="46">
        <v>0</v>
      </c>
      <c r="W25" s="46">
        <v>0</v>
      </c>
      <c r="X25" s="30" t="e">
        <f>W25/V25*100</f>
        <v>#DIV/0!</v>
      </c>
      <c r="Y25" s="3">
        <f>P25+S25+V25</f>
        <v>69.4</v>
      </c>
      <c r="Z25" s="3">
        <f>Q25+T25+W25</f>
        <v>6.7</v>
      </c>
      <c r="AA25" s="15">
        <f>Z25/Y25*100</f>
        <v>9.654178674351584</v>
      </c>
      <c r="AB25" s="46">
        <v>0</v>
      </c>
      <c r="AC25" s="46">
        <v>0</v>
      </c>
      <c r="AD25" s="46">
        <v>0</v>
      </c>
      <c r="AE25" s="46">
        <v>6.7</v>
      </c>
      <c r="AF25" s="46">
        <v>8.9</v>
      </c>
      <c r="AG25" s="46">
        <f>AF25/AE25*100</f>
        <v>132.8358208955224</v>
      </c>
      <c r="AH25" s="46">
        <v>6.7</v>
      </c>
      <c r="AI25" s="46">
        <v>4.5</v>
      </c>
      <c r="AJ25" s="3">
        <f>AB25+AE25+AH25</f>
        <v>13.4</v>
      </c>
      <c r="AK25" s="3">
        <f>AC25+AF25+AI25</f>
        <v>13.4</v>
      </c>
      <c r="AL25" s="15">
        <f>AK25/AJ25*100</f>
        <v>100</v>
      </c>
      <c r="AM25" s="46">
        <v>67.2</v>
      </c>
      <c r="AN25" s="46">
        <v>112</v>
      </c>
      <c r="AO25" s="46">
        <v>134.4</v>
      </c>
      <c r="AP25" s="46">
        <v>112</v>
      </c>
      <c r="AQ25" s="46">
        <v>179.2</v>
      </c>
      <c r="AR25" s="46">
        <v>179.2</v>
      </c>
      <c r="AS25" s="3">
        <f>M25+Y25+AJ25+AM25+AO25+AQ25</f>
        <v>972.0999999999999</v>
      </c>
      <c r="AT25" s="3">
        <f>N25+Z25+AK25+AN25+AP25+AR25</f>
        <v>951.9000000000001</v>
      </c>
      <c r="AU25" s="15">
        <f>AT25/AS25*100</f>
        <v>97.92202448307789</v>
      </c>
      <c r="AV25" s="15">
        <f>AS25-AT25</f>
        <v>20.199999999999818</v>
      </c>
      <c r="AW25" s="4">
        <f>C25+AS25-AT25</f>
        <v>-22.300000000000182</v>
      </c>
    </row>
    <row r="26" spans="1:49" s="45" customFormat="1" ht="24" customHeight="1">
      <c r="A26" s="6">
        <v>19</v>
      </c>
      <c r="B26" s="16" t="s">
        <v>63</v>
      </c>
      <c r="C26" s="80">
        <v>0</v>
      </c>
      <c r="D26" s="23"/>
      <c r="E26" s="23"/>
      <c r="F26" s="38" t="e">
        <f t="shared" si="0"/>
        <v>#DIV/0!</v>
      </c>
      <c r="G26" s="3"/>
      <c r="H26" s="3"/>
      <c r="I26" s="15"/>
      <c r="J26" s="3"/>
      <c r="K26" s="3"/>
      <c r="L26" s="15"/>
      <c r="M26" s="3"/>
      <c r="N26" s="3"/>
      <c r="O26" s="15"/>
      <c r="P26" s="3"/>
      <c r="Q26" s="3"/>
      <c r="R26" s="15"/>
      <c r="S26" s="3"/>
      <c r="T26" s="3"/>
      <c r="U26" s="15"/>
      <c r="V26" s="3"/>
      <c r="W26" s="3"/>
      <c r="X26" s="15"/>
      <c r="Y26" s="3"/>
      <c r="Z26" s="3"/>
      <c r="AA26" s="15"/>
      <c r="AB26" s="3"/>
      <c r="AC26" s="3"/>
      <c r="AD26" s="3"/>
      <c r="AE26" s="3"/>
      <c r="AF26" s="3"/>
      <c r="AG26" s="30" t="e">
        <f>AF26/AE26*100</f>
        <v>#DIV/0!</v>
      </c>
      <c r="AH26" s="3"/>
      <c r="AI26" s="3"/>
      <c r="AJ26" s="3"/>
      <c r="AK26" s="3"/>
      <c r="AL26" s="15"/>
      <c r="AM26" s="3"/>
      <c r="AN26" s="3"/>
      <c r="AO26" s="3"/>
      <c r="AP26" s="3"/>
      <c r="AQ26" s="3"/>
      <c r="AR26" s="3"/>
      <c r="AS26" s="3"/>
      <c r="AT26" s="3"/>
      <c r="AU26" s="15"/>
      <c r="AV26" s="15"/>
      <c r="AW26" s="4"/>
    </row>
    <row r="27" spans="1:49" ht="39" customHeight="1">
      <c r="A27" s="6">
        <v>20</v>
      </c>
      <c r="B27" s="16" t="s">
        <v>93</v>
      </c>
      <c r="C27" s="80">
        <v>0</v>
      </c>
      <c r="D27" s="3"/>
      <c r="E27" s="3"/>
      <c r="F27" s="15"/>
      <c r="G27" s="3"/>
      <c r="H27" s="3"/>
      <c r="I27" s="15"/>
      <c r="J27" s="3"/>
      <c r="K27" s="3"/>
      <c r="L27" s="15"/>
      <c r="M27" s="3"/>
      <c r="N27" s="3"/>
      <c r="O27" s="15"/>
      <c r="P27" s="3"/>
      <c r="Q27" s="3"/>
      <c r="R27" s="15"/>
      <c r="S27" s="3"/>
      <c r="T27" s="3"/>
      <c r="U27" s="15"/>
      <c r="V27" s="3"/>
      <c r="W27" s="3"/>
      <c r="X27" s="15"/>
      <c r="Y27" s="3"/>
      <c r="Z27" s="3"/>
      <c r="AA27" s="15"/>
      <c r="AB27" s="3"/>
      <c r="AC27" s="3"/>
      <c r="AD27" s="3"/>
      <c r="AE27" s="3"/>
      <c r="AF27" s="3"/>
      <c r="AG27" s="30" t="e">
        <f>AF27/AE27*100</f>
        <v>#DIV/0!</v>
      </c>
      <c r="AH27" s="3"/>
      <c r="AI27" s="3"/>
      <c r="AJ27" s="3"/>
      <c r="AK27" s="3"/>
      <c r="AL27" s="15"/>
      <c r="AM27" s="3"/>
      <c r="AN27" s="3"/>
      <c r="AO27" s="3"/>
      <c r="AP27" s="3"/>
      <c r="AQ27" s="3"/>
      <c r="AR27" s="3"/>
      <c r="AS27" s="3"/>
      <c r="AT27" s="3"/>
      <c r="AU27" s="15"/>
      <c r="AV27" s="15"/>
      <c r="AW27" s="4"/>
    </row>
    <row r="28" spans="1:49" ht="31.5" customHeight="1">
      <c r="A28" s="6">
        <v>21</v>
      </c>
      <c r="B28" s="1" t="s">
        <v>64</v>
      </c>
      <c r="C28" s="80">
        <v>0</v>
      </c>
      <c r="D28" s="23"/>
      <c r="E28" s="23"/>
      <c r="F28" s="38" t="e">
        <f t="shared" si="0"/>
        <v>#DIV/0!</v>
      </c>
      <c r="G28" s="23"/>
      <c r="H28" s="23"/>
      <c r="I28" s="38" t="e">
        <f>H28/G28*100</f>
        <v>#DIV/0!</v>
      </c>
      <c r="J28" s="23"/>
      <c r="K28" s="23"/>
      <c r="L28" s="38" t="e">
        <f>K28/J28*100</f>
        <v>#DIV/0!</v>
      </c>
      <c r="M28" s="3"/>
      <c r="N28" s="3"/>
      <c r="O28" s="15"/>
      <c r="P28" s="23"/>
      <c r="Q28" s="23"/>
      <c r="R28" s="38" t="e">
        <f>Q28/P28*100</f>
        <v>#DIV/0!</v>
      </c>
      <c r="S28" s="23"/>
      <c r="T28" s="23"/>
      <c r="U28" s="38" t="e">
        <f>T28/S28*100</f>
        <v>#DIV/0!</v>
      </c>
      <c r="V28" s="23"/>
      <c r="W28" s="23"/>
      <c r="X28" s="38" t="e">
        <f>W28/V28*100</f>
        <v>#DIV/0!</v>
      </c>
      <c r="Y28" s="3"/>
      <c r="Z28" s="3"/>
      <c r="AA28" s="15"/>
      <c r="AB28" s="23"/>
      <c r="AC28" s="23"/>
      <c r="AD28" s="23" t="e">
        <f>AC28/AB28*100</f>
        <v>#DIV/0!</v>
      </c>
      <c r="AE28" s="23"/>
      <c r="AF28" s="23"/>
      <c r="AG28" s="30"/>
      <c r="AH28" s="23"/>
      <c r="AI28" s="23"/>
      <c r="AJ28" s="3"/>
      <c r="AK28" s="3"/>
      <c r="AL28" s="15"/>
      <c r="AM28" s="23"/>
      <c r="AN28" s="23"/>
      <c r="AO28" s="23"/>
      <c r="AP28" s="23"/>
      <c r="AQ28" s="23"/>
      <c r="AR28" s="23"/>
      <c r="AS28" s="3"/>
      <c r="AT28" s="3"/>
      <c r="AU28" s="15"/>
      <c r="AV28" s="15"/>
      <c r="AW28" s="4"/>
    </row>
    <row r="29" spans="1:49" ht="24" customHeight="1">
      <c r="A29" s="6">
        <v>22</v>
      </c>
      <c r="B29" s="1" t="s">
        <v>65</v>
      </c>
      <c r="C29" s="48"/>
      <c r="D29" s="37"/>
      <c r="E29" s="37"/>
      <c r="F29" s="37"/>
      <c r="G29" s="37"/>
      <c r="H29" s="37"/>
      <c r="I29" s="37"/>
      <c r="J29" s="37"/>
      <c r="K29" s="37"/>
      <c r="L29" s="37"/>
      <c r="M29" s="3"/>
      <c r="N29" s="3"/>
      <c r="O29" s="15"/>
      <c r="P29" s="37"/>
      <c r="Q29" s="37"/>
      <c r="R29" s="37"/>
      <c r="S29" s="37"/>
      <c r="T29" s="37"/>
      <c r="U29" s="37"/>
      <c r="V29" s="37"/>
      <c r="W29" s="37"/>
      <c r="X29" s="37"/>
      <c r="Y29" s="3"/>
      <c r="Z29" s="3"/>
      <c r="AA29" s="15"/>
      <c r="AB29" s="37"/>
      <c r="AC29" s="37"/>
      <c r="AD29" s="36"/>
      <c r="AE29" s="48"/>
      <c r="AF29" s="48"/>
      <c r="AG29" s="113"/>
      <c r="AH29" s="48"/>
      <c r="AI29" s="48"/>
      <c r="AJ29" s="3"/>
      <c r="AK29" s="3"/>
      <c r="AL29" s="15"/>
      <c r="AM29" s="48"/>
      <c r="AN29" s="48"/>
      <c r="AO29" s="48"/>
      <c r="AP29" s="48"/>
      <c r="AQ29" s="48"/>
      <c r="AR29" s="48"/>
      <c r="AS29" s="3"/>
      <c r="AT29" s="3"/>
      <c r="AU29" s="37"/>
      <c r="AV29" s="15"/>
      <c r="AW29" s="4"/>
    </row>
    <row r="30" spans="1:49" ht="24" customHeight="1">
      <c r="A30" s="6">
        <v>23</v>
      </c>
      <c r="B30" s="16" t="s">
        <v>66</v>
      </c>
      <c r="C30" s="49"/>
      <c r="D30" s="37"/>
      <c r="E30" s="37"/>
      <c r="F30" s="37"/>
      <c r="G30" s="37"/>
      <c r="H30" s="37"/>
      <c r="I30" s="37"/>
      <c r="J30" s="37"/>
      <c r="K30" s="37"/>
      <c r="L30" s="37"/>
      <c r="M30" s="3"/>
      <c r="N30" s="3"/>
      <c r="O30" s="15"/>
      <c r="P30" s="37"/>
      <c r="Q30" s="37"/>
      <c r="R30" s="37"/>
      <c r="S30" s="37"/>
      <c r="T30" s="37"/>
      <c r="U30" s="37"/>
      <c r="V30" s="37"/>
      <c r="W30" s="37"/>
      <c r="X30" s="37"/>
      <c r="Y30" s="3"/>
      <c r="Z30" s="3"/>
      <c r="AA30" s="15"/>
      <c r="AB30" s="37"/>
      <c r="AC30" s="37"/>
      <c r="AD30" s="36"/>
      <c r="AE30" s="48"/>
      <c r="AF30" s="48"/>
      <c r="AG30" s="113"/>
      <c r="AH30" s="48"/>
      <c r="AI30" s="48"/>
      <c r="AJ30" s="3"/>
      <c r="AK30" s="3"/>
      <c r="AL30" s="15"/>
      <c r="AM30" s="48"/>
      <c r="AN30" s="48"/>
      <c r="AO30" s="48"/>
      <c r="AP30" s="48"/>
      <c r="AQ30" s="48"/>
      <c r="AR30" s="48"/>
      <c r="AS30" s="3"/>
      <c r="AT30" s="3"/>
      <c r="AU30" s="37"/>
      <c r="AV30" s="15"/>
      <c r="AW30" s="4"/>
    </row>
    <row r="31" spans="1:49" ht="24" customHeight="1">
      <c r="A31" s="6">
        <v>24</v>
      </c>
      <c r="B31" s="16" t="s">
        <v>67</v>
      </c>
      <c r="C31" s="49"/>
      <c r="D31" s="37"/>
      <c r="E31" s="37"/>
      <c r="F31" s="37"/>
      <c r="G31" s="37"/>
      <c r="H31" s="37"/>
      <c r="I31" s="37"/>
      <c r="J31" s="37"/>
      <c r="K31" s="37"/>
      <c r="L31" s="37"/>
      <c r="M31" s="3"/>
      <c r="N31" s="3"/>
      <c r="O31" s="15"/>
      <c r="P31" s="37"/>
      <c r="Q31" s="37"/>
      <c r="R31" s="37"/>
      <c r="S31" s="37"/>
      <c r="T31" s="37"/>
      <c r="U31" s="37"/>
      <c r="V31" s="37"/>
      <c r="W31" s="37"/>
      <c r="X31" s="37"/>
      <c r="Y31" s="3"/>
      <c r="Z31" s="3"/>
      <c r="AA31" s="15"/>
      <c r="AB31" s="37"/>
      <c r="AC31" s="37"/>
      <c r="AD31" s="36"/>
      <c r="AE31" s="48"/>
      <c r="AF31" s="48"/>
      <c r="AG31" s="113"/>
      <c r="AH31" s="48"/>
      <c r="AI31" s="48"/>
      <c r="AJ31" s="3"/>
      <c r="AK31" s="3"/>
      <c r="AL31" s="15"/>
      <c r="AM31" s="48"/>
      <c r="AN31" s="48"/>
      <c r="AO31" s="48"/>
      <c r="AP31" s="48"/>
      <c r="AQ31" s="48"/>
      <c r="AR31" s="48"/>
      <c r="AS31" s="3"/>
      <c r="AT31" s="3"/>
      <c r="AU31" s="37"/>
      <c r="AV31" s="15"/>
      <c r="AW31" s="4"/>
    </row>
    <row r="32" spans="1:49" ht="24" customHeight="1">
      <c r="A32" s="6">
        <v>25</v>
      </c>
      <c r="B32" s="16" t="s">
        <v>87</v>
      </c>
      <c r="C32" s="2"/>
      <c r="D32" s="23"/>
      <c r="E32" s="23"/>
      <c r="F32" s="38" t="e">
        <f t="shared" si="0"/>
        <v>#DIV/0!</v>
      </c>
      <c r="G32" s="23"/>
      <c r="H32" s="23"/>
      <c r="I32" s="38"/>
      <c r="J32" s="23"/>
      <c r="K32" s="23"/>
      <c r="L32" s="38"/>
      <c r="M32" s="3"/>
      <c r="N32" s="3"/>
      <c r="O32" s="15"/>
      <c r="P32" s="23"/>
      <c r="Q32" s="23"/>
      <c r="R32" s="38"/>
      <c r="S32" s="23"/>
      <c r="T32" s="23"/>
      <c r="U32" s="38"/>
      <c r="V32" s="23"/>
      <c r="W32" s="23"/>
      <c r="X32" s="38"/>
      <c r="Y32" s="3"/>
      <c r="Z32" s="3"/>
      <c r="AA32" s="15"/>
      <c r="AB32" s="23"/>
      <c r="AC32" s="23"/>
      <c r="AD32" s="23"/>
      <c r="AE32" s="23"/>
      <c r="AF32" s="23"/>
      <c r="AG32" s="30"/>
      <c r="AH32" s="23"/>
      <c r="AI32" s="23"/>
      <c r="AJ32" s="3"/>
      <c r="AK32" s="3"/>
      <c r="AL32" s="15"/>
      <c r="AM32" s="23"/>
      <c r="AN32" s="23"/>
      <c r="AO32" s="23"/>
      <c r="AP32" s="23"/>
      <c r="AQ32" s="23"/>
      <c r="AR32" s="23"/>
      <c r="AS32" s="3"/>
      <c r="AT32" s="3"/>
      <c r="AU32" s="38"/>
      <c r="AV32" s="15"/>
      <c r="AW32" s="4"/>
    </row>
    <row r="33" spans="1:49" ht="24" customHeight="1">
      <c r="A33" s="6"/>
      <c r="B33" s="16" t="s">
        <v>105</v>
      </c>
      <c r="C33" s="2">
        <v>-672.5</v>
      </c>
      <c r="D33" s="3">
        <v>766.8</v>
      </c>
      <c r="E33" s="3">
        <v>535.8</v>
      </c>
      <c r="F33" s="15">
        <v>0</v>
      </c>
      <c r="G33" s="3">
        <v>546.8</v>
      </c>
      <c r="H33" s="3">
        <v>528.8</v>
      </c>
      <c r="I33" s="15">
        <f aca="true" t="shared" si="7" ref="I33:I45">H33/G33*100</f>
        <v>96.70811997073885</v>
      </c>
      <c r="J33" s="3">
        <v>412.1</v>
      </c>
      <c r="K33" s="3">
        <v>31.5</v>
      </c>
      <c r="L33" s="15">
        <f aca="true" t="shared" si="8" ref="L33:L40">K33/J33*100</f>
        <v>7.643775782577043</v>
      </c>
      <c r="M33" s="3">
        <f aca="true" t="shared" si="9" ref="M33:N39">D33+G33+J33</f>
        <v>1725.6999999999998</v>
      </c>
      <c r="N33" s="3">
        <f t="shared" si="9"/>
        <v>1096.1</v>
      </c>
      <c r="O33" s="15">
        <f t="shared" si="3"/>
        <v>63.51625427362809</v>
      </c>
      <c r="P33" s="3">
        <v>215.1</v>
      </c>
      <c r="Q33" s="3">
        <v>373.2</v>
      </c>
      <c r="R33" s="15">
        <f aca="true" t="shared" si="10" ref="R33:R40">Q33/P33*100</f>
        <v>173.50069735006974</v>
      </c>
      <c r="S33" s="3">
        <v>47.7</v>
      </c>
      <c r="T33" s="3">
        <v>119.3</v>
      </c>
      <c r="U33" s="15">
        <f aca="true" t="shared" si="11" ref="U33:U40">T33/S33*100</f>
        <v>250.10482180293502</v>
      </c>
      <c r="V33" s="3">
        <v>39.2</v>
      </c>
      <c r="W33" s="3">
        <v>0</v>
      </c>
      <c r="X33" s="15">
        <f>W33/V33*100</f>
        <v>0</v>
      </c>
      <c r="Y33" s="3">
        <f aca="true" t="shared" si="12" ref="Y33:Y39">P33+S33+V33</f>
        <v>302</v>
      </c>
      <c r="Z33" s="3">
        <f aca="true" t="shared" si="13" ref="Z33:Z39">Q33+T33+W33</f>
        <v>492.5</v>
      </c>
      <c r="AA33" s="15">
        <f aca="true" t="shared" si="14" ref="AA33:AA39">Z33/Y33*100</f>
        <v>163.0794701986755</v>
      </c>
      <c r="AB33" s="3">
        <v>38.6</v>
      </c>
      <c r="AC33" s="3">
        <v>0.9</v>
      </c>
      <c r="AD33" s="3">
        <f>AC33/AB33*100</f>
        <v>2.33160621761658</v>
      </c>
      <c r="AE33" s="3">
        <v>0</v>
      </c>
      <c r="AF33" s="3">
        <v>0</v>
      </c>
      <c r="AG33" s="30" t="e">
        <f>AF33/AE33*100</f>
        <v>#DIV/0!</v>
      </c>
      <c r="AH33" s="3">
        <v>34.5</v>
      </c>
      <c r="AI33" s="3">
        <v>43</v>
      </c>
      <c r="AJ33" s="3">
        <f aca="true" t="shared" si="15" ref="AJ33:AK39">AB33+AE33+AH33</f>
        <v>73.1</v>
      </c>
      <c r="AK33" s="3">
        <f t="shared" si="15"/>
        <v>43.9</v>
      </c>
      <c r="AL33" s="15">
        <f aca="true" t="shared" si="16" ref="AL33:AL39">AK33/AJ33*100</f>
        <v>60.054719562243505</v>
      </c>
      <c r="AM33" s="3">
        <v>303.3</v>
      </c>
      <c r="AN33" s="3">
        <v>329.8</v>
      </c>
      <c r="AO33" s="3">
        <v>489</v>
      </c>
      <c r="AP33" s="3">
        <v>463.6</v>
      </c>
      <c r="AQ33" s="3">
        <v>479.9</v>
      </c>
      <c r="AR33" s="3">
        <v>811</v>
      </c>
      <c r="AS33" s="3">
        <f aca="true" t="shared" si="17" ref="AS33:AT39">M33+Y33+AJ33+AM33+AO33+AQ33</f>
        <v>3373</v>
      </c>
      <c r="AT33" s="3">
        <f t="shared" si="17"/>
        <v>3236.9</v>
      </c>
      <c r="AU33" s="15">
        <f>AT33/AS33*100</f>
        <v>95.9650163059591</v>
      </c>
      <c r="AV33" s="15">
        <f aca="true" t="shared" si="18" ref="AV33:AV39">AS33-AT33</f>
        <v>136.0999999999999</v>
      </c>
      <c r="AW33" s="4">
        <f aca="true" t="shared" si="19" ref="AW33:AW39">C33+AS33-AT33</f>
        <v>-536.4000000000001</v>
      </c>
    </row>
    <row r="34" spans="1:49" ht="24.75" customHeight="1">
      <c r="A34" s="20"/>
      <c r="B34" s="16" t="s">
        <v>69</v>
      </c>
      <c r="C34" s="2">
        <v>0</v>
      </c>
      <c r="D34" s="3">
        <v>459.7</v>
      </c>
      <c r="E34" s="3">
        <v>0</v>
      </c>
      <c r="F34" s="15">
        <f t="shared" si="0"/>
        <v>0</v>
      </c>
      <c r="G34" s="3">
        <v>752.8</v>
      </c>
      <c r="H34" s="3">
        <v>0</v>
      </c>
      <c r="I34" s="15">
        <f t="shared" si="7"/>
        <v>0</v>
      </c>
      <c r="J34" s="3">
        <v>583.4</v>
      </c>
      <c r="K34" s="3">
        <v>1796</v>
      </c>
      <c r="L34" s="15">
        <f t="shared" si="8"/>
        <v>307.8505313678437</v>
      </c>
      <c r="M34" s="3">
        <f t="shared" si="9"/>
        <v>1795.9</v>
      </c>
      <c r="N34" s="3">
        <f t="shared" si="9"/>
        <v>1796</v>
      </c>
      <c r="O34" s="15">
        <f t="shared" si="3"/>
        <v>100.00556823876607</v>
      </c>
      <c r="P34" s="3">
        <v>68.3</v>
      </c>
      <c r="Q34" s="3">
        <v>68.3</v>
      </c>
      <c r="R34" s="15">
        <f t="shared" si="10"/>
        <v>100</v>
      </c>
      <c r="S34" s="3">
        <v>27.8</v>
      </c>
      <c r="T34" s="3">
        <v>0</v>
      </c>
      <c r="U34" s="15">
        <f t="shared" si="11"/>
        <v>0</v>
      </c>
      <c r="V34" s="3">
        <v>30</v>
      </c>
      <c r="W34" s="3">
        <v>57.7</v>
      </c>
      <c r="X34" s="15">
        <f>W34/V34*100</f>
        <v>192.33333333333334</v>
      </c>
      <c r="Y34" s="3">
        <f t="shared" si="12"/>
        <v>126.1</v>
      </c>
      <c r="Z34" s="3">
        <f t="shared" si="13"/>
        <v>126</v>
      </c>
      <c r="AA34" s="15">
        <f t="shared" si="14"/>
        <v>99.92069785884219</v>
      </c>
      <c r="AB34" s="3">
        <v>29.9</v>
      </c>
      <c r="AC34" s="3">
        <v>29.9</v>
      </c>
      <c r="AD34" s="3">
        <f>AC34/AB34*100</f>
        <v>100</v>
      </c>
      <c r="AE34" s="3">
        <v>21.7</v>
      </c>
      <c r="AF34" s="3">
        <v>21.7</v>
      </c>
      <c r="AG34" s="30"/>
      <c r="AH34" s="3">
        <v>22.3</v>
      </c>
      <c r="AI34" s="3">
        <v>22.3</v>
      </c>
      <c r="AJ34" s="3">
        <f t="shared" si="15"/>
        <v>73.89999999999999</v>
      </c>
      <c r="AK34" s="3">
        <f t="shared" si="15"/>
        <v>73.89999999999999</v>
      </c>
      <c r="AL34" s="15">
        <f t="shared" si="16"/>
        <v>100</v>
      </c>
      <c r="AM34" s="3">
        <v>345</v>
      </c>
      <c r="AN34" s="3">
        <v>0</v>
      </c>
      <c r="AO34" s="3">
        <v>906.5</v>
      </c>
      <c r="AP34" s="3">
        <v>1252.5</v>
      </c>
      <c r="AQ34" s="3">
        <v>1974.3</v>
      </c>
      <c r="AR34" s="3">
        <v>1974.3</v>
      </c>
      <c r="AS34" s="3">
        <f t="shared" si="17"/>
        <v>5221.7</v>
      </c>
      <c r="AT34" s="3">
        <f t="shared" si="17"/>
        <v>5222.7</v>
      </c>
      <c r="AU34" s="15">
        <f>AT34/AS34*100</f>
        <v>100.01915085125535</v>
      </c>
      <c r="AV34" s="15">
        <f t="shared" si="18"/>
        <v>-1</v>
      </c>
      <c r="AW34" s="4">
        <f t="shared" si="19"/>
        <v>-1</v>
      </c>
    </row>
    <row r="35" spans="1:49" ht="30.75" customHeight="1">
      <c r="A35" s="6">
        <v>26</v>
      </c>
      <c r="B35" s="16" t="s">
        <v>94</v>
      </c>
      <c r="C35" s="2">
        <v>0.1</v>
      </c>
      <c r="D35" s="3">
        <v>95.2</v>
      </c>
      <c r="E35" s="3">
        <v>166.9</v>
      </c>
      <c r="F35" s="15">
        <f t="shared" si="0"/>
        <v>175.31512605042016</v>
      </c>
      <c r="G35" s="3">
        <v>306.5</v>
      </c>
      <c r="H35" s="3">
        <v>341.1</v>
      </c>
      <c r="I35" s="15">
        <f t="shared" si="7"/>
        <v>111.28874388254486</v>
      </c>
      <c r="J35" s="3">
        <v>184</v>
      </c>
      <c r="K35" s="3">
        <v>0</v>
      </c>
      <c r="L35" s="15">
        <f t="shared" si="8"/>
        <v>0</v>
      </c>
      <c r="M35" s="3">
        <f t="shared" si="9"/>
        <v>585.7</v>
      </c>
      <c r="N35" s="3">
        <f t="shared" si="9"/>
        <v>508</v>
      </c>
      <c r="O35" s="15">
        <f t="shared" si="3"/>
        <v>86.73382277616527</v>
      </c>
      <c r="P35" s="3">
        <v>0</v>
      </c>
      <c r="Q35" s="3">
        <v>78.2</v>
      </c>
      <c r="R35" s="30" t="e">
        <f t="shared" si="10"/>
        <v>#DIV/0!</v>
      </c>
      <c r="S35" s="3">
        <v>0</v>
      </c>
      <c r="T35" s="3">
        <v>0</v>
      </c>
      <c r="U35" s="30" t="e">
        <f t="shared" si="11"/>
        <v>#DIV/0!</v>
      </c>
      <c r="V35" s="3">
        <v>0</v>
      </c>
      <c r="W35" s="3">
        <v>0</v>
      </c>
      <c r="X35" s="30" t="e">
        <f>W35/V35*100</f>
        <v>#DIV/0!</v>
      </c>
      <c r="Y35" s="3">
        <f t="shared" si="12"/>
        <v>0</v>
      </c>
      <c r="Z35" s="3">
        <f t="shared" si="13"/>
        <v>78.2</v>
      </c>
      <c r="AA35" s="30" t="e">
        <f t="shared" si="14"/>
        <v>#DIV/0!</v>
      </c>
      <c r="AB35" s="3">
        <v>0</v>
      </c>
      <c r="AC35" s="3">
        <v>0</v>
      </c>
      <c r="AD35" s="46">
        <v>0</v>
      </c>
      <c r="AE35" s="3">
        <v>0</v>
      </c>
      <c r="AF35" s="3">
        <v>0</v>
      </c>
      <c r="AG35" s="30" t="e">
        <f>AF35/AE35*100</f>
        <v>#DIV/0!</v>
      </c>
      <c r="AH35" s="3">
        <v>0</v>
      </c>
      <c r="AI35" s="3">
        <v>0</v>
      </c>
      <c r="AJ35" s="3">
        <f t="shared" si="15"/>
        <v>0</v>
      </c>
      <c r="AK35" s="3">
        <f t="shared" si="15"/>
        <v>0</v>
      </c>
      <c r="AL35" s="30" t="e">
        <f t="shared" si="16"/>
        <v>#DIV/0!</v>
      </c>
      <c r="AM35" s="3">
        <v>26.7</v>
      </c>
      <c r="AN35" s="3">
        <v>120</v>
      </c>
      <c r="AO35" s="3">
        <v>352.1</v>
      </c>
      <c r="AP35" s="3">
        <v>260</v>
      </c>
      <c r="AQ35" s="3">
        <v>596</v>
      </c>
      <c r="AR35" s="3">
        <v>594.3</v>
      </c>
      <c r="AS35" s="3">
        <f t="shared" si="17"/>
        <v>1560.5</v>
      </c>
      <c r="AT35" s="3">
        <f t="shared" si="17"/>
        <v>1560.5</v>
      </c>
      <c r="AU35" s="15">
        <f aca="true" t="shared" si="20" ref="AU35:AU44">AT35/AS35*100</f>
        <v>100</v>
      </c>
      <c r="AV35" s="15">
        <f t="shared" si="18"/>
        <v>0</v>
      </c>
      <c r="AW35" s="4">
        <f t="shared" si="19"/>
        <v>0.09999999999990905</v>
      </c>
    </row>
    <row r="36" spans="1:49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5">
        <f t="shared" si="0"/>
        <v>0</v>
      </c>
      <c r="G36" s="3">
        <v>376.9</v>
      </c>
      <c r="H36" s="3">
        <v>636.9</v>
      </c>
      <c r="I36" s="15">
        <f t="shared" si="7"/>
        <v>168.9838153356328</v>
      </c>
      <c r="J36" s="3">
        <v>256.6</v>
      </c>
      <c r="K36" s="3">
        <v>159.7</v>
      </c>
      <c r="L36" s="15">
        <f t="shared" si="8"/>
        <v>62.23694466095089</v>
      </c>
      <c r="M36" s="3">
        <f t="shared" si="9"/>
        <v>1084</v>
      </c>
      <c r="N36" s="3">
        <f t="shared" si="9"/>
        <v>796.5999999999999</v>
      </c>
      <c r="O36" s="15">
        <f t="shared" si="3"/>
        <v>73.48708487084869</v>
      </c>
      <c r="P36" s="3">
        <v>28</v>
      </c>
      <c r="Q36" s="3">
        <v>0</v>
      </c>
      <c r="R36" s="15">
        <f t="shared" si="10"/>
        <v>0</v>
      </c>
      <c r="S36" s="3">
        <v>0</v>
      </c>
      <c r="T36" s="3">
        <v>7.5</v>
      </c>
      <c r="U36" s="15"/>
      <c r="V36" s="3">
        <v>0</v>
      </c>
      <c r="W36" s="3">
        <v>0</v>
      </c>
      <c r="X36" s="15"/>
      <c r="Y36" s="3">
        <f t="shared" si="12"/>
        <v>28</v>
      </c>
      <c r="Z36" s="3">
        <f t="shared" si="13"/>
        <v>7.5</v>
      </c>
      <c r="AA36" s="15">
        <f t="shared" si="14"/>
        <v>26.785714285714285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0">
        <v>0</v>
      </c>
      <c r="AH36" s="3">
        <v>0</v>
      </c>
      <c r="AI36" s="3">
        <v>0</v>
      </c>
      <c r="AJ36" s="3">
        <f t="shared" si="15"/>
        <v>0</v>
      </c>
      <c r="AK36" s="3">
        <f t="shared" si="15"/>
        <v>0</v>
      </c>
      <c r="AL36" s="15" t="e">
        <f t="shared" si="16"/>
        <v>#DIV/0!</v>
      </c>
      <c r="AM36" s="3">
        <v>208.5</v>
      </c>
      <c r="AN36" s="3">
        <v>0</v>
      </c>
      <c r="AO36" s="3">
        <v>603.5</v>
      </c>
      <c r="AP36" s="3">
        <v>996.3</v>
      </c>
      <c r="AQ36" s="3">
        <v>619.2</v>
      </c>
      <c r="AR36" s="3">
        <v>826.7</v>
      </c>
      <c r="AS36" s="3">
        <f t="shared" si="17"/>
        <v>2543.2</v>
      </c>
      <c r="AT36" s="3">
        <f t="shared" si="17"/>
        <v>2627.1</v>
      </c>
      <c r="AU36" s="15">
        <f t="shared" si="20"/>
        <v>103.2989933941491</v>
      </c>
      <c r="AV36" s="15">
        <f t="shared" si="18"/>
        <v>-83.90000000000009</v>
      </c>
      <c r="AW36" s="4">
        <f t="shared" si="19"/>
        <v>-512.0999999999999</v>
      </c>
    </row>
    <row r="37" spans="1:49" ht="24" customHeight="1">
      <c r="A37" s="6">
        <v>28</v>
      </c>
      <c r="B37" s="16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5">
        <f t="shared" si="0"/>
        <v>0</v>
      </c>
      <c r="G37" s="3">
        <f>935-463.5</f>
        <v>471.5</v>
      </c>
      <c r="H37" s="3">
        <f>784.8-580</f>
        <v>204.79999999999995</v>
      </c>
      <c r="I37" s="15">
        <f t="shared" si="7"/>
        <v>43.43584305408271</v>
      </c>
      <c r="J37" s="3">
        <f>604-328.2</f>
        <v>275.8</v>
      </c>
      <c r="K37" s="3">
        <f>1340.8-390</f>
        <v>950.8</v>
      </c>
      <c r="L37" s="15">
        <f t="shared" si="8"/>
        <v>344.7425670775924</v>
      </c>
      <c r="M37" s="3">
        <f t="shared" si="9"/>
        <v>1302.5</v>
      </c>
      <c r="N37" s="3">
        <f t="shared" si="9"/>
        <v>1155.6</v>
      </c>
      <c r="O37" s="15">
        <f t="shared" si="3"/>
        <v>88.72168905950095</v>
      </c>
      <c r="P37" s="3">
        <f>169.9-134.8</f>
        <v>35.099999999999994</v>
      </c>
      <c r="Q37" s="3">
        <f>306.4-126.3</f>
        <v>180.09999999999997</v>
      </c>
      <c r="R37" s="15">
        <f t="shared" si="10"/>
        <v>513.105413105413</v>
      </c>
      <c r="S37" s="3">
        <f>46.8-41.6</f>
        <v>5.199999999999996</v>
      </c>
      <c r="T37" s="3">
        <f>71.5-50</f>
        <v>21.5</v>
      </c>
      <c r="U37" s="15">
        <f t="shared" si="11"/>
        <v>413.4615384615388</v>
      </c>
      <c r="V37" s="3">
        <f>81.8-74.7</f>
        <v>7.099999999999994</v>
      </c>
      <c r="W37" s="3">
        <v>4.9</v>
      </c>
      <c r="X37" s="15">
        <f>W37/V37*100</f>
        <v>69.01408450704231</v>
      </c>
      <c r="Y37" s="3">
        <f t="shared" si="12"/>
        <v>47.399999999999984</v>
      </c>
      <c r="Z37" s="3">
        <f t="shared" si="13"/>
        <v>206.49999999999997</v>
      </c>
      <c r="AA37" s="15">
        <f t="shared" si="14"/>
        <v>435.6540084388186</v>
      </c>
      <c r="AB37" s="3">
        <v>8.3</v>
      </c>
      <c r="AC37" s="3">
        <v>13.6</v>
      </c>
      <c r="AD37" s="3">
        <f>AC37/AB37*100</f>
        <v>163.85542168674695</v>
      </c>
      <c r="AE37" s="3">
        <v>8.9</v>
      </c>
      <c r="AF37" s="3">
        <v>14.3</v>
      </c>
      <c r="AG37" s="30">
        <f aca="true" t="shared" si="21" ref="AG37:AG42">AF37/AE37*100</f>
        <v>160.67415730337078</v>
      </c>
      <c r="AH37" s="3">
        <f>98.5-89.1</f>
        <v>9.400000000000006</v>
      </c>
      <c r="AI37" s="3">
        <f>94.8-80</f>
        <v>14.799999999999997</v>
      </c>
      <c r="AJ37" s="3">
        <f t="shared" si="15"/>
        <v>26.60000000000001</v>
      </c>
      <c r="AK37" s="3">
        <f t="shared" si="15"/>
        <v>42.699999999999996</v>
      </c>
      <c r="AL37" s="15">
        <f t="shared" si="16"/>
        <v>160.5263157894736</v>
      </c>
      <c r="AM37" s="3">
        <f>428.4-240</f>
        <v>188.39999999999998</v>
      </c>
      <c r="AN37" s="3">
        <f>400.7-320</f>
        <v>80.69999999999999</v>
      </c>
      <c r="AO37" s="3">
        <f>706.7-370.2</f>
        <v>336.50000000000006</v>
      </c>
      <c r="AP37" s="3">
        <f>585.4-376</f>
        <v>209.39999999999998</v>
      </c>
      <c r="AQ37" s="3">
        <f>788.7-68.8</f>
        <v>719.9000000000001</v>
      </c>
      <c r="AR37" s="3">
        <f>1696.6-154.3</f>
        <v>1542.3</v>
      </c>
      <c r="AS37" s="3">
        <f t="shared" si="17"/>
        <v>2621.3</v>
      </c>
      <c r="AT37" s="3">
        <f t="shared" si="17"/>
        <v>3237.2</v>
      </c>
      <c r="AU37" s="15">
        <f t="shared" si="20"/>
        <v>123.49597527944147</v>
      </c>
      <c r="AV37" s="15">
        <f t="shared" si="18"/>
        <v>-615.8999999999996</v>
      </c>
      <c r="AW37" s="4">
        <f t="shared" si="19"/>
        <v>-692.9999999999995</v>
      </c>
    </row>
    <row r="38" spans="1:49" ht="24" customHeight="1">
      <c r="A38" s="6">
        <v>29</v>
      </c>
      <c r="B38" s="16" t="s">
        <v>72</v>
      </c>
      <c r="C38" s="2">
        <v>-257.6</v>
      </c>
      <c r="D38" s="3">
        <v>419.3</v>
      </c>
      <c r="E38" s="3">
        <v>0</v>
      </c>
      <c r="F38" s="15">
        <f t="shared" si="0"/>
        <v>0</v>
      </c>
      <c r="G38" s="3">
        <v>341.1</v>
      </c>
      <c r="H38" s="3">
        <v>315.7</v>
      </c>
      <c r="I38" s="15">
        <f t="shared" si="7"/>
        <v>92.55350337144532</v>
      </c>
      <c r="J38" s="3">
        <v>217.4</v>
      </c>
      <c r="K38" s="3">
        <v>386.7</v>
      </c>
      <c r="L38" s="15">
        <f t="shared" si="8"/>
        <v>177.8748850045998</v>
      </c>
      <c r="M38" s="3">
        <f t="shared" si="9"/>
        <v>977.8000000000001</v>
      </c>
      <c r="N38" s="3">
        <f t="shared" si="9"/>
        <v>702.4</v>
      </c>
      <c r="O38" s="15">
        <f t="shared" si="3"/>
        <v>71.83473102884025</v>
      </c>
      <c r="P38" s="3">
        <v>18.8</v>
      </c>
      <c r="Q38" s="3">
        <v>76.7</v>
      </c>
      <c r="R38" s="15">
        <f t="shared" si="10"/>
        <v>407.9787234042553</v>
      </c>
      <c r="S38" s="3">
        <v>0</v>
      </c>
      <c r="T38" s="3">
        <v>5.3</v>
      </c>
      <c r="U38" s="15"/>
      <c r="V38" s="3">
        <v>0</v>
      </c>
      <c r="W38" s="3">
        <v>0</v>
      </c>
      <c r="X38" s="15"/>
      <c r="Y38" s="3">
        <f t="shared" si="12"/>
        <v>18.8</v>
      </c>
      <c r="Z38" s="3">
        <f t="shared" si="13"/>
        <v>82</v>
      </c>
      <c r="AA38" s="15">
        <f t="shared" si="14"/>
        <v>436.17021276595744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0" t="e">
        <f t="shared" si="21"/>
        <v>#DIV/0!</v>
      </c>
      <c r="AH38" s="3">
        <v>0</v>
      </c>
      <c r="AI38" s="3">
        <v>0</v>
      </c>
      <c r="AJ38" s="3">
        <f t="shared" si="15"/>
        <v>0</v>
      </c>
      <c r="AK38" s="3">
        <f t="shared" si="15"/>
        <v>0</v>
      </c>
      <c r="AL38" s="15" t="e">
        <f t="shared" si="16"/>
        <v>#DIV/0!</v>
      </c>
      <c r="AM38" s="3">
        <v>22.7</v>
      </c>
      <c r="AN38" s="3">
        <v>0</v>
      </c>
      <c r="AO38" s="3">
        <v>190.8</v>
      </c>
      <c r="AP38" s="3">
        <v>228.1</v>
      </c>
      <c r="AQ38" s="3">
        <v>423.6</v>
      </c>
      <c r="AR38" s="3">
        <v>421</v>
      </c>
      <c r="AS38" s="3">
        <f t="shared" si="17"/>
        <v>1633.7000000000003</v>
      </c>
      <c r="AT38" s="3">
        <f t="shared" si="17"/>
        <v>1433.5</v>
      </c>
      <c r="AU38" s="15">
        <f t="shared" si="20"/>
        <v>87.7456081287874</v>
      </c>
      <c r="AV38" s="15">
        <f t="shared" si="18"/>
        <v>200.20000000000027</v>
      </c>
      <c r="AW38" s="4">
        <f t="shared" si="19"/>
        <v>-57.399999999999636</v>
      </c>
    </row>
    <row r="39" spans="1:49" s="45" customFormat="1" ht="37.5" customHeight="1">
      <c r="A39" s="6">
        <v>30</v>
      </c>
      <c r="B39" s="16" t="s">
        <v>95</v>
      </c>
      <c r="C39" s="2">
        <v>-30.7</v>
      </c>
      <c r="D39" s="3">
        <v>883.9</v>
      </c>
      <c r="E39" s="3">
        <v>0</v>
      </c>
      <c r="F39" s="15">
        <f t="shared" si="0"/>
        <v>0</v>
      </c>
      <c r="G39" s="3">
        <v>693.9</v>
      </c>
      <c r="H39" s="3">
        <v>199.8</v>
      </c>
      <c r="I39" s="15">
        <f t="shared" si="7"/>
        <v>28.793774319066152</v>
      </c>
      <c r="J39" s="3">
        <v>474.2</v>
      </c>
      <c r="K39" s="3">
        <v>2365.2</v>
      </c>
      <c r="L39" s="15">
        <f t="shared" si="8"/>
        <v>498.7768873892872</v>
      </c>
      <c r="M39" s="3">
        <f t="shared" si="9"/>
        <v>2052</v>
      </c>
      <c r="N39" s="3">
        <f t="shared" si="9"/>
        <v>2565</v>
      </c>
      <c r="O39" s="15">
        <f t="shared" si="3"/>
        <v>125</v>
      </c>
      <c r="P39" s="3">
        <v>69.7</v>
      </c>
      <c r="Q39" s="3">
        <v>251.4</v>
      </c>
      <c r="R39" s="15">
        <f t="shared" si="10"/>
        <v>360.6886657101865</v>
      </c>
      <c r="S39" s="3">
        <v>2.6</v>
      </c>
      <c r="T39" s="3">
        <v>78.3</v>
      </c>
      <c r="U39" s="15">
        <f t="shared" si="11"/>
        <v>3011.5384615384614</v>
      </c>
      <c r="V39" s="3">
        <v>0</v>
      </c>
      <c r="W39" s="3">
        <v>2.6</v>
      </c>
      <c r="X39" s="30" t="e">
        <f>W39/V39*100</f>
        <v>#DIV/0!</v>
      </c>
      <c r="Y39" s="3">
        <f t="shared" si="12"/>
        <v>72.3</v>
      </c>
      <c r="Z39" s="3">
        <f t="shared" si="13"/>
        <v>332.3</v>
      </c>
      <c r="AA39" s="15">
        <f t="shared" si="14"/>
        <v>459.612724757953</v>
      </c>
      <c r="AB39" s="3">
        <v>0</v>
      </c>
      <c r="AC39" s="3">
        <v>5.3</v>
      </c>
      <c r="AD39" s="115" t="e">
        <f>AC39/AB39*100</f>
        <v>#DIV/0!</v>
      </c>
      <c r="AE39" s="3">
        <v>0</v>
      </c>
      <c r="AF39" s="3">
        <v>0</v>
      </c>
      <c r="AG39" s="30" t="e">
        <f t="shared" si="21"/>
        <v>#DIV/0!</v>
      </c>
      <c r="AH39" s="3">
        <v>0</v>
      </c>
      <c r="AI39" s="3">
        <v>12</v>
      </c>
      <c r="AJ39" s="3">
        <f t="shared" si="15"/>
        <v>0</v>
      </c>
      <c r="AK39" s="3">
        <f t="shared" si="15"/>
        <v>17.3</v>
      </c>
      <c r="AL39" s="15" t="e">
        <f t="shared" si="16"/>
        <v>#DIV/0!</v>
      </c>
      <c r="AM39" s="3">
        <v>219.1</v>
      </c>
      <c r="AN39" s="3">
        <v>128.9</v>
      </c>
      <c r="AO39" s="3">
        <v>872.7</v>
      </c>
      <c r="AP39" s="3">
        <v>271.5</v>
      </c>
      <c r="AQ39" s="3">
        <v>998.8</v>
      </c>
      <c r="AR39" s="3">
        <v>1303</v>
      </c>
      <c r="AS39" s="3">
        <f t="shared" si="17"/>
        <v>4214.900000000001</v>
      </c>
      <c r="AT39" s="3">
        <f t="shared" si="17"/>
        <v>4618</v>
      </c>
      <c r="AU39" s="15">
        <f t="shared" si="20"/>
        <v>109.56369071626845</v>
      </c>
      <c r="AV39" s="15">
        <f t="shared" si="18"/>
        <v>-403.09999999999945</v>
      </c>
      <c r="AW39" s="4">
        <f t="shared" si="19"/>
        <v>-433.7999999999993</v>
      </c>
    </row>
    <row r="40" spans="1:49" ht="24.75" customHeight="1">
      <c r="A40" s="6">
        <v>31</v>
      </c>
      <c r="B40" s="16" t="s">
        <v>73</v>
      </c>
      <c r="C40" s="80">
        <v>0</v>
      </c>
      <c r="D40" s="23"/>
      <c r="E40" s="23"/>
      <c r="F40" s="38" t="e">
        <f t="shared" si="0"/>
        <v>#DIV/0!</v>
      </c>
      <c r="G40" s="3"/>
      <c r="H40" s="3"/>
      <c r="I40" s="30" t="e">
        <f t="shared" si="7"/>
        <v>#DIV/0!</v>
      </c>
      <c r="J40" s="3"/>
      <c r="K40" s="3"/>
      <c r="L40" s="30" t="e">
        <f t="shared" si="8"/>
        <v>#DIV/0!</v>
      </c>
      <c r="M40" s="3"/>
      <c r="N40" s="3"/>
      <c r="O40" s="15"/>
      <c r="P40" s="3"/>
      <c r="Q40" s="3"/>
      <c r="R40" s="30" t="e">
        <f t="shared" si="10"/>
        <v>#DIV/0!</v>
      </c>
      <c r="S40" s="3"/>
      <c r="T40" s="3"/>
      <c r="U40" s="30" t="e">
        <f t="shared" si="11"/>
        <v>#DIV/0!</v>
      </c>
      <c r="V40" s="3"/>
      <c r="W40" s="3"/>
      <c r="X40" s="30" t="e">
        <f>W40/V40*100</f>
        <v>#DIV/0!</v>
      </c>
      <c r="Y40" s="3"/>
      <c r="Z40" s="3"/>
      <c r="AA40" s="15"/>
      <c r="AB40" s="3"/>
      <c r="AC40" s="3"/>
      <c r="AD40" s="115" t="e">
        <f>AC40/AB40*100</f>
        <v>#DIV/0!</v>
      </c>
      <c r="AE40" s="3"/>
      <c r="AF40" s="3"/>
      <c r="AG40" s="30" t="e">
        <f t="shared" si="21"/>
        <v>#DIV/0!</v>
      </c>
      <c r="AH40" s="3"/>
      <c r="AI40" s="3"/>
      <c r="AJ40" s="3"/>
      <c r="AK40" s="3"/>
      <c r="AL40" s="15"/>
      <c r="AM40" s="3"/>
      <c r="AN40" s="3"/>
      <c r="AO40" s="3"/>
      <c r="AP40" s="3"/>
      <c r="AQ40" s="3"/>
      <c r="AR40" s="3"/>
      <c r="AS40" s="3"/>
      <c r="AT40" s="3"/>
      <c r="AU40" s="15"/>
      <c r="AV40" s="15"/>
      <c r="AW40" s="4"/>
    </row>
    <row r="41" spans="1:49" s="45" customFormat="1" ht="36.75" customHeight="1">
      <c r="A41" s="6">
        <v>32</v>
      </c>
      <c r="B41" s="1" t="s">
        <v>74</v>
      </c>
      <c r="C41" s="80"/>
      <c r="D41" s="23"/>
      <c r="E41" s="23"/>
      <c r="F41" s="38" t="e">
        <f t="shared" si="0"/>
        <v>#DIV/0!</v>
      </c>
      <c r="G41" s="3"/>
      <c r="H41" s="3"/>
      <c r="I41" s="15"/>
      <c r="J41" s="3"/>
      <c r="K41" s="3"/>
      <c r="L41" s="15"/>
      <c r="M41" s="3"/>
      <c r="N41" s="3"/>
      <c r="O41" s="15"/>
      <c r="P41" s="3"/>
      <c r="Q41" s="3"/>
      <c r="R41" s="15"/>
      <c r="S41" s="3"/>
      <c r="T41" s="3"/>
      <c r="U41" s="15"/>
      <c r="V41" s="3"/>
      <c r="W41" s="3"/>
      <c r="X41" s="15"/>
      <c r="Y41" s="3"/>
      <c r="Z41" s="3"/>
      <c r="AA41" s="15"/>
      <c r="AB41" s="3"/>
      <c r="AC41" s="3"/>
      <c r="AD41" s="3"/>
      <c r="AE41" s="3"/>
      <c r="AF41" s="3"/>
      <c r="AG41" s="30" t="e">
        <f t="shared" si="21"/>
        <v>#DIV/0!</v>
      </c>
      <c r="AH41" s="3"/>
      <c r="AI41" s="3"/>
      <c r="AJ41" s="3"/>
      <c r="AK41" s="3"/>
      <c r="AL41" s="15"/>
      <c r="AM41" s="3"/>
      <c r="AN41" s="3"/>
      <c r="AO41" s="3"/>
      <c r="AP41" s="3"/>
      <c r="AQ41" s="3"/>
      <c r="AR41" s="3"/>
      <c r="AS41" s="3"/>
      <c r="AT41" s="3"/>
      <c r="AU41" s="15"/>
      <c r="AV41" s="15"/>
      <c r="AW41" s="4"/>
    </row>
    <row r="42" spans="1:49" s="45" customFormat="1" ht="24" customHeight="1">
      <c r="A42" s="6">
        <v>33</v>
      </c>
      <c r="B42" s="16" t="s">
        <v>75</v>
      </c>
      <c r="C42" s="2">
        <v>5.8</v>
      </c>
      <c r="D42" s="3">
        <v>505.8</v>
      </c>
      <c r="E42" s="3">
        <v>0</v>
      </c>
      <c r="F42" s="15">
        <f t="shared" si="0"/>
        <v>0</v>
      </c>
      <c r="G42" s="3">
        <v>467</v>
      </c>
      <c r="H42" s="3">
        <v>504.3</v>
      </c>
      <c r="I42" s="15">
        <f t="shared" si="7"/>
        <v>107.98715203426124</v>
      </c>
      <c r="J42" s="3">
        <v>256.4</v>
      </c>
      <c r="K42" s="3">
        <v>476.4</v>
      </c>
      <c r="L42" s="15">
        <f>K42/J42*100</f>
        <v>185.80343213728548</v>
      </c>
      <c r="M42" s="3">
        <f>D42+G42+J42</f>
        <v>1229.1999999999998</v>
      </c>
      <c r="N42" s="3">
        <f>E42+H42+K42</f>
        <v>980.7</v>
      </c>
      <c r="O42" s="15">
        <f t="shared" si="3"/>
        <v>79.78359908883829</v>
      </c>
      <c r="P42" s="3">
        <v>9.5</v>
      </c>
      <c r="Q42" s="3">
        <v>256.4</v>
      </c>
      <c r="R42" s="15">
        <f>Q42/P42*100</f>
        <v>2698.9473684210525</v>
      </c>
      <c r="S42" s="3">
        <v>0</v>
      </c>
      <c r="T42" s="3">
        <v>206.5</v>
      </c>
      <c r="U42" s="15"/>
      <c r="V42" s="3">
        <v>0</v>
      </c>
      <c r="W42" s="3">
        <v>0</v>
      </c>
      <c r="X42" s="15"/>
      <c r="Y42" s="3">
        <f>P42+S42+V42</f>
        <v>9.5</v>
      </c>
      <c r="Z42" s="3">
        <f>Q42+T42+W42</f>
        <v>462.9</v>
      </c>
      <c r="AA42" s="15">
        <f>Z42/Y42*100</f>
        <v>4872.631578947368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0" t="e">
        <f t="shared" si="21"/>
        <v>#DIV/0!</v>
      </c>
      <c r="AH42" s="3">
        <v>0</v>
      </c>
      <c r="AI42" s="3">
        <v>0</v>
      </c>
      <c r="AJ42" s="3">
        <f>AB42+AE42+AH42</f>
        <v>0</v>
      </c>
      <c r="AK42" s="3">
        <f>AC42+AF42+AI42</f>
        <v>0</v>
      </c>
      <c r="AL42" s="15" t="e">
        <f>AK42/AJ42*100</f>
        <v>#DIV/0!</v>
      </c>
      <c r="AM42" s="3">
        <v>160.6</v>
      </c>
      <c r="AN42" s="3">
        <v>0</v>
      </c>
      <c r="AO42" s="3">
        <v>473.5</v>
      </c>
      <c r="AP42" s="3">
        <v>462</v>
      </c>
      <c r="AQ42" s="3">
        <v>524.3</v>
      </c>
      <c r="AR42" s="3">
        <v>790.5</v>
      </c>
      <c r="AS42" s="3">
        <f>M42+Y42+AJ42+AM42+AO42+AQ42</f>
        <v>2397.0999999999995</v>
      </c>
      <c r="AT42" s="3">
        <f>N42+Z42+AK42+AN42+AP42+AR42</f>
        <v>2696.1</v>
      </c>
      <c r="AU42" s="15">
        <f t="shared" si="20"/>
        <v>112.47340536481585</v>
      </c>
      <c r="AV42" s="15">
        <f>AS42-AT42</f>
        <v>-299.00000000000045</v>
      </c>
      <c r="AW42" s="4">
        <f>C42+AS42-AT42</f>
        <v>-293.2000000000003</v>
      </c>
    </row>
    <row r="43" spans="1:49" s="8" customFormat="1" ht="24.75" customHeight="1">
      <c r="A43" s="40">
        <v>34</v>
      </c>
      <c r="B43" s="17" t="s">
        <v>76</v>
      </c>
      <c r="C43" s="50">
        <f>C44+C45</f>
        <v>-4176</v>
      </c>
      <c r="D43" s="50">
        <f>D44+D45</f>
        <v>18212.7</v>
      </c>
      <c r="E43" s="50">
        <f>E44+E45</f>
        <v>63</v>
      </c>
      <c r="F43" s="15">
        <f t="shared" si="0"/>
        <v>0.34591246767365624</v>
      </c>
      <c r="G43" s="50">
        <f>G44+G45</f>
        <v>16623.8</v>
      </c>
      <c r="H43" s="50">
        <f>H44+H45</f>
        <v>12059.7</v>
      </c>
      <c r="I43" s="15">
        <f>H43/G43*100</f>
        <v>72.54478518750226</v>
      </c>
      <c r="J43" s="50">
        <f>J44+J45</f>
        <v>12335.2</v>
      </c>
      <c r="K43" s="50">
        <f>K44+K45</f>
        <v>23163</v>
      </c>
      <c r="L43" s="15">
        <f>K43/J43*100</f>
        <v>187.77968739866398</v>
      </c>
      <c r="M43" s="50">
        <f>M44+M45</f>
        <v>47171.7</v>
      </c>
      <c r="N43" s="50">
        <f>N44+N45</f>
        <v>35285.7</v>
      </c>
      <c r="O43" s="15">
        <f t="shared" si="3"/>
        <v>74.80268890033643</v>
      </c>
      <c r="P43" s="50">
        <f>P44+P45</f>
        <v>6473.3</v>
      </c>
      <c r="Q43" s="50">
        <f>Q44+Q45</f>
        <v>10126.4</v>
      </c>
      <c r="R43" s="15">
        <f>Q43/P43*100</f>
        <v>156.43334929634034</v>
      </c>
      <c r="S43" s="50">
        <f>S44+S45</f>
        <v>1577.8</v>
      </c>
      <c r="T43" s="50">
        <f>T44+T45</f>
        <v>4920.3</v>
      </c>
      <c r="U43" s="15">
        <f>T43/S43*100</f>
        <v>311.84560780834073</v>
      </c>
      <c r="V43" s="50">
        <f>V44+V45</f>
        <v>677.6</v>
      </c>
      <c r="W43" s="50">
        <f>W44+W45</f>
        <v>1744.3</v>
      </c>
      <c r="X43" s="15">
        <f>W43/V43*100</f>
        <v>257.4232585596222</v>
      </c>
      <c r="Y43" s="50">
        <f>Y44+Y45</f>
        <v>8728.7</v>
      </c>
      <c r="Z43" s="50">
        <f>Z44+Z45</f>
        <v>16791</v>
      </c>
      <c r="AA43" s="15">
        <f>Z43/Y43*100</f>
        <v>192.3654152393827</v>
      </c>
      <c r="AB43" s="50">
        <f>AB44+AB45</f>
        <v>388.9</v>
      </c>
      <c r="AC43" s="50">
        <f>AC44+AC45</f>
        <v>923.1</v>
      </c>
      <c r="AD43" s="15">
        <f>AC43/AB43*100</f>
        <v>237.36178966315248</v>
      </c>
      <c r="AE43" s="50">
        <f>AE44+AE45</f>
        <v>266.6</v>
      </c>
      <c r="AF43" s="50">
        <f>AF44+AF45</f>
        <v>311.6</v>
      </c>
      <c r="AG43" s="30">
        <f>AF43/AE43*100</f>
        <v>116.87921980495123</v>
      </c>
      <c r="AH43" s="50">
        <f>AH44+AH45</f>
        <v>482.1</v>
      </c>
      <c r="AI43" s="50">
        <f>AI44+AI45</f>
        <v>460.9</v>
      </c>
      <c r="AJ43" s="50">
        <f>AJ44+AJ45</f>
        <v>1137.6</v>
      </c>
      <c r="AK43" s="50">
        <f>AK44+AK45</f>
        <v>1695.6</v>
      </c>
      <c r="AL43" s="15">
        <f>AK43/AJ43*100</f>
        <v>149.0506329113924</v>
      </c>
      <c r="AM43" s="50">
        <f aca="true" t="shared" si="22" ref="AM43:AT43">AM44+AM45</f>
        <v>4620.5</v>
      </c>
      <c r="AN43" s="50">
        <f t="shared" si="22"/>
        <v>2626.5</v>
      </c>
      <c r="AO43" s="50">
        <f t="shared" si="22"/>
        <v>12903.1</v>
      </c>
      <c r="AP43" s="50">
        <f t="shared" si="22"/>
        <v>9135.5</v>
      </c>
      <c r="AQ43" s="50">
        <f>AQ44+AQ45</f>
        <v>16515.1</v>
      </c>
      <c r="AR43" s="50">
        <f>AR44+AR45</f>
        <v>24737.2</v>
      </c>
      <c r="AS43" s="50">
        <f t="shared" si="22"/>
        <v>91076.7</v>
      </c>
      <c r="AT43" s="50">
        <f t="shared" si="22"/>
        <v>90271.5</v>
      </c>
      <c r="AU43" s="15">
        <f t="shared" si="20"/>
        <v>99.11590999673902</v>
      </c>
      <c r="AV43" s="51">
        <f>AV44+AV45</f>
        <v>805.2000000000007</v>
      </c>
      <c r="AW43" s="51">
        <f>AW44+AW45</f>
        <v>-3370.7999999999993</v>
      </c>
    </row>
    <row r="44" spans="1:49" s="8" customFormat="1" ht="24.75" customHeight="1">
      <c r="A44" s="40"/>
      <c r="B44" s="1" t="s">
        <v>77</v>
      </c>
      <c r="C44" s="2">
        <v>-4176</v>
      </c>
      <c r="D44" s="3">
        <v>16995</v>
      </c>
      <c r="E44" s="3">
        <v>63</v>
      </c>
      <c r="F44" s="15">
        <f t="shared" si="0"/>
        <v>0.37069726390114743</v>
      </c>
      <c r="G44" s="3">
        <v>15248</v>
      </c>
      <c r="H44" s="3">
        <v>10842</v>
      </c>
      <c r="I44" s="15">
        <f t="shared" si="7"/>
        <v>71.10440713536201</v>
      </c>
      <c r="J44" s="3">
        <v>11386</v>
      </c>
      <c r="K44" s="3">
        <v>21799</v>
      </c>
      <c r="L44" s="15">
        <f>K44/J44*100</f>
        <v>191.45441770595468</v>
      </c>
      <c r="M44" s="3">
        <f>D44+G44+J44</f>
        <v>43629</v>
      </c>
      <c r="N44" s="3">
        <f>E44+H44+K44</f>
        <v>32704</v>
      </c>
      <c r="O44" s="15">
        <f t="shared" si="3"/>
        <v>74.95931605125031</v>
      </c>
      <c r="P44" s="3">
        <v>6152</v>
      </c>
      <c r="Q44" s="3">
        <v>9098</v>
      </c>
      <c r="R44" s="15">
        <f>Q44/P44*100</f>
        <v>147.88686605981795</v>
      </c>
      <c r="S44" s="3">
        <v>1434</v>
      </c>
      <c r="T44" s="3">
        <v>4644</v>
      </c>
      <c r="U44" s="15">
        <f>T44/S44*100</f>
        <v>323.8493723849372</v>
      </c>
      <c r="V44" s="3">
        <v>558</v>
      </c>
      <c r="W44" s="3">
        <v>1616</v>
      </c>
      <c r="X44" s="15">
        <f>W44/V44*100</f>
        <v>289.60573476702507</v>
      </c>
      <c r="Y44" s="3">
        <f>P44+S44+V44</f>
        <v>8144</v>
      </c>
      <c r="Z44" s="3">
        <f>Q44+T44+W44</f>
        <v>15358</v>
      </c>
      <c r="AA44" s="15">
        <f>Z44/Y44*100</f>
        <v>188.5805500982318</v>
      </c>
      <c r="AB44" s="3">
        <v>276</v>
      </c>
      <c r="AC44" s="3">
        <v>805</v>
      </c>
      <c r="AD44" s="3">
        <f>AC44/AB44*100</f>
        <v>291.66666666666663</v>
      </c>
      <c r="AE44" s="46">
        <v>219</v>
      </c>
      <c r="AF44" s="46">
        <v>199</v>
      </c>
      <c r="AG44" s="30">
        <f>AF44/AE44*100</f>
        <v>90.8675799086758</v>
      </c>
      <c r="AH44" s="46">
        <v>387</v>
      </c>
      <c r="AI44" s="46">
        <v>408</v>
      </c>
      <c r="AJ44" s="3">
        <f>AB44+AE44+AH44</f>
        <v>882</v>
      </c>
      <c r="AK44" s="3">
        <f>AC44+AF44+AI44</f>
        <v>1412</v>
      </c>
      <c r="AL44" s="15">
        <f>AK44/AJ44*100</f>
        <v>160.09070294784578</v>
      </c>
      <c r="AM44" s="46">
        <v>4170</v>
      </c>
      <c r="AN44" s="46">
        <v>2455</v>
      </c>
      <c r="AO44" s="46">
        <v>11718</v>
      </c>
      <c r="AP44" s="46">
        <v>8642</v>
      </c>
      <c r="AQ44" s="46">
        <v>15212</v>
      </c>
      <c r="AR44" s="46">
        <v>22433</v>
      </c>
      <c r="AS44" s="3">
        <f>M44+Y44+AJ44+AM44+AO44+AQ44</f>
        <v>83755</v>
      </c>
      <c r="AT44" s="3">
        <f>N44+Z44+AK44+AN44+AP44+AR44</f>
        <v>83004</v>
      </c>
      <c r="AU44" s="3">
        <f t="shared" si="20"/>
        <v>99.10333711420213</v>
      </c>
      <c r="AV44" s="15">
        <f>AS44-AT44</f>
        <v>751</v>
      </c>
      <c r="AW44" s="4">
        <f>C44+AS44-AT44</f>
        <v>-3425</v>
      </c>
    </row>
    <row r="45" spans="1:49" s="8" customFormat="1" ht="24.75" customHeight="1">
      <c r="A45" s="40"/>
      <c r="B45" s="1" t="s">
        <v>69</v>
      </c>
      <c r="C45" s="2">
        <v>0</v>
      </c>
      <c r="D45" s="3">
        <v>1217.7</v>
      </c>
      <c r="E45" s="3">
        <v>0</v>
      </c>
      <c r="F45" s="15">
        <f>E45/D45*100</f>
        <v>0</v>
      </c>
      <c r="G45" s="46">
        <v>1375.8</v>
      </c>
      <c r="H45" s="46">
        <v>1217.7</v>
      </c>
      <c r="I45" s="15">
        <f t="shared" si="7"/>
        <v>88.50850414304405</v>
      </c>
      <c r="J45" s="46">
        <v>949.2</v>
      </c>
      <c r="K45" s="46">
        <v>1364</v>
      </c>
      <c r="L45" s="15">
        <f>K45/J45*100</f>
        <v>143.6999578592499</v>
      </c>
      <c r="M45" s="3">
        <f>D45+G45+J45</f>
        <v>3542.7</v>
      </c>
      <c r="N45" s="3">
        <f>E45+H45+K45</f>
        <v>2581.7</v>
      </c>
      <c r="O45" s="15">
        <f t="shared" si="3"/>
        <v>72.87379682163322</v>
      </c>
      <c r="P45" s="46">
        <v>321.3</v>
      </c>
      <c r="Q45" s="46">
        <v>1028.4</v>
      </c>
      <c r="R45" s="15">
        <f>Q45/P45*100</f>
        <v>320.0746965452848</v>
      </c>
      <c r="S45" s="46">
        <v>143.8</v>
      </c>
      <c r="T45" s="46">
        <v>276.3</v>
      </c>
      <c r="U45" s="15">
        <f>T45/S45*100</f>
        <v>192.14186369958276</v>
      </c>
      <c r="V45" s="46">
        <v>119.6</v>
      </c>
      <c r="W45" s="46">
        <v>128.3</v>
      </c>
      <c r="X45" s="15">
        <f>W45/V45*100</f>
        <v>107.2742474916388</v>
      </c>
      <c r="Y45" s="3">
        <f>P45+S45+V45</f>
        <v>584.7</v>
      </c>
      <c r="Z45" s="3">
        <f>Q45+T45+W45</f>
        <v>1433</v>
      </c>
      <c r="AA45" s="15">
        <f>Z45/Y45*100</f>
        <v>245.08294852060882</v>
      </c>
      <c r="AB45" s="46">
        <v>112.9</v>
      </c>
      <c r="AC45" s="46">
        <v>118.1</v>
      </c>
      <c r="AD45" s="3">
        <f>AC45/AB45*100</f>
        <v>104.60584588131087</v>
      </c>
      <c r="AE45" s="46">
        <v>47.6</v>
      </c>
      <c r="AF45" s="46">
        <v>112.6</v>
      </c>
      <c r="AG45" s="38">
        <f>AF45/AE45*100</f>
        <v>236.55462184873946</v>
      </c>
      <c r="AH45" s="46">
        <v>95.1</v>
      </c>
      <c r="AI45" s="46">
        <v>52.9</v>
      </c>
      <c r="AJ45" s="3">
        <f>AB45+AE45+AH45</f>
        <v>255.6</v>
      </c>
      <c r="AK45" s="3">
        <f>AC45+AF45+AI45</f>
        <v>283.59999999999997</v>
      </c>
      <c r="AL45" s="15">
        <f>AK45/AJ45*100</f>
        <v>110.95461658841938</v>
      </c>
      <c r="AM45" s="46">
        <v>450.5</v>
      </c>
      <c r="AN45" s="46">
        <v>171.5</v>
      </c>
      <c r="AO45" s="46">
        <v>1185.1</v>
      </c>
      <c r="AP45" s="46">
        <v>493.5</v>
      </c>
      <c r="AQ45" s="46">
        <v>1303.1</v>
      </c>
      <c r="AR45" s="46">
        <v>2304.2</v>
      </c>
      <c r="AS45" s="3">
        <f>M45+Y45+AJ45+AM45+AO45+AQ45</f>
        <v>7321.700000000001</v>
      </c>
      <c r="AT45" s="3">
        <f>N45+Z45+AK45+AN45+AP45+AR45</f>
        <v>7267.5</v>
      </c>
      <c r="AU45" s="3">
        <f>AT45/AS45*100</f>
        <v>99.25973476105275</v>
      </c>
      <c r="AV45" s="15">
        <f>AS45-AT45</f>
        <v>54.20000000000073</v>
      </c>
      <c r="AW45" s="4">
        <f>C45+AS45-AT45</f>
        <v>54.20000000000073</v>
      </c>
    </row>
    <row r="46" spans="1:51" s="8" customFormat="1" ht="24.75" customHeight="1">
      <c r="A46" s="40"/>
      <c r="B46" s="17" t="s">
        <v>78</v>
      </c>
      <c r="C46" s="50">
        <f>C7+C43</f>
        <v>-6705.9</v>
      </c>
      <c r="D46" s="4">
        <f>D7+D43</f>
        <v>25108.6</v>
      </c>
      <c r="E46" s="4">
        <f>E7+E43</f>
        <v>867.9</v>
      </c>
      <c r="F46" s="15">
        <f>E46/D46*100</f>
        <v>3.456584596512749</v>
      </c>
      <c r="G46" s="4">
        <f>G7+G43</f>
        <v>23412.6</v>
      </c>
      <c r="H46" s="4">
        <f>H7+H43</f>
        <v>18348.9</v>
      </c>
      <c r="I46" s="15">
        <f>H46/G46*100</f>
        <v>78.37190230901311</v>
      </c>
      <c r="J46" s="4">
        <f>J7+J43</f>
        <v>16757.5</v>
      </c>
      <c r="K46" s="4">
        <f>K7+K43</f>
        <v>31929.699999999997</v>
      </c>
      <c r="L46" s="15">
        <f>K46/J46*100</f>
        <v>190.5397583171714</v>
      </c>
      <c r="M46" s="4">
        <f>M7+M43</f>
        <v>65278.7</v>
      </c>
      <c r="N46" s="4">
        <f>N7+N43</f>
        <v>51146.5</v>
      </c>
      <c r="O46" s="15">
        <f t="shared" si="3"/>
        <v>78.35097819043578</v>
      </c>
      <c r="P46" s="4">
        <f>P7+P43</f>
        <v>7145.7</v>
      </c>
      <c r="Q46" s="4">
        <f>Q7+Q43</f>
        <v>11681.099999999999</v>
      </c>
      <c r="R46" s="15">
        <f>Q46/P46*100</f>
        <v>163.47033880515554</v>
      </c>
      <c r="S46" s="4">
        <f>S7+S43</f>
        <v>1709.3999999999999</v>
      </c>
      <c r="T46" s="4">
        <f>T7+T43</f>
        <v>5431.7</v>
      </c>
      <c r="U46" s="15">
        <f>T46/S46*100</f>
        <v>317.7547677547678</v>
      </c>
      <c r="V46" s="4">
        <f>V7+V43</f>
        <v>828.6</v>
      </c>
      <c r="W46" s="4">
        <f>W7+W43</f>
        <v>1809.5</v>
      </c>
      <c r="X46" s="15">
        <f>W46/V46*100</f>
        <v>218.38040067583876</v>
      </c>
      <c r="Y46" s="4">
        <f>Y7+Y43</f>
        <v>9683.7</v>
      </c>
      <c r="Z46" s="4">
        <f>Z7+Z43</f>
        <v>18922.3</v>
      </c>
      <c r="AA46" s="15">
        <f>Z46/Y46*100</f>
        <v>195.4036163862986</v>
      </c>
      <c r="AB46" s="4">
        <f>AB7+AB43</f>
        <v>551.4</v>
      </c>
      <c r="AC46" s="4">
        <f>AC7+AC43</f>
        <v>1105.3</v>
      </c>
      <c r="AD46" s="15">
        <f>AC46/AB46*100</f>
        <v>200.45339136742837</v>
      </c>
      <c r="AE46" s="4">
        <f>AE7+AE43</f>
        <v>382.90000000000003</v>
      </c>
      <c r="AF46" s="4">
        <f>AF7+AF43</f>
        <v>431.5</v>
      </c>
      <c r="AG46" s="15">
        <f>AF46/AE46*100</f>
        <v>112.69260903630189</v>
      </c>
      <c r="AH46" s="4">
        <f>AH7+AH43</f>
        <v>644.1</v>
      </c>
      <c r="AI46" s="4">
        <f>AI7+AI43</f>
        <v>637.5</v>
      </c>
      <c r="AJ46" s="4">
        <f>AJ7+AJ43</f>
        <v>1578.3999999999999</v>
      </c>
      <c r="AK46" s="4">
        <f>AK7+AK43</f>
        <v>2174.2999999999997</v>
      </c>
      <c r="AL46" s="15">
        <f>AK46/AJ46*100</f>
        <v>137.75342118601114</v>
      </c>
      <c r="AM46" s="4">
        <f aca="true" t="shared" si="23" ref="AM46:AT46">AM7+AM43</f>
        <v>7230.4</v>
      </c>
      <c r="AN46" s="4">
        <f t="shared" si="23"/>
        <v>5452.2</v>
      </c>
      <c r="AO46" s="4">
        <f t="shared" si="23"/>
        <v>20478.5</v>
      </c>
      <c r="AP46" s="4">
        <f t="shared" si="23"/>
        <v>15906</v>
      </c>
      <c r="AQ46" s="4">
        <f>AQ7+AQ43</f>
        <v>26591.999999999996</v>
      </c>
      <c r="AR46" s="4">
        <f>AR7+AR43</f>
        <v>37066.3</v>
      </c>
      <c r="AS46" s="4">
        <f t="shared" si="23"/>
        <v>130841.7</v>
      </c>
      <c r="AT46" s="4">
        <f t="shared" si="23"/>
        <v>130667.6</v>
      </c>
      <c r="AU46" s="15">
        <f>AT46/AS46*100</f>
        <v>99.86693844546502</v>
      </c>
      <c r="AV46" s="51">
        <f>AV7+AV43</f>
        <v>174.1000000000006</v>
      </c>
      <c r="AW46" s="51">
        <f>AW7+AW43</f>
        <v>-6531.799999999999</v>
      </c>
      <c r="AX46" s="22">
        <f>AS46-AT46</f>
        <v>174.09999999999127</v>
      </c>
      <c r="AY46" s="19">
        <f>C46+AS46-AT46</f>
        <v>-6531.800000000003</v>
      </c>
    </row>
    <row r="47" spans="1:49" s="8" customFormat="1" ht="24.75" customHeight="1">
      <c r="A47" s="81"/>
      <c r="B47" s="82"/>
      <c r="C47" s="83"/>
      <c r="D47" s="77"/>
      <c r="E47" s="18"/>
      <c r="F47" s="18"/>
      <c r="G47" s="29"/>
      <c r="H47" s="29"/>
      <c r="I47" s="67"/>
      <c r="J47" s="29"/>
      <c r="K47" s="29"/>
      <c r="L47" s="67"/>
      <c r="M47" s="67"/>
      <c r="N47" s="67"/>
      <c r="O47" s="67"/>
      <c r="P47" s="29"/>
      <c r="Q47" s="29"/>
      <c r="R47" s="67"/>
      <c r="S47" s="29"/>
      <c r="T47" s="29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29"/>
      <c r="AT47" s="29"/>
      <c r="AU47" s="67"/>
      <c r="AV47" s="29"/>
      <c r="AW47" s="29"/>
    </row>
    <row r="48" spans="1:49" s="8" customFormat="1" ht="18.75" customHeight="1" hidden="1">
      <c r="A48" s="40"/>
      <c r="B48" s="8" t="s">
        <v>82</v>
      </c>
      <c r="C48" s="83"/>
      <c r="D48" s="18"/>
      <c r="E48" s="18"/>
      <c r="F48" s="18"/>
      <c r="G48" s="29"/>
      <c r="H48" s="29"/>
      <c r="I48" s="67"/>
      <c r="J48" s="29"/>
      <c r="K48" s="29"/>
      <c r="L48" s="67"/>
      <c r="M48" s="67"/>
      <c r="N48" s="67"/>
      <c r="O48" s="67"/>
      <c r="P48" s="29"/>
      <c r="Q48" s="29"/>
      <c r="R48" s="67"/>
      <c r="S48" s="29"/>
      <c r="T48" s="29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29"/>
      <c r="AT48" s="29"/>
      <c r="AU48" s="67"/>
      <c r="AV48" s="29"/>
      <c r="AW48" s="29"/>
    </row>
    <row r="49" spans="1:49" s="8" customFormat="1" ht="15.75" customHeight="1" hidden="1">
      <c r="A49" s="81"/>
      <c r="C49" s="83"/>
      <c r="D49" s="7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9"/>
    </row>
    <row r="50" spans="1:49" s="8" customFormat="1" ht="18.75" customHeight="1" hidden="1">
      <c r="A50" s="40"/>
      <c r="B50" s="8" t="s">
        <v>83</v>
      </c>
      <c r="C50" s="83"/>
      <c r="D50" s="7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9"/>
    </row>
    <row r="51" spans="1:49" s="66" customFormat="1" ht="43.5" customHeight="1">
      <c r="A51" s="61"/>
      <c r="B51" s="129" t="s">
        <v>101</v>
      </c>
      <c r="C51" s="129"/>
      <c r="D51" s="129"/>
      <c r="E51" s="62"/>
      <c r="F51" s="63"/>
      <c r="G51" s="33"/>
      <c r="H51" s="33"/>
      <c r="I51" s="57"/>
      <c r="J51" s="33"/>
      <c r="K51" s="33"/>
      <c r="L51" s="57"/>
      <c r="M51" s="57"/>
      <c r="N51" s="57"/>
      <c r="O51" s="57"/>
      <c r="P51" s="33"/>
      <c r="Q51" s="33"/>
      <c r="R51" s="57"/>
      <c r="S51" s="33"/>
      <c r="T51" s="33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33"/>
      <c r="AT51" s="33"/>
      <c r="AU51" s="57"/>
      <c r="AV51" s="33"/>
      <c r="AW51" s="33"/>
    </row>
    <row r="52" spans="2:49" ht="42" customHeight="1" hidden="1">
      <c r="B52" s="137" t="s">
        <v>38</v>
      </c>
      <c r="C52" s="137"/>
      <c r="D52" s="8"/>
      <c r="E52" s="8"/>
      <c r="G52" s="64"/>
      <c r="H52" s="64"/>
      <c r="I52" s="63"/>
      <c r="J52" s="64"/>
      <c r="K52" s="64"/>
      <c r="L52" s="63"/>
      <c r="M52" s="63"/>
      <c r="N52" s="63"/>
      <c r="O52" s="63"/>
      <c r="P52" s="64"/>
      <c r="Q52" s="64"/>
      <c r="R52" s="63"/>
      <c r="S52" s="64"/>
      <c r="T52" s="64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57"/>
      <c r="AF52" s="57"/>
      <c r="AG52" s="57"/>
      <c r="AH52" s="57"/>
      <c r="AI52" s="57"/>
      <c r="AJ52" s="63"/>
      <c r="AK52" s="63"/>
      <c r="AL52" s="63"/>
      <c r="AM52" s="57"/>
      <c r="AN52" s="57"/>
      <c r="AO52" s="57"/>
      <c r="AP52" s="57"/>
      <c r="AQ52" s="57"/>
      <c r="AR52" s="57"/>
      <c r="AS52" s="62"/>
      <c r="AT52" s="62"/>
      <c r="AU52" s="63"/>
      <c r="AV52" s="64"/>
      <c r="AW52" s="65" t="s">
        <v>100</v>
      </c>
    </row>
    <row r="53" spans="1:53" ht="73.5" customHeight="1" hidden="1">
      <c r="A53" s="130" t="s">
        <v>99</v>
      </c>
      <c r="B53" s="130"/>
      <c r="C53" s="130"/>
      <c r="D53" s="58"/>
      <c r="E53" s="58"/>
      <c r="F53" s="57"/>
      <c r="G53" s="29"/>
      <c r="H53" s="29"/>
      <c r="I53" s="67"/>
      <c r="J53" s="29"/>
      <c r="K53" s="29"/>
      <c r="L53" s="67"/>
      <c r="M53" s="67"/>
      <c r="N53" s="67"/>
      <c r="O53" s="67"/>
      <c r="P53" s="29"/>
      <c r="Q53" s="29"/>
      <c r="R53" s="67"/>
      <c r="S53" s="29"/>
      <c r="T53" s="29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3"/>
      <c r="AF53" s="63"/>
      <c r="AG53" s="63"/>
      <c r="AH53" s="63"/>
      <c r="AI53" s="63"/>
      <c r="AJ53" s="67"/>
      <c r="AK53" s="67"/>
      <c r="AL53" s="67"/>
      <c r="AM53" s="63"/>
      <c r="AN53" s="63"/>
      <c r="AO53" s="63"/>
      <c r="AP53" s="63"/>
      <c r="AQ53" s="63"/>
      <c r="AR53" s="63"/>
      <c r="AS53" s="29"/>
      <c r="AT53" s="29"/>
      <c r="AU53" s="67"/>
      <c r="AV53" s="29"/>
      <c r="AW53" s="29"/>
      <c r="AX53" s="33"/>
      <c r="AY53" s="33"/>
      <c r="AZ53" s="57"/>
      <c r="BA53" s="59" t="s">
        <v>97</v>
      </c>
    </row>
    <row r="54" spans="3:49" ht="45" customHeight="1">
      <c r="C54" s="84"/>
      <c r="D54" s="85"/>
      <c r="E54" s="85"/>
      <c r="F54" s="86"/>
      <c r="G54" s="3">
        <v>142.7</v>
      </c>
      <c r="H54" s="3">
        <v>103.3</v>
      </c>
      <c r="I54" s="15"/>
      <c r="J54" s="3">
        <v>142.7</v>
      </c>
      <c r="K54" s="3">
        <v>103.3</v>
      </c>
      <c r="L54" s="15"/>
      <c r="M54" s="15"/>
      <c r="N54" s="15"/>
      <c r="O54" s="15"/>
      <c r="P54" s="3">
        <v>142.7</v>
      </c>
      <c r="Q54" s="3">
        <v>103.3</v>
      </c>
      <c r="R54" s="15"/>
      <c r="S54" s="3">
        <v>142.7</v>
      </c>
      <c r="T54" s="3">
        <v>103.3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67"/>
      <c r="AF54" s="67"/>
      <c r="AG54" s="67"/>
      <c r="AH54" s="67"/>
      <c r="AI54" s="67"/>
      <c r="AJ54" s="15"/>
      <c r="AK54" s="15"/>
      <c r="AL54" s="15"/>
      <c r="AM54" s="67"/>
      <c r="AN54" s="67"/>
      <c r="AO54" s="67"/>
      <c r="AP54" s="67"/>
      <c r="AQ54" s="67"/>
      <c r="AR54" s="67"/>
      <c r="AS54" s="3">
        <v>1154.2</v>
      </c>
      <c r="AT54" s="3">
        <v>1213.3</v>
      </c>
      <c r="AU54" s="15"/>
      <c r="AV54" s="3"/>
      <c r="AW54" s="4">
        <f>C54+D54-E54</f>
        <v>0</v>
      </c>
    </row>
    <row r="55" spans="2:49" ht="18.75">
      <c r="B55" s="5" t="s">
        <v>39</v>
      </c>
      <c r="C55" s="79">
        <v>0</v>
      </c>
      <c r="D55" s="3"/>
      <c r="E55" s="3"/>
      <c r="F55" s="15"/>
      <c r="G55" s="29"/>
      <c r="H55" s="29"/>
      <c r="I55" s="67"/>
      <c r="J55" s="29"/>
      <c r="K55" s="29"/>
      <c r="L55" s="67"/>
      <c r="M55" s="67"/>
      <c r="N55" s="67"/>
      <c r="O55" s="67"/>
      <c r="P55" s="29"/>
      <c r="Q55" s="29"/>
      <c r="R55" s="67"/>
      <c r="S55" s="29"/>
      <c r="T55" s="29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15"/>
      <c r="AF55" s="15"/>
      <c r="AG55" s="15"/>
      <c r="AH55" s="18"/>
      <c r="AI55" s="18"/>
      <c r="AJ55" s="67"/>
      <c r="AK55" s="67"/>
      <c r="AL55" s="67"/>
      <c r="AM55" s="18"/>
      <c r="AN55" s="18"/>
      <c r="AO55" s="18"/>
      <c r="AP55" s="18"/>
      <c r="AQ55" s="18"/>
      <c r="AR55" s="18"/>
      <c r="AS55" s="29">
        <v>1415.7</v>
      </c>
      <c r="AT55" s="29">
        <v>1436.1</v>
      </c>
      <c r="AU55" s="67"/>
      <c r="AV55" s="29"/>
      <c r="AW55" s="4">
        <f>C55+D55-E55</f>
        <v>0</v>
      </c>
    </row>
    <row r="56" spans="2:49" ht="18.75">
      <c r="B56" s="5" t="s">
        <v>40</v>
      </c>
      <c r="C56" s="68">
        <v>-3.7</v>
      </c>
      <c r="D56" s="33">
        <v>552.6</v>
      </c>
      <c r="E56" s="33">
        <v>564.7</v>
      </c>
      <c r="F56" s="57"/>
      <c r="G56" s="29"/>
      <c r="H56" s="29"/>
      <c r="I56" s="67"/>
      <c r="J56" s="29"/>
      <c r="K56" s="29"/>
      <c r="L56" s="67"/>
      <c r="M56" s="67"/>
      <c r="N56" s="67"/>
      <c r="O56" s="67"/>
      <c r="P56" s="29"/>
      <c r="Q56" s="29"/>
      <c r="R56" s="67"/>
      <c r="S56" s="29"/>
      <c r="T56" s="29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29"/>
      <c r="AT56" s="29"/>
      <c r="AU56" s="67"/>
      <c r="AV56" s="29"/>
      <c r="AW56" s="29"/>
    </row>
    <row r="57" spans="3:49" ht="24.75" customHeight="1">
      <c r="C57" s="68"/>
      <c r="D57" s="33"/>
      <c r="E57" s="33"/>
      <c r="F57" s="57"/>
      <c r="G57" s="29"/>
      <c r="H57" s="29"/>
      <c r="I57" s="67"/>
      <c r="J57" s="29"/>
      <c r="K57" s="29"/>
      <c r="L57" s="67"/>
      <c r="M57" s="67"/>
      <c r="N57" s="67"/>
      <c r="O57" s="67"/>
      <c r="P57" s="29"/>
      <c r="Q57" s="29"/>
      <c r="R57" s="67"/>
      <c r="S57" s="29"/>
      <c r="T57" s="29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29"/>
      <c r="AT57" s="29"/>
      <c r="AU57" s="67"/>
      <c r="AV57" s="29"/>
      <c r="AW57" s="29"/>
    </row>
    <row r="58" spans="3:49" ht="24.75" customHeight="1">
      <c r="C58" s="68"/>
      <c r="D58" s="33"/>
      <c r="E58" s="33"/>
      <c r="F58" s="57"/>
      <c r="G58" s="29"/>
      <c r="H58" s="29"/>
      <c r="I58" s="67"/>
      <c r="J58" s="29"/>
      <c r="K58" s="29"/>
      <c r="L58" s="67"/>
      <c r="M58" s="67"/>
      <c r="N58" s="67"/>
      <c r="O58" s="67"/>
      <c r="P58" s="29"/>
      <c r="Q58" s="29"/>
      <c r="R58" s="67"/>
      <c r="S58" s="29"/>
      <c r="T58" s="29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29"/>
      <c r="AT58" s="29"/>
      <c r="AU58" s="67"/>
      <c r="AV58" s="29"/>
      <c r="AW58" s="29">
        <f>AW9+AW17+AW20+AW26+AW36+AW38+AW40</f>
        <v>-797.3999999999994</v>
      </c>
    </row>
    <row r="59" spans="2:49" ht="18.75">
      <c r="B59" s="5" t="s">
        <v>41</v>
      </c>
      <c r="C59" s="68">
        <f>C9+C17+C20+C26+C36+C38+C40</f>
        <v>-808</v>
      </c>
      <c r="D59" s="33"/>
      <c r="E59" s="33"/>
      <c r="F59" s="57"/>
      <c r="G59" s="29"/>
      <c r="H59" s="29"/>
      <c r="I59" s="67"/>
      <c r="J59" s="29"/>
      <c r="K59" s="29"/>
      <c r="L59" s="67"/>
      <c r="M59" s="67"/>
      <c r="N59" s="67"/>
      <c r="O59" s="67"/>
      <c r="P59" s="29"/>
      <c r="Q59" s="29"/>
      <c r="R59" s="67"/>
      <c r="S59" s="29"/>
      <c r="T59" s="29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29"/>
      <c r="AT59" s="29"/>
      <c r="AU59" s="67"/>
      <c r="AV59" s="29"/>
      <c r="AW59" s="29">
        <f>AW11+AW13+AW14+AW16+AW18+AW19+AW25</f>
        <v>-13.400000000000091</v>
      </c>
    </row>
    <row r="60" spans="2:49" ht="18.75">
      <c r="B60" s="5" t="s">
        <v>42</v>
      </c>
      <c r="C60" s="68">
        <f>C11+C13+C14+C16+C18+C19+C25</f>
        <v>-428</v>
      </c>
      <c r="D60" s="33"/>
      <c r="E60" s="33"/>
      <c r="F60" s="57"/>
      <c r="G60" s="29"/>
      <c r="H60" s="29"/>
      <c r="I60" s="67"/>
      <c r="J60" s="29"/>
      <c r="K60" s="29"/>
      <c r="L60" s="67"/>
      <c r="M60" s="67"/>
      <c r="N60" s="67"/>
      <c r="O60" s="67"/>
      <c r="P60" s="29"/>
      <c r="Q60" s="29"/>
      <c r="R60" s="67"/>
      <c r="S60" s="29"/>
      <c r="T60" s="29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29"/>
      <c r="AT60" s="29"/>
      <c r="AU60" s="67"/>
      <c r="AV60" s="29"/>
      <c r="AW60" s="29"/>
    </row>
    <row r="61" spans="7:49" ht="24.75" customHeight="1">
      <c r="G61" s="29"/>
      <c r="H61" s="29"/>
      <c r="I61" s="67"/>
      <c r="J61" s="29"/>
      <c r="K61" s="29"/>
      <c r="L61" s="67"/>
      <c r="M61" s="67"/>
      <c r="N61" s="67"/>
      <c r="O61" s="67"/>
      <c r="P61" s="29"/>
      <c r="Q61" s="29"/>
      <c r="R61" s="67"/>
      <c r="S61" s="29"/>
      <c r="T61" s="29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29"/>
      <c r="AT61" s="29"/>
      <c r="AU61" s="67"/>
      <c r="AV61" s="29"/>
      <c r="AW61" s="29"/>
    </row>
    <row r="62" spans="7:49" ht="24.75" customHeight="1">
      <c r="G62" s="29"/>
      <c r="H62" s="29"/>
      <c r="I62" s="67"/>
      <c r="J62" s="29"/>
      <c r="K62" s="29"/>
      <c r="L62" s="67"/>
      <c r="M62" s="67"/>
      <c r="N62" s="67"/>
      <c r="O62" s="67"/>
      <c r="P62" s="29"/>
      <c r="Q62" s="29"/>
      <c r="R62" s="67"/>
      <c r="S62" s="29"/>
      <c r="T62" s="29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29"/>
      <c r="AT62" s="29"/>
      <c r="AU62" s="67"/>
      <c r="AV62" s="29"/>
      <c r="AW62" s="29"/>
    </row>
    <row r="63" spans="7:49" ht="24.75" customHeight="1">
      <c r="G63" s="29"/>
      <c r="H63" s="29"/>
      <c r="I63" s="67"/>
      <c r="J63" s="29"/>
      <c r="K63" s="29"/>
      <c r="L63" s="67"/>
      <c r="M63" s="67"/>
      <c r="N63" s="67"/>
      <c r="O63" s="67"/>
      <c r="P63" s="29"/>
      <c r="Q63" s="29"/>
      <c r="R63" s="67"/>
      <c r="S63" s="29"/>
      <c r="T63" s="29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29"/>
      <c r="AT63" s="29"/>
      <c r="AU63" s="67"/>
      <c r="AV63" s="29"/>
      <c r="AW63" s="29"/>
    </row>
    <row r="64" spans="7:49" ht="24.75" customHeight="1">
      <c r="G64" s="29"/>
      <c r="H64" s="29"/>
      <c r="I64" s="67"/>
      <c r="J64" s="29"/>
      <c r="K64" s="29"/>
      <c r="L64" s="67"/>
      <c r="M64" s="67"/>
      <c r="N64" s="67"/>
      <c r="O64" s="67"/>
      <c r="P64" s="29"/>
      <c r="Q64" s="29"/>
      <c r="R64" s="67"/>
      <c r="S64" s="29"/>
      <c r="T64" s="29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9"/>
      <c r="AT64" s="29"/>
      <c r="AU64" s="67"/>
      <c r="AV64" s="29"/>
      <c r="AW64" s="29"/>
    </row>
    <row r="65" spans="7:49" ht="24.75" customHeight="1">
      <c r="G65" s="29"/>
      <c r="H65" s="29"/>
      <c r="I65" s="67"/>
      <c r="J65" s="29"/>
      <c r="K65" s="29"/>
      <c r="L65" s="67"/>
      <c r="M65" s="67"/>
      <c r="N65" s="67"/>
      <c r="O65" s="67"/>
      <c r="P65" s="29"/>
      <c r="Q65" s="29"/>
      <c r="R65" s="67"/>
      <c r="S65" s="29"/>
      <c r="T65" s="2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9"/>
      <c r="AT65" s="29"/>
      <c r="AU65" s="67"/>
      <c r="AV65" s="29"/>
      <c r="AW65" s="29"/>
    </row>
    <row r="66" spans="7:49" ht="24.75" customHeight="1">
      <c r="G66" s="29"/>
      <c r="H66" s="29"/>
      <c r="I66" s="67"/>
      <c r="J66" s="29"/>
      <c r="K66" s="29"/>
      <c r="L66" s="67"/>
      <c r="M66" s="67"/>
      <c r="N66" s="67"/>
      <c r="O66" s="67"/>
      <c r="P66" s="29"/>
      <c r="Q66" s="29"/>
      <c r="R66" s="67"/>
      <c r="S66" s="29"/>
      <c r="T66" s="2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29"/>
      <c r="AT66" s="29"/>
      <c r="AU66" s="67"/>
      <c r="AV66" s="29"/>
      <c r="AW66" s="29"/>
    </row>
    <row r="67" spans="7:49" ht="24.75" customHeight="1">
      <c r="G67" s="29"/>
      <c r="H67" s="29"/>
      <c r="I67" s="67"/>
      <c r="J67" s="29"/>
      <c r="K67" s="29"/>
      <c r="L67" s="67"/>
      <c r="M67" s="67"/>
      <c r="N67" s="67"/>
      <c r="O67" s="67"/>
      <c r="P67" s="29"/>
      <c r="Q67" s="29"/>
      <c r="R67" s="67"/>
      <c r="S67" s="29"/>
      <c r="T67" s="29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29"/>
      <c r="AT67" s="29"/>
      <c r="AU67" s="67"/>
      <c r="AV67" s="29"/>
      <c r="AW67" s="29"/>
    </row>
    <row r="68" spans="7:49" ht="24.75" customHeight="1">
      <c r="G68" s="29"/>
      <c r="H68" s="29"/>
      <c r="I68" s="67"/>
      <c r="J68" s="29"/>
      <c r="K68" s="29"/>
      <c r="L68" s="67"/>
      <c r="M68" s="67"/>
      <c r="N68" s="67"/>
      <c r="O68" s="67"/>
      <c r="P68" s="29"/>
      <c r="Q68" s="29"/>
      <c r="R68" s="67"/>
      <c r="S68" s="29"/>
      <c r="T68" s="29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29"/>
      <c r="AT68" s="29"/>
      <c r="AU68" s="67"/>
      <c r="AV68" s="29"/>
      <c r="AW68" s="29"/>
    </row>
    <row r="69" spans="7:49" ht="24.75" customHeight="1">
      <c r="G69" s="29"/>
      <c r="H69" s="29"/>
      <c r="I69" s="67"/>
      <c r="J69" s="29"/>
      <c r="K69" s="29"/>
      <c r="L69" s="67"/>
      <c r="M69" s="67"/>
      <c r="N69" s="67"/>
      <c r="O69" s="67"/>
      <c r="P69" s="29"/>
      <c r="Q69" s="29"/>
      <c r="R69" s="67"/>
      <c r="S69" s="29"/>
      <c r="T69" s="29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29"/>
      <c r="AT69" s="29"/>
      <c r="AU69" s="67"/>
      <c r="AV69" s="29"/>
      <c r="AW69" s="29"/>
    </row>
    <row r="70" spans="7:49" ht="24.75" customHeight="1">
      <c r="G70" s="29"/>
      <c r="H70" s="29"/>
      <c r="I70" s="67"/>
      <c r="J70" s="29"/>
      <c r="K70" s="29"/>
      <c r="L70" s="67"/>
      <c r="M70" s="67"/>
      <c r="N70" s="67"/>
      <c r="O70" s="67"/>
      <c r="P70" s="29"/>
      <c r="Q70" s="29"/>
      <c r="R70" s="67"/>
      <c r="S70" s="29"/>
      <c r="T70" s="29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29"/>
      <c r="AT70" s="29"/>
      <c r="AU70" s="67"/>
      <c r="AV70" s="29"/>
      <c r="AW70" s="29"/>
    </row>
    <row r="71" spans="7:49" ht="24.75" customHeight="1">
      <c r="G71" s="29"/>
      <c r="H71" s="29"/>
      <c r="I71" s="67"/>
      <c r="J71" s="29"/>
      <c r="K71" s="29"/>
      <c r="L71" s="67"/>
      <c r="M71" s="67"/>
      <c r="N71" s="67"/>
      <c r="O71" s="67"/>
      <c r="P71" s="29"/>
      <c r="Q71" s="29"/>
      <c r="R71" s="67"/>
      <c r="S71" s="29"/>
      <c r="T71" s="29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29"/>
      <c r="AT71" s="29"/>
      <c r="AU71" s="67"/>
      <c r="AV71" s="29"/>
      <c r="AW71" s="29"/>
    </row>
    <row r="72" spans="7:49" ht="24.75" customHeight="1">
      <c r="G72" s="29"/>
      <c r="H72" s="29"/>
      <c r="I72" s="67"/>
      <c r="J72" s="29"/>
      <c r="K72" s="29"/>
      <c r="L72" s="67"/>
      <c r="M72" s="67"/>
      <c r="N72" s="67"/>
      <c r="O72" s="67"/>
      <c r="P72" s="29"/>
      <c r="Q72" s="29"/>
      <c r="R72" s="67"/>
      <c r="S72" s="29"/>
      <c r="T72" s="29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29"/>
      <c r="AT72" s="29"/>
      <c r="AU72" s="67"/>
      <c r="AV72" s="29"/>
      <c r="AW72" s="29"/>
    </row>
    <row r="73" spans="7:49" ht="24.75" customHeight="1">
      <c r="G73" s="29"/>
      <c r="H73" s="29"/>
      <c r="I73" s="67"/>
      <c r="J73" s="29"/>
      <c r="K73" s="29"/>
      <c r="L73" s="67"/>
      <c r="M73" s="67"/>
      <c r="N73" s="67"/>
      <c r="O73" s="67"/>
      <c r="P73" s="29"/>
      <c r="Q73" s="29"/>
      <c r="R73" s="67"/>
      <c r="S73" s="29"/>
      <c r="T73" s="29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29"/>
      <c r="AT73" s="29"/>
      <c r="AU73" s="67"/>
      <c r="AV73" s="29"/>
      <c r="AW73" s="29"/>
    </row>
    <row r="74" spans="7:49" ht="24.75" customHeight="1">
      <c r="G74" s="29"/>
      <c r="H74" s="29"/>
      <c r="I74" s="67"/>
      <c r="J74" s="29"/>
      <c r="K74" s="29"/>
      <c r="L74" s="67"/>
      <c r="M74" s="67"/>
      <c r="N74" s="67"/>
      <c r="O74" s="67"/>
      <c r="P74" s="29"/>
      <c r="Q74" s="29"/>
      <c r="R74" s="67"/>
      <c r="S74" s="29"/>
      <c r="T74" s="29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29"/>
      <c r="AT74" s="29"/>
      <c r="AU74" s="67"/>
      <c r="AV74" s="29"/>
      <c r="AW74" s="29"/>
    </row>
    <row r="75" spans="7:49" ht="24.75" customHeight="1">
      <c r="G75" s="29"/>
      <c r="H75" s="29"/>
      <c r="I75" s="67"/>
      <c r="J75" s="29"/>
      <c r="K75" s="29"/>
      <c r="L75" s="67"/>
      <c r="M75" s="67"/>
      <c r="N75" s="67"/>
      <c r="O75" s="67"/>
      <c r="P75" s="29"/>
      <c r="Q75" s="29"/>
      <c r="R75" s="67"/>
      <c r="S75" s="29"/>
      <c r="T75" s="29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29"/>
      <c r="AT75" s="29"/>
      <c r="AU75" s="67"/>
      <c r="AV75" s="29"/>
      <c r="AW75" s="29"/>
    </row>
    <row r="76" spans="7:49" ht="24.75" customHeight="1">
      <c r="G76" s="29"/>
      <c r="H76" s="29"/>
      <c r="I76" s="67"/>
      <c r="J76" s="29"/>
      <c r="K76" s="29"/>
      <c r="L76" s="67"/>
      <c r="M76" s="67"/>
      <c r="N76" s="67"/>
      <c r="O76" s="67"/>
      <c r="P76" s="29"/>
      <c r="Q76" s="29"/>
      <c r="R76" s="67"/>
      <c r="S76" s="29"/>
      <c r="T76" s="29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29"/>
      <c r="AT76" s="29"/>
      <c r="AU76" s="67"/>
      <c r="AV76" s="29"/>
      <c r="AW76" s="29"/>
    </row>
    <row r="77" spans="7:49" ht="24.75" customHeight="1">
      <c r="G77" s="29"/>
      <c r="H77" s="29"/>
      <c r="I77" s="67"/>
      <c r="J77" s="29"/>
      <c r="K77" s="29"/>
      <c r="L77" s="67"/>
      <c r="M77" s="67"/>
      <c r="N77" s="67"/>
      <c r="O77" s="67"/>
      <c r="P77" s="29"/>
      <c r="Q77" s="29"/>
      <c r="R77" s="67"/>
      <c r="S77" s="29"/>
      <c r="T77" s="2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29"/>
      <c r="AT77" s="29"/>
      <c r="AU77" s="67"/>
      <c r="AV77" s="29"/>
      <c r="AW77" s="29"/>
    </row>
    <row r="78" spans="7:49" ht="24.75" customHeight="1">
      <c r="G78" s="29"/>
      <c r="H78" s="29"/>
      <c r="I78" s="67"/>
      <c r="J78" s="29"/>
      <c r="K78" s="29"/>
      <c r="L78" s="67"/>
      <c r="M78" s="67"/>
      <c r="N78" s="67"/>
      <c r="O78" s="67"/>
      <c r="P78" s="29"/>
      <c r="Q78" s="29"/>
      <c r="R78" s="67"/>
      <c r="S78" s="29"/>
      <c r="T78" s="2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29"/>
      <c r="AT78" s="29"/>
      <c r="AU78" s="67"/>
      <c r="AV78" s="29"/>
      <c r="AW78" s="29"/>
    </row>
    <row r="79" spans="7:49" ht="24.75" customHeight="1">
      <c r="G79" s="29"/>
      <c r="H79" s="29"/>
      <c r="I79" s="67"/>
      <c r="J79" s="29"/>
      <c r="K79" s="29"/>
      <c r="L79" s="67"/>
      <c r="M79" s="67"/>
      <c r="N79" s="67"/>
      <c r="O79" s="67"/>
      <c r="P79" s="29"/>
      <c r="Q79" s="29"/>
      <c r="R79" s="67"/>
      <c r="S79" s="29"/>
      <c r="T79" s="29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29"/>
      <c r="AT79" s="29"/>
      <c r="AU79" s="67"/>
      <c r="AV79" s="29"/>
      <c r="AW79" s="29"/>
    </row>
    <row r="80" spans="7:49" ht="24.75" customHeight="1">
      <c r="G80" s="29"/>
      <c r="H80" s="29"/>
      <c r="I80" s="67"/>
      <c r="J80" s="29"/>
      <c r="K80" s="29"/>
      <c r="L80" s="67"/>
      <c r="M80" s="67"/>
      <c r="N80" s="67"/>
      <c r="O80" s="67"/>
      <c r="P80" s="29"/>
      <c r="Q80" s="29"/>
      <c r="R80" s="67"/>
      <c r="S80" s="29"/>
      <c r="T80" s="29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29"/>
      <c r="AT80" s="29"/>
      <c r="AU80" s="67"/>
      <c r="AV80" s="29"/>
      <c r="AW80" s="29"/>
    </row>
    <row r="81" spans="7:49" ht="24.75" customHeight="1">
      <c r="G81" s="29"/>
      <c r="H81" s="29"/>
      <c r="I81" s="67"/>
      <c r="J81" s="29"/>
      <c r="K81" s="29"/>
      <c r="L81" s="67"/>
      <c r="M81" s="67"/>
      <c r="N81" s="67"/>
      <c r="O81" s="67"/>
      <c r="P81" s="29"/>
      <c r="Q81" s="29"/>
      <c r="R81" s="67"/>
      <c r="S81" s="29"/>
      <c r="T81" s="29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29"/>
      <c r="AT81" s="29"/>
      <c r="AU81" s="67"/>
      <c r="AV81" s="29"/>
      <c r="AW81" s="29"/>
    </row>
    <row r="82" spans="7:49" ht="24.75" customHeight="1">
      <c r="G82" s="29"/>
      <c r="H82" s="29"/>
      <c r="I82" s="67"/>
      <c r="J82" s="29"/>
      <c r="K82" s="29"/>
      <c r="L82" s="67"/>
      <c r="M82" s="67"/>
      <c r="N82" s="67"/>
      <c r="O82" s="67"/>
      <c r="P82" s="29"/>
      <c r="Q82" s="29"/>
      <c r="R82" s="67"/>
      <c r="S82" s="29"/>
      <c r="T82" s="29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29"/>
      <c r="AT82" s="29"/>
      <c r="AU82" s="67"/>
      <c r="AV82" s="29"/>
      <c r="AW82" s="29"/>
    </row>
    <row r="83" spans="7:49" ht="24.75" customHeight="1">
      <c r="G83" s="29"/>
      <c r="H83" s="29"/>
      <c r="I83" s="67"/>
      <c r="J83" s="29"/>
      <c r="K83" s="29"/>
      <c r="L83" s="67"/>
      <c r="M83" s="67"/>
      <c r="N83" s="67"/>
      <c r="O83" s="67"/>
      <c r="P83" s="29"/>
      <c r="Q83" s="29"/>
      <c r="R83" s="67"/>
      <c r="S83" s="29"/>
      <c r="T83" s="29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29"/>
      <c r="AT83" s="29"/>
      <c r="AU83" s="67"/>
      <c r="AV83" s="29"/>
      <c r="AW83" s="29"/>
    </row>
    <row r="84" spans="7:49" ht="24.75" customHeight="1">
      <c r="G84" s="29"/>
      <c r="H84" s="29"/>
      <c r="I84" s="67"/>
      <c r="J84" s="29"/>
      <c r="K84" s="29"/>
      <c r="L84" s="67"/>
      <c r="M84" s="67"/>
      <c r="N84" s="67"/>
      <c r="O84" s="67"/>
      <c r="P84" s="29"/>
      <c r="Q84" s="29"/>
      <c r="R84" s="67"/>
      <c r="S84" s="29"/>
      <c r="T84" s="29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29"/>
      <c r="AT84" s="29"/>
      <c r="AU84" s="67"/>
      <c r="AV84" s="29"/>
      <c r="AW84" s="29"/>
    </row>
    <row r="85" spans="7:49" ht="24.75" customHeight="1">
      <c r="G85" s="29"/>
      <c r="H85" s="29"/>
      <c r="I85" s="67"/>
      <c r="J85" s="29"/>
      <c r="K85" s="29"/>
      <c r="L85" s="67"/>
      <c r="M85" s="67"/>
      <c r="N85" s="67"/>
      <c r="O85" s="67"/>
      <c r="P85" s="29"/>
      <c r="Q85" s="29"/>
      <c r="R85" s="67"/>
      <c r="S85" s="29"/>
      <c r="T85" s="29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29"/>
      <c r="AT85" s="29"/>
      <c r="AU85" s="67"/>
      <c r="AV85" s="29"/>
      <c r="AW85" s="29"/>
    </row>
    <row r="86" spans="7:49" ht="24.75" customHeight="1">
      <c r="G86" s="29"/>
      <c r="H86" s="29"/>
      <c r="I86" s="67"/>
      <c r="J86" s="29"/>
      <c r="K86" s="29"/>
      <c r="L86" s="67"/>
      <c r="M86" s="67"/>
      <c r="N86" s="67"/>
      <c r="O86" s="67"/>
      <c r="P86" s="29"/>
      <c r="Q86" s="29"/>
      <c r="R86" s="67"/>
      <c r="S86" s="29"/>
      <c r="T86" s="29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29"/>
      <c r="AT86" s="29"/>
      <c r="AU86" s="67"/>
      <c r="AV86" s="29"/>
      <c r="AW86" s="29"/>
    </row>
    <row r="87" spans="7:49" ht="24.75" customHeight="1">
      <c r="G87" s="29"/>
      <c r="H87" s="29"/>
      <c r="I87" s="67"/>
      <c r="J87" s="29"/>
      <c r="K87" s="29"/>
      <c r="L87" s="67"/>
      <c r="M87" s="67"/>
      <c r="N87" s="67"/>
      <c r="O87" s="67"/>
      <c r="P87" s="29"/>
      <c r="Q87" s="29"/>
      <c r="R87" s="67"/>
      <c r="S87" s="29"/>
      <c r="T87" s="29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29"/>
      <c r="AT87" s="29"/>
      <c r="AU87" s="67"/>
      <c r="AV87" s="29"/>
      <c r="AW87" s="29"/>
    </row>
    <row r="88" spans="7:49" ht="24.75" customHeight="1">
      <c r="G88" s="29"/>
      <c r="H88" s="29"/>
      <c r="I88" s="67"/>
      <c r="J88" s="29"/>
      <c r="K88" s="29"/>
      <c r="L88" s="67"/>
      <c r="M88" s="67"/>
      <c r="N88" s="67"/>
      <c r="O88" s="67"/>
      <c r="P88" s="29"/>
      <c r="Q88" s="29"/>
      <c r="R88" s="67"/>
      <c r="S88" s="29"/>
      <c r="T88" s="2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29"/>
      <c r="AT88" s="29"/>
      <c r="AU88" s="67"/>
      <c r="AV88" s="29"/>
      <c r="AW88" s="29"/>
    </row>
    <row r="89" spans="7:49" ht="24.75" customHeight="1">
      <c r="G89" s="29"/>
      <c r="H89" s="29"/>
      <c r="I89" s="67"/>
      <c r="J89" s="29"/>
      <c r="K89" s="29"/>
      <c r="L89" s="67"/>
      <c r="M89" s="67"/>
      <c r="N89" s="67"/>
      <c r="O89" s="67"/>
      <c r="P89" s="29"/>
      <c r="Q89" s="29"/>
      <c r="R89" s="67"/>
      <c r="S89" s="29"/>
      <c r="T89" s="29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29"/>
      <c r="AT89" s="29"/>
      <c r="AU89" s="67"/>
      <c r="AV89" s="29"/>
      <c r="AW89" s="29"/>
    </row>
    <row r="90" spans="7:49" ht="24.75" customHeight="1">
      <c r="G90" s="29"/>
      <c r="H90" s="29"/>
      <c r="I90" s="67"/>
      <c r="J90" s="29"/>
      <c r="K90" s="29"/>
      <c r="L90" s="67"/>
      <c r="M90" s="67"/>
      <c r="N90" s="67"/>
      <c r="O90" s="67"/>
      <c r="P90" s="29"/>
      <c r="Q90" s="29"/>
      <c r="R90" s="67"/>
      <c r="S90" s="29"/>
      <c r="T90" s="29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29"/>
      <c r="AT90" s="29"/>
      <c r="AU90" s="67"/>
      <c r="AV90" s="29"/>
      <c r="AW90" s="29"/>
    </row>
    <row r="91" spans="7:49" ht="24.75" customHeight="1">
      <c r="G91" s="29"/>
      <c r="H91" s="29"/>
      <c r="I91" s="67"/>
      <c r="J91" s="29"/>
      <c r="K91" s="29"/>
      <c r="L91" s="67"/>
      <c r="M91" s="67"/>
      <c r="N91" s="67"/>
      <c r="O91" s="67"/>
      <c r="P91" s="29"/>
      <c r="Q91" s="29"/>
      <c r="R91" s="67"/>
      <c r="S91" s="29"/>
      <c r="T91" s="29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29"/>
      <c r="AT91" s="29"/>
      <c r="AU91" s="67"/>
      <c r="AV91" s="29"/>
      <c r="AW91" s="29"/>
    </row>
    <row r="92" spans="7:49" ht="24.75" customHeight="1">
      <c r="G92" s="29"/>
      <c r="H92" s="29"/>
      <c r="I92" s="67"/>
      <c r="J92" s="29"/>
      <c r="K92" s="29"/>
      <c r="L92" s="67"/>
      <c r="M92" s="67"/>
      <c r="N92" s="67"/>
      <c r="O92" s="67"/>
      <c r="P92" s="29"/>
      <c r="Q92" s="29"/>
      <c r="R92" s="67"/>
      <c r="S92" s="29"/>
      <c r="T92" s="29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29"/>
      <c r="AT92" s="29"/>
      <c r="AU92" s="67"/>
      <c r="AV92" s="29"/>
      <c r="AW92" s="29"/>
    </row>
    <row r="93" spans="7:49" ht="24.75" customHeight="1">
      <c r="G93" s="29"/>
      <c r="H93" s="29"/>
      <c r="I93" s="67"/>
      <c r="J93" s="29"/>
      <c r="K93" s="29"/>
      <c r="L93" s="67"/>
      <c r="M93" s="67"/>
      <c r="N93" s="67"/>
      <c r="O93" s="67"/>
      <c r="P93" s="29"/>
      <c r="Q93" s="29"/>
      <c r="R93" s="67"/>
      <c r="S93" s="29"/>
      <c r="T93" s="29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29"/>
      <c r="AT93" s="29"/>
      <c r="AU93" s="67"/>
      <c r="AV93" s="29"/>
      <c r="AW93" s="29"/>
    </row>
    <row r="94" spans="7:49" ht="24.75" customHeight="1">
      <c r="G94" s="29"/>
      <c r="H94" s="29"/>
      <c r="I94" s="67"/>
      <c r="J94" s="29"/>
      <c r="K94" s="29"/>
      <c r="L94" s="67"/>
      <c r="M94" s="67"/>
      <c r="N94" s="67"/>
      <c r="O94" s="67"/>
      <c r="P94" s="29"/>
      <c r="Q94" s="29"/>
      <c r="R94" s="67"/>
      <c r="S94" s="29"/>
      <c r="T94" s="29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29"/>
      <c r="AT94" s="29"/>
      <c r="AU94" s="67"/>
      <c r="AV94" s="29"/>
      <c r="AW94" s="29"/>
    </row>
    <row r="95" spans="7:49" ht="18.75">
      <c r="G95" s="29"/>
      <c r="H95" s="29"/>
      <c r="I95" s="67"/>
      <c r="J95" s="29"/>
      <c r="K95" s="29"/>
      <c r="L95" s="67"/>
      <c r="M95" s="67"/>
      <c r="N95" s="67"/>
      <c r="O95" s="67"/>
      <c r="P95" s="29"/>
      <c r="Q95" s="29"/>
      <c r="R95" s="67"/>
      <c r="S95" s="29"/>
      <c r="T95" s="29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29"/>
      <c r="AT95" s="29"/>
      <c r="AU95" s="67"/>
      <c r="AV95" s="29"/>
      <c r="AW95" s="29"/>
    </row>
    <row r="96" spans="7:49" ht="18.75">
      <c r="G96" s="29"/>
      <c r="H96" s="29"/>
      <c r="I96" s="67"/>
      <c r="J96" s="29"/>
      <c r="K96" s="29"/>
      <c r="L96" s="67"/>
      <c r="M96" s="67"/>
      <c r="N96" s="67"/>
      <c r="O96" s="67"/>
      <c r="P96" s="29"/>
      <c r="Q96" s="29"/>
      <c r="R96" s="67"/>
      <c r="S96" s="29"/>
      <c r="T96" s="29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29"/>
      <c r="AT96" s="29"/>
      <c r="AU96" s="67"/>
      <c r="AV96" s="29"/>
      <c r="AW96" s="29"/>
    </row>
    <row r="97" spans="7:49" ht="18.75">
      <c r="G97" s="29"/>
      <c r="H97" s="29"/>
      <c r="I97" s="67"/>
      <c r="J97" s="29"/>
      <c r="K97" s="29"/>
      <c r="L97" s="67"/>
      <c r="M97" s="67"/>
      <c r="N97" s="67"/>
      <c r="O97" s="67"/>
      <c r="P97" s="29"/>
      <c r="Q97" s="29"/>
      <c r="R97" s="67"/>
      <c r="S97" s="29"/>
      <c r="T97" s="29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29"/>
      <c r="AT97" s="29"/>
      <c r="AU97" s="67"/>
      <c r="AV97" s="29"/>
      <c r="AW97" s="29"/>
    </row>
    <row r="98" spans="7:49" ht="18.75">
      <c r="G98" s="29"/>
      <c r="H98" s="29"/>
      <c r="I98" s="67"/>
      <c r="J98" s="29"/>
      <c r="K98" s="29"/>
      <c r="L98" s="67"/>
      <c r="M98" s="67"/>
      <c r="N98" s="67"/>
      <c r="O98" s="67"/>
      <c r="P98" s="29"/>
      <c r="Q98" s="29"/>
      <c r="R98" s="67"/>
      <c r="S98" s="29"/>
      <c r="T98" s="29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29"/>
      <c r="AT98" s="29"/>
      <c r="AU98" s="67"/>
      <c r="AV98" s="29"/>
      <c r="AW98" s="29"/>
    </row>
    <row r="99" spans="7:49" ht="18.75">
      <c r="G99" s="29"/>
      <c r="H99" s="29"/>
      <c r="I99" s="67"/>
      <c r="J99" s="29"/>
      <c r="K99" s="29"/>
      <c r="L99" s="67"/>
      <c r="M99" s="67"/>
      <c r="N99" s="67"/>
      <c r="O99" s="67"/>
      <c r="P99" s="29"/>
      <c r="Q99" s="29"/>
      <c r="R99" s="67"/>
      <c r="S99" s="29"/>
      <c r="T99" s="29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29"/>
      <c r="AT99" s="29"/>
      <c r="AU99" s="67"/>
      <c r="AV99" s="29"/>
      <c r="AW99" s="29"/>
    </row>
    <row r="100" spans="7:49" ht="18.75">
      <c r="G100" s="29"/>
      <c r="H100" s="29"/>
      <c r="I100" s="67"/>
      <c r="J100" s="29"/>
      <c r="K100" s="29"/>
      <c r="L100" s="67"/>
      <c r="M100" s="67"/>
      <c r="N100" s="67"/>
      <c r="O100" s="67"/>
      <c r="P100" s="29"/>
      <c r="Q100" s="29"/>
      <c r="R100" s="67"/>
      <c r="S100" s="29"/>
      <c r="T100" s="29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29"/>
      <c r="AT100" s="29"/>
      <c r="AU100" s="67"/>
      <c r="AV100" s="29"/>
      <c r="AW100" s="29"/>
    </row>
    <row r="101" spans="7:49" ht="18.75">
      <c r="G101" s="29"/>
      <c r="H101" s="29"/>
      <c r="I101" s="67"/>
      <c r="J101" s="29"/>
      <c r="K101" s="29"/>
      <c r="L101" s="67"/>
      <c r="M101" s="67"/>
      <c r="N101" s="67"/>
      <c r="O101" s="67"/>
      <c r="P101" s="29"/>
      <c r="Q101" s="29"/>
      <c r="R101" s="67"/>
      <c r="S101" s="29"/>
      <c r="T101" s="29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29"/>
      <c r="AT101" s="29"/>
      <c r="AU101" s="67"/>
      <c r="AV101" s="29"/>
      <c r="AW101" s="29"/>
    </row>
    <row r="102" spans="31:44" ht="18.75">
      <c r="AE102" s="67"/>
      <c r="AF102" s="67"/>
      <c r="AG102" s="67"/>
      <c r="AH102" s="67"/>
      <c r="AI102" s="67"/>
      <c r="AM102" s="67"/>
      <c r="AN102" s="67"/>
      <c r="AO102" s="67"/>
      <c r="AP102" s="67"/>
      <c r="AQ102" s="67"/>
      <c r="AR102" s="67"/>
    </row>
  </sheetData>
  <sheetProtection/>
  <mergeCells count="25">
    <mergeCell ref="G5:I5"/>
    <mergeCell ref="AQ5:AR5"/>
    <mergeCell ref="M5:O5"/>
    <mergeCell ref="Y5:AA5"/>
    <mergeCell ref="P5:R5"/>
    <mergeCell ref="V5:X5"/>
    <mergeCell ref="AM5:AN5"/>
    <mergeCell ref="AJ5:AL5"/>
    <mergeCell ref="AB5:AD5"/>
    <mergeCell ref="S5:U5"/>
    <mergeCell ref="D1:AW1"/>
    <mergeCell ref="B2:AW2"/>
    <mergeCell ref="B3:AW3"/>
    <mergeCell ref="B4:C4"/>
    <mergeCell ref="D5:F5"/>
    <mergeCell ref="AO5:AP5"/>
    <mergeCell ref="AW5:AW6"/>
    <mergeCell ref="AH5:AI5"/>
    <mergeCell ref="AE5:AG5"/>
    <mergeCell ref="AV5:AV6"/>
    <mergeCell ref="A53:C53"/>
    <mergeCell ref="B52:C52"/>
    <mergeCell ref="AS5:AU5"/>
    <mergeCell ref="B51:D51"/>
    <mergeCell ref="J5:L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2"/>
  <sheetViews>
    <sheetView view="pageBreakPreview" zoomScale="68" zoomScaleNormal="75" zoomScaleSheetLayoutView="68" zoomScalePageLayoutView="0" workbookViewId="0" topLeftCell="A1">
      <pane xSplit="6" ySplit="9" topLeftCell="AK2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S24" sqref="AS24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41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customWidth="1"/>
    <col min="37" max="37" width="12.75390625" style="8" customWidth="1"/>
    <col min="38" max="38" width="11.875" style="8" hidden="1" customWidth="1"/>
    <col min="39" max="39" width="14.625" style="8" customWidth="1"/>
    <col min="40" max="40" width="13.625" style="8" customWidth="1"/>
    <col min="41" max="41" width="14.625" style="8" customWidth="1"/>
    <col min="42" max="42" width="13.625" style="8" customWidth="1"/>
    <col min="43" max="43" width="14.625" style="8" customWidth="1"/>
    <col min="44" max="44" width="13.625" style="8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22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</row>
    <row r="2" spans="1:49" s="32" customFormat="1" ht="42" customHeight="1">
      <c r="A2" s="31"/>
      <c r="B2" s="122" t="s">
        <v>130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</row>
    <row r="3" spans="2:49" ht="18.75"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7"/>
    </row>
    <row r="4" spans="2:49" ht="12.75" customHeight="1">
      <c r="B4" s="123"/>
      <c r="C4" s="123"/>
      <c r="AW4" s="11" t="s">
        <v>48</v>
      </c>
    </row>
    <row r="5" spans="1:49" ht="36.75" customHeight="1">
      <c r="A5" s="24" t="s">
        <v>36</v>
      </c>
      <c r="B5" s="25"/>
      <c r="C5" s="26" t="s">
        <v>1</v>
      </c>
      <c r="D5" s="124" t="s">
        <v>111</v>
      </c>
      <c r="E5" s="125"/>
      <c r="F5" s="126"/>
      <c r="G5" s="119" t="s">
        <v>113</v>
      </c>
      <c r="H5" s="120"/>
      <c r="I5" s="121"/>
      <c r="J5" s="119" t="s">
        <v>116</v>
      </c>
      <c r="K5" s="120"/>
      <c r="L5" s="121"/>
      <c r="M5" s="119" t="s">
        <v>118</v>
      </c>
      <c r="N5" s="120"/>
      <c r="O5" s="121"/>
      <c r="P5" s="119" t="s">
        <v>117</v>
      </c>
      <c r="Q5" s="120"/>
      <c r="R5" s="121"/>
      <c r="S5" s="119" t="s">
        <v>119</v>
      </c>
      <c r="T5" s="120"/>
      <c r="U5" s="121"/>
      <c r="V5" s="119" t="s">
        <v>120</v>
      </c>
      <c r="W5" s="120"/>
      <c r="X5" s="121"/>
      <c r="Y5" s="119" t="s">
        <v>121</v>
      </c>
      <c r="Z5" s="120"/>
      <c r="AA5" s="121"/>
      <c r="AB5" s="119" t="s">
        <v>122</v>
      </c>
      <c r="AC5" s="120"/>
      <c r="AD5" s="121"/>
      <c r="AE5" s="119" t="s">
        <v>123</v>
      </c>
      <c r="AF5" s="120"/>
      <c r="AG5" s="121"/>
      <c r="AH5" s="119" t="s">
        <v>124</v>
      </c>
      <c r="AI5" s="121"/>
      <c r="AJ5" s="119" t="s">
        <v>126</v>
      </c>
      <c r="AK5" s="120"/>
      <c r="AL5" s="121"/>
      <c r="AM5" s="119" t="s">
        <v>125</v>
      </c>
      <c r="AN5" s="121"/>
      <c r="AO5" s="119" t="s">
        <v>127</v>
      </c>
      <c r="AP5" s="121"/>
      <c r="AQ5" s="119" t="s">
        <v>128</v>
      </c>
      <c r="AR5" s="121"/>
      <c r="AS5" s="124" t="s">
        <v>114</v>
      </c>
      <c r="AT5" s="125"/>
      <c r="AU5" s="126"/>
      <c r="AV5" s="127" t="s">
        <v>131</v>
      </c>
      <c r="AW5" s="127" t="s">
        <v>132</v>
      </c>
    </row>
    <row r="6" spans="1:49" ht="57.75" customHeight="1">
      <c r="A6" s="27" t="s">
        <v>9</v>
      </c>
      <c r="B6" s="42" t="s">
        <v>46</v>
      </c>
      <c r="C6" s="12" t="s">
        <v>106</v>
      </c>
      <c r="D6" s="28" t="s">
        <v>112</v>
      </c>
      <c r="E6" s="28" t="s">
        <v>47</v>
      </c>
      <c r="F6" s="13" t="s">
        <v>0</v>
      </c>
      <c r="G6" s="28" t="s">
        <v>112</v>
      </c>
      <c r="H6" s="28" t="s">
        <v>47</v>
      </c>
      <c r="I6" s="13" t="s">
        <v>0</v>
      </c>
      <c r="J6" s="28" t="s">
        <v>112</v>
      </c>
      <c r="K6" s="28" t="s">
        <v>47</v>
      </c>
      <c r="L6" s="13" t="s">
        <v>0</v>
      </c>
      <c r="M6" s="28" t="s">
        <v>112</v>
      </c>
      <c r="N6" s="28" t="s">
        <v>47</v>
      </c>
      <c r="O6" s="13" t="s">
        <v>0</v>
      </c>
      <c r="P6" s="28" t="s">
        <v>112</v>
      </c>
      <c r="Q6" s="28" t="s">
        <v>47</v>
      </c>
      <c r="R6" s="13" t="s">
        <v>0</v>
      </c>
      <c r="S6" s="28" t="s">
        <v>112</v>
      </c>
      <c r="T6" s="28" t="s">
        <v>47</v>
      </c>
      <c r="U6" s="13" t="s">
        <v>0</v>
      </c>
      <c r="V6" s="28" t="s">
        <v>112</v>
      </c>
      <c r="W6" s="28" t="s">
        <v>47</v>
      </c>
      <c r="X6" s="13" t="s">
        <v>0</v>
      </c>
      <c r="Y6" s="28" t="s">
        <v>112</v>
      </c>
      <c r="Z6" s="28" t="s">
        <v>47</v>
      </c>
      <c r="AA6" s="13" t="s">
        <v>0</v>
      </c>
      <c r="AB6" s="28" t="s">
        <v>112</v>
      </c>
      <c r="AC6" s="28" t="s">
        <v>47</v>
      </c>
      <c r="AD6" s="13" t="s">
        <v>0</v>
      </c>
      <c r="AE6" s="28" t="s">
        <v>112</v>
      </c>
      <c r="AF6" s="28" t="s">
        <v>47</v>
      </c>
      <c r="AG6" s="13" t="s">
        <v>0</v>
      </c>
      <c r="AH6" s="28" t="s">
        <v>112</v>
      </c>
      <c r="AI6" s="28" t="s">
        <v>47</v>
      </c>
      <c r="AJ6" s="28" t="s">
        <v>112</v>
      </c>
      <c r="AK6" s="28" t="s">
        <v>47</v>
      </c>
      <c r="AL6" s="13" t="s">
        <v>0</v>
      </c>
      <c r="AM6" s="28" t="s">
        <v>112</v>
      </c>
      <c r="AN6" s="28" t="s">
        <v>47</v>
      </c>
      <c r="AO6" s="28" t="s">
        <v>112</v>
      </c>
      <c r="AP6" s="28" t="s">
        <v>47</v>
      </c>
      <c r="AQ6" s="28" t="s">
        <v>112</v>
      </c>
      <c r="AR6" s="28" t="s">
        <v>47</v>
      </c>
      <c r="AS6" s="28" t="s">
        <v>112</v>
      </c>
      <c r="AT6" s="28" t="s">
        <v>47</v>
      </c>
      <c r="AU6" s="13" t="s">
        <v>0</v>
      </c>
      <c r="AV6" s="128"/>
      <c r="AW6" s="128"/>
    </row>
    <row r="7" spans="1:51" s="8" customFormat="1" ht="36" customHeight="1">
      <c r="A7" s="40"/>
      <c r="B7" s="14" t="s">
        <v>49</v>
      </c>
      <c r="C7" s="43">
        <f>SUM(C8:C42)</f>
        <v>7296.700000000002</v>
      </c>
      <c r="D7" s="15">
        <f>SUM(D8:D42)</f>
        <v>6126.700000000001</v>
      </c>
      <c r="E7" s="15">
        <f>SUM(E8:E42)</f>
        <v>4207.9</v>
      </c>
      <c r="F7" s="15">
        <f aca="true" t="shared" si="0" ref="F7:F28">E7/D7*100</f>
        <v>68.68134558571496</v>
      </c>
      <c r="G7" s="15">
        <f>SUM(G8:G42)</f>
        <v>5291.9</v>
      </c>
      <c r="H7" s="15">
        <f>SUM(H8:H42)</f>
        <v>4998.900000000001</v>
      </c>
      <c r="I7" s="15">
        <f>H7/G7*100</f>
        <v>94.4632362667473</v>
      </c>
      <c r="J7" s="15">
        <f>SUM(J8:J42)</f>
        <v>2597.2</v>
      </c>
      <c r="K7" s="15">
        <f>SUM(K8:K42)</f>
        <v>4019.6</v>
      </c>
      <c r="L7" s="15">
        <f>K7/J7*100</f>
        <v>154.76667180040045</v>
      </c>
      <c r="M7" s="15">
        <f>SUM(M8:M42)</f>
        <v>14015.8</v>
      </c>
      <c r="N7" s="15">
        <f>SUM(N8:N42)</f>
        <v>13226.4</v>
      </c>
      <c r="O7" s="15">
        <f>N7/M7*100</f>
        <v>94.3677849284379</v>
      </c>
      <c r="P7" s="15">
        <f>SUM(P8:P42)</f>
        <v>109.20000000000002</v>
      </c>
      <c r="Q7" s="15">
        <f>SUM(Q8:Q42)</f>
        <v>2225.2000000000003</v>
      </c>
      <c r="R7" s="15">
        <f>Q7/P7*100</f>
        <v>2037.7289377289376</v>
      </c>
      <c r="S7" s="15">
        <f>SUM(S8:S42)</f>
        <v>1.6</v>
      </c>
      <c r="T7" s="15">
        <f>SUM(T8:T42)</f>
        <v>684</v>
      </c>
      <c r="U7" s="15">
        <f>T7/S7*100</f>
        <v>42750</v>
      </c>
      <c r="V7" s="15">
        <f>SUM(V8:V42)</f>
        <v>0</v>
      </c>
      <c r="W7" s="15">
        <f>SUM(W8:W42)</f>
        <v>644.9000000000001</v>
      </c>
      <c r="X7" s="30" t="e">
        <f>W7/V7*100</f>
        <v>#DIV/0!</v>
      </c>
      <c r="Y7" s="15">
        <f>SUM(Y8:Y42)</f>
        <v>110.80000000000001</v>
      </c>
      <c r="Z7" s="15">
        <f>SUM(Z8:Z42)</f>
        <v>3554.1000000000004</v>
      </c>
      <c r="AA7" s="15">
        <f>Z7/Y7*100</f>
        <v>3207.671480144404</v>
      </c>
      <c r="AB7" s="15">
        <f>SUM(AB8:AB42)</f>
        <v>0</v>
      </c>
      <c r="AC7" s="15">
        <f>SUM(AC8:AC42)</f>
        <v>258.3</v>
      </c>
      <c r="AD7" s="30" t="e">
        <f>AC7/AB7*100</f>
        <v>#DIV/0!</v>
      </c>
      <c r="AE7" s="15">
        <f>SUM(AE8:AE42)</f>
        <v>0</v>
      </c>
      <c r="AF7" s="15">
        <f>SUM(AF8:AF42)</f>
        <v>597.6</v>
      </c>
      <c r="AG7" s="15" t="e">
        <f>AF7/AE7*100</f>
        <v>#DIV/0!</v>
      </c>
      <c r="AH7" s="15">
        <f>SUM(AH8:AH42)</f>
        <v>110.6</v>
      </c>
      <c r="AI7" s="15">
        <f>SUM(AI8:AI42)</f>
        <v>607.1999999999999</v>
      </c>
      <c r="AJ7" s="15">
        <f>SUM(AJ8:AJ42)</f>
        <v>110.6</v>
      </c>
      <c r="AK7" s="15">
        <f>SUM(AK8:AK42)</f>
        <v>1463.1000000000001</v>
      </c>
      <c r="AL7" s="15">
        <f>AK7/AJ7*100</f>
        <v>1322.8752260397832</v>
      </c>
      <c r="AM7" s="15">
        <f aca="true" t="shared" si="1" ref="AM7:AT7">SUM(AM8:AM42)</f>
        <v>736.6999999999999</v>
      </c>
      <c r="AN7" s="15">
        <f t="shared" si="1"/>
        <v>739.2</v>
      </c>
      <c r="AO7" s="15">
        <f t="shared" si="1"/>
        <v>4512.099999999999</v>
      </c>
      <c r="AP7" s="15">
        <f t="shared" si="1"/>
        <v>1089.2</v>
      </c>
      <c r="AQ7" s="15">
        <f>SUM(AQ8:AQ42)</f>
        <v>4797.3</v>
      </c>
      <c r="AR7" s="15">
        <f>SUM(AR8:AR42)</f>
        <v>3830.8999999999996</v>
      </c>
      <c r="AS7" s="15">
        <f t="shared" si="1"/>
        <v>24283.3</v>
      </c>
      <c r="AT7" s="15">
        <f t="shared" si="1"/>
        <v>23902.9</v>
      </c>
      <c r="AU7" s="15">
        <f>AT7/AS7*100</f>
        <v>98.43349132943217</v>
      </c>
      <c r="AV7" s="44">
        <f>SUM(AV8:AV42)</f>
        <v>380.40000000000214</v>
      </c>
      <c r="AW7" s="44">
        <f>SUM(AW8:AW42)</f>
        <v>7677.100000000002</v>
      </c>
      <c r="AX7" s="22">
        <f>AS7-AT7</f>
        <v>380.3999999999978</v>
      </c>
      <c r="AY7" s="22">
        <f>C7+AS7-AT7</f>
        <v>7677.0999999999985</v>
      </c>
    </row>
    <row r="8" spans="1:49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5">
        <f t="shared" si="0"/>
        <v>68.14571039491601</v>
      </c>
      <c r="G8" s="3">
        <v>778.6</v>
      </c>
      <c r="H8" s="3">
        <v>782.3</v>
      </c>
      <c r="I8" s="15">
        <f>H8/G8*100</f>
        <v>100.47521191882866</v>
      </c>
      <c r="J8" s="3">
        <v>367.9</v>
      </c>
      <c r="K8" s="3">
        <v>610.4</v>
      </c>
      <c r="L8" s="15">
        <f>K8/J8*100</f>
        <v>165.91465072030442</v>
      </c>
      <c r="M8" s="3">
        <f>D8+G8+J8</f>
        <v>2027.7000000000003</v>
      </c>
      <c r="N8" s="3">
        <f>E8+H8+K8</f>
        <v>1993.1999999999998</v>
      </c>
      <c r="O8" s="15">
        <f aca="true" t="shared" si="2" ref="O8:O46">N8/M8*100</f>
        <v>98.29856487646099</v>
      </c>
      <c r="P8" s="3">
        <v>35.3</v>
      </c>
      <c r="Q8" s="3">
        <v>229.2</v>
      </c>
      <c r="R8" s="15">
        <f>Q8/P8*100</f>
        <v>649.2917847025496</v>
      </c>
      <c r="S8" s="3">
        <v>0</v>
      </c>
      <c r="T8" s="3">
        <v>43.2</v>
      </c>
      <c r="U8" s="15"/>
      <c r="V8" s="3">
        <v>0</v>
      </c>
      <c r="W8" s="3">
        <v>34.1</v>
      </c>
      <c r="X8" s="15"/>
      <c r="Y8" s="3">
        <f aca="true" t="shared" si="3" ref="Y8:Z12">P8+S8+V8</f>
        <v>35.3</v>
      </c>
      <c r="Z8" s="3">
        <f t="shared" si="3"/>
        <v>306.5</v>
      </c>
      <c r="AA8" s="15">
        <f aca="true" t="shared" si="4" ref="AA8:AA46">Z8/Y8*100</f>
        <v>868.2719546742211</v>
      </c>
      <c r="AB8" s="3">
        <v>0</v>
      </c>
      <c r="AC8" s="3">
        <v>10</v>
      </c>
      <c r="AD8" s="15"/>
      <c r="AE8" s="3">
        <v>0</v>
      </c>
      <c r="AF8" s="3">
        <v>29.5</v>
      </c>
      <c r="AG8" s="15" t="e">
        <f>AF8/AE8*100</f>
        <v>#DIV/0!</v>
      </c>
      <c r="AH8" s="3">
        <v>0</v>
      </c>
      <c r="AI8" s="3">
        <v>7.6</v>
      </c>
      <c r="AJ8" s="3">
        <f>AB8+AE8+AH8</f>
        <v>0</v>
      </c>
      <c r="AK8" s="3">
        <f>AC8+AF8+AI8</f>
        <v>47.1</v>
      </c>
      <c r="AL8" s="15" t="e">
        <f aca="true" t="shared" si="5" ref="AL8:AL46">AK8/AJ8*100</f>
        <v>#DIV/0!</v>
      </c>
      <c r="AM8" s="3">
        <v>144.2</v>
      </c>
      <c r="AN8" s="3">
        <v>31.1</v>
      </c>
      <c r="AO8" s="3">
        <v>634</v>
      </c>
      <c r="AP8" s="3">
        <v>263</v>
      </c>
      <c r="AQ8" s="3">
        <v>768</v>
      </c>
      <c r="AR8" s="3">
        <v>742.7</v>
      </c>
      <c r="AS8" s="3">
        <f>M8+Y8+AJ8+AM8+AO8+AQ8</f>
        <v>3609.2000000000003</v>
      </c>
      <c r="AT8" s="3">
        <f>N8+Z8+AK8+AN8+AP8+AR8</f>
        <v>3383.5999999999995</v>
      </c>
      <c r="AU8" s="15">
        <f>AT8/AS8*100</f>
        <v>93.74930732572312</v>
      </c>
      <c r="AV8" s="15">
        <f aca="true" t="shared" si="6" ref="AV8:AV33">AS8-AT8</f>
        <v>225.60000000000082</v>
      </c>
      <c r="AW8" s="4">
        <f aca="true" t="shared" si="7" ref="AW8:AW33">C8+AS8-AT8</f>
        <v>778.3000000000011</v>
      </c>
    </row>
    <row r="9" spans="1:49" ht="38.25" customHeight="1">
      <c r="A9" s="6">
        <v>2</v>
      </c>
      <c r="B9" s="34" t="s">
        <v>81</v>
      </c>
      <c r="C9" s="2">
        <v>40.7</v>
      </c>
      <c r="D9" s="3">
        <v>145.9</v>
      </c>
      <c r="E9" s="3">
        <v>121.3</v>
      </c>
      <c r="F9" s="15">
        <f t="shared" si="0"/>
        <v>83.13913639479095</v>
      </c>
      <c r="G9" s="3">
        <v>121</v>
      </c>
      <c r="H9" s="3">
        <v>124.8</v>
      </c>
      <c r="I9" s="15">
        <f aca="true" t="shared" si="8" ref="I9:I22">H9/G9*100</f>
        <v>103.14049586776859</v>
      </c>
      <c r="J9" s="3">
        <v>29.5</v>
      </c>
      <c r="K9" s="3">
        <v>51.6</v>
      </c>
      <c r="L9" s="15">
        <f>K9/J9*100</f>
        <v>174.91525423728814</v>
      </c>
      <c r="M9" s="3">
        <f aca="true" t="shared" si="9" ref="M9:M45">D9+G9+J9</f>
        <v>296.4</v>
      </c>
      <c r="N9" s="3">
        <f aca="true" t="shared" si="10" ref="N9:N45">E9+H9+K9</f>
        <v>297.7</v>
      </c>
      <c r="O9" s="15">
        <f t="shared" si="2"/>
        <v>100.43859649122808</v>
      </c>
      <c r="P9" s="3">
        <v>1.7</v>
      </c>
      <c r="Q9" s="3">
        <v>28</v>
      </c>
      <c r="R9" s="15">
        <f>Q9/P9*100</f>
        <v>1647.058823529412</v>
      </c>
      <c r="S9" s="3">
        <v>0</v>
      </c>
      <c r="T9" s="3">
        <v>1.8</v>
      </c>
      <c r="U9" s="15"/>
      <c r="V9" s="3">
        <v>0</v>
      </c>
      <c r="W9" s="3">
        <v>1.6</v>
      </c>
      <c r="X9" s="15"/>
      <c r="Y9" s="3">
        <f t="shared" si="3"/>
        <v>1.7</v>
      </c>
      <c r="Z9" s="3">
        <f t="shared" si="3"/>
        <v>31.400000000000002</v>
      </c>
      <c r="AA9" s="15">
        <f t="shared" si="4"/>
        <v>1847.058823529412</v>
      </c>
      <c r="AB9" s="3">
        <v>0</v>
      </c>
      <c r="AC9" s="3">
        <v>0</v>
      </c>
      <c r="AD9" s="15">
        <v>0</v>
      </c>
      <c r="AE9" s="3">
        <v>0</v>
      </c>
      <c r="AF9" s="3">
        <v>0</v>
      </c>
      <c r="AG9" s="30" t="e">
        <f aca="true" t="shared" si="11" ref="AG9:AG15">AF9/AE9*100</f>
        <v>#DIV/0!</v>
      </c>
      <c r="AH9" s="3">
        <v>0</v>
      </c>
      <c r="AI9" s="3">
        <v>0</v>
      </c>
      <c r="AJ9" s="3">
        <f aca="true" t="shared" si="12" ref="AJ9:AJ42">AB9+AE9+AH9</f>
        <v>0</v>
      </c>
      <c r="AK9" s="3">
        <f aca="true" t="shared" si="13" ref="AK9:AK42">AC9+AF9+AI9</f>
        <v>0</v>
      </c>
      <c r="AL9" s="15" t="e">
        <f t="shared" si="5"/>
        <v>#DIV/0!</v>
      </c>
      <c r="AM9" s="3">
        <v>4.5</v>
      </c>
      <c r="AN9" s="3">
        <v>48.8</v>
      </c>
      <c r="AO9" s="3">
        <v>89</v>
      </c>
      <c r="AP9" s="3">
        <v>8.5</v>
      </c>
      <c r="AQ9" s="3">
        <v>115</v>
      </c>
      <c r="AR9" s="3">
        <v>49.4</v>
      </c>
      <c r="AS9" s="3">
        <f aca="true" t="shared" si="14" ref="AS9:AS42">M9+Y9+AJ9+AM9+AO9+AQ9</f>
        <v>506.59999999999997</v>
      </c>
      <c r="AT9" s="3">
        <f aca="true" t="shared" si="15" ref="AT9:AT42">N9+Z9+AK9+AN9+AP9+AR9</f>
        <v>435.79999999999995</v>
      </c>
      <c r="AU9" s="15">
        <f>AT9/AS9*100</f>
        <v>86.0244769048559</v>
      </c>
      <c r="AV9" s="15">
        <f t="shared" si="6"/>
        <v>70.80000000000001</v>
      </c>
      <c r="AW9" s="4">
        <f t="shared" si="7"/>
        <v>111.5</v>
      </c>
    </row>
    <row r="10" spans="1:49" ht="38.25" customHeight="1">
      <c r="A10" s="6">
        <v>3</v>
      </c>
      <c r="B10" s="16" t="s">
        <v>96</v>
      </c>
      <c r="C10" s="2"/>
      <c r="D10" s="3"/>
      <c r="E10" s="3"/>
      <c r="F10" s="15"/>
      <c r="G10" s="23"/>
      <c r="H10" s="23"/>
      <c r="I10" s="15"/>
      <c r="J10" s="23"/>
      <c r="K10" s="23"/>
      <c r="L10" s="15"/>
      <c r="M10" s="3"/>
      <c r="N10" s="3"/>
      <c r="O10" s="30" t="e">
        <f t="shared" si="2"/>
        <v>#DIV/0!</v>
      </c>
      <c r="P10" s="23"/>
      <c r="Q10" s="23"/>
      <c r="R10" s="15"/>
      <c r="S10" s="23"/>
      <c r="T10" s="23"/>
      <c r="U10" s="15"/>
      <c r="V10" s="23"/>
      <c r="W10" s="23"/>
      <c r="X10" s="15"/>
      <c r="Y10" s="3"/>
      <c r="Z10" s="3"/>
      <c r="AA10" s="30" t="e">
        <f t="shared" si="4"/>
        <v>#DIV/0!</v>
      </c>
      <c r="AB10" s="23"/>
      <c r="AC10" s="23"/>
      <c r="AD10" s="15"/>
      <c r="AE10" s="23"/>
      <c r="AF10" s="23"/>
      <c r="AG10" s="38" t="e">
        <f t="shared" si="11"/>
        <v>#DIV/0!</v>
      </c>
      <c r="AH10" s="23"/>
      <c r="AI10" s="23"/>
      <c r="AJ10" s="3"/>
      <c r="AK10" s="3"/>
      <c r="AL10" s="30" t="e">
        <f t="shared" si="5"/>
        <v>#DIV/0!</v>
      </c>
      <c r="AM10" s="23"/>
      <c r="AN10" s="23"/>
      <c r="AO10" s="23"/>
      <c r="AP10" s="23"/>
      <c r="AQ10" s="23"/>
      <c r="AR10" s="23"/>
      <c r="AS10" s="3">
        <f t="shared" si="14"/>
        <v>0</v>
      </c>
      <c r="AT10" s="3">
        <f t="shared" si="15"/>
        <v>0</v>
      </c>
      <c r="AU10" s="15"/>
      <c r="AV10" s="15"/>
      <c r="AW10" s="4"/>
    </row>
    <row r="11" spans="1:49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5">
        <f t="shared" si="0"/>
        <v>167.1641791044776</v>
      </c>
      <c r="G11" s="3">
        <v>17.7</v>
      </c>
      <c r="H11" s="3">
        <v>5.9</v>
      </c>
      <c r="I11" s="15">
        <f t="shared" si="8"/>
        <v>33.333333333333336</v>
      </c>
      <c r="J11" s="3">
        <v>8.2</v>
      </c>
      <c r="K11" s="3">
        <v>17.8</v>
      </c>
      <c r="L11" s="15">
        <f>K11/J11*100</f>
        <v>217.07317073170734</v>
      </c>
      <c r="M11" s="3">
        <f t="shared" si="9"/>
        <v>46</v>
      </c>
      <c r="N11" s="3">
        <f t="shared" si="10"/>
        <v>57.3</v>
      </c>
      <c r="O11" s="15">
        <f t="shared" si="2"/>
        <v>124.56521739130434</v>
      </c>
      <c r="P11" s="3">
        <v>0.6</v>
      </c>
      <c r="Q11" s="3">
        <v>2.8</v>
      </c>
      <c r="R11" s="15">
        <f>Q11/P11*100</f>
        <v>466.6666666666667</v>
      </c>
      <c r="S11" s="3">
        <v>1.6</v>
      </c>
      <c r="T11" s="3">
        <v>1.7</v>
      </c>
      <c r="U11" s="15">
        <f>T11/S11*100</f>
        <v>106.25</v>
      </c>
      <c r="V11" s="3">
        <v>0</v>
      </c>
      <c r="W11" s="3">
        <v>0.2</v>
      </c>
      <c r="X11" s="30" t="e">
        <f>W11/V11*100</f>
        <v>#DIV/0!</v>
      </c>
      <c r="Y11" s="3">
        <f t="shared" si="3"/>
        <v>2.2</v>
      </c>
      <c r="Z11" s="3">
        <f t="shared" si="3"/>
        <v>4.7</v>
      </c>
      <c r="AA11" s="15">
        <f t="shared" si="4"/>
        <v>213.63636363636363</v>
      </c>
      <c r="AB11" s="3">
        <v>0</v>
      </c>
      <c r="AC11" s="3">
        <v>0</v>
      </c>
      <c r="AD11" s="35">
        <v>0</v>
      </c>
      <c r="AE11" s="3">
        <v>0</v>
      </c>
      <c r="AF11" s="3">
        <v>8.7</v>
      </c>
      <c r="AG11" s="3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8.7</v>
      </c>
      <c r="AL11" s="15" t="e">
        <f t="shared" si="5"/>
        <v>#DIV/0!</v>
      </c>
      <c r="AM11" s="3">
        <v>0</v>
      </c>
      <c r="AN11" s="3">
        <v>0</v>
      </c>
      <c r="AO11" s="3">
        <v>20.1</v>
      </c>
      <c r="AP11" s="3">
        <v>0</v>
      </c>
      <c r="AQ11" s="3">
        <f>17.7</f>
        <v>17.7</v>
      </c>
      <c r="AR11" s="3">
        <v>18.4</v>
      </c>
      <c r="AS11" s="3">
        <f t="shared" si="14"/>
        <v>86.00000000000001</v>
      </c>
      <c r="AT11" s="3">
        <f t="shared" si="15"/>
        <v>89.1</v>
      </c>
      <c r="AU11" s="15">
        <f>AT11/AS11*100</f>
        <v>103.60465116279067</v>
      </c>
      <c r="AV11" s="15">
        <f t="shared" si="6"/>
        <v>-3.09999999999998</v>
      </c>
      <c r="AW11" s="4">
        <f t="shared" si="7"/>
        <v>14.700000000000017</v>
      </c>
    </row>
    <row r="12" spans="1:49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5">
        <f t="shared" si="0"/>
        <v>47.733160621761655</v>
      </c>
      <c r="G12" s="3">
        <v>122.6</v>
      </c>
      <c r="H12" s="3">
        <v>174.6</v>
      </c>
      <c r="I12" s="15">
        <f t="shared" si="8"/>
        <v>142.41435562805873</v>
      </c>
      <c r="J12" s="3">
        <v>52.9</v>
      </c>
      <c r="K12" s="3">
        <v>96.5</v>
      </c>
      <c r="L12" s="15">
        <f>K12/J12*100</f>
        <v>182.41965973534974</v>
      </c>
      <c r="M12" s="3">
        <f t="shared" si="9"/>
        <v>329.9</v>
      </c>
      <c r="N12" s="3">
        <f t="shared" si="10"/>
        <v>344.8</v>
      </c>
      <c r="O12" s="15">
        <f t="shared" si="2"/>
        <v>104.51652015762353</v>
      </c>
      <c r="P12" s="3">
        <v>1.9</v>
      </c>
      <c r="Q12" s="3">
        <v>44.5</v>
      </c>
      <c r="R12" s="15">
        <f>Q12/P12*100</f>
        <v>2342.105263157895</v>
      </c>
      <c r="S12" s="3">
        <v>0</v>
      </c>
      <c r="T12" s="3">
        <v>8.9</v>
      </c>
      <c r="U12" s="15"/>
      <c r="V12" s="3">
        <v>0</v>
      </c>
      <c r="W12" s="3">
        <v>4.4</v>
      </c>
      <c r="X12" s="15"/>
      <c r="Y12" s="3">
        <f t="shared" si="3"/>
        <v>1.9</v>
      </c>
      <c r="Z12" s="3">
        <f t="shared" si="3"/>
        <v>57.8</v>
      </c>
      <c r="AA12" s="15">
        <f t="shared" si="4"/>
        <v>3042.105263157895</v>
      </c>
      <c r="AB12" s="3">
        <v>0</v>
      </c>
      <c r="AC12" s="3">
        <v>1.5</v>
      </c>
      <c r="AD12" s="15"/>
      <c r="AE12" s="3">
        <v>0</v>
      </c>
      <c r="AF12" s="3">
        <v>1.7</v>
      </c>
      <c r="AG12" s="30" t="e">
        <f t="shared" si="11"/>
        <v>#DIV/0!</v>
      </c>
      <c r="AH12" s="3">
        <v>0</v>
      </c>
      <c r="AI12" s="3">
        <v>1</v>
      </c>
      <c r="AJ12" s="3">
        <f t="shared" si="12"/>
        <v>0</v>
      </c>
      <c r="AK12" s="3">
        <f t="shared" si="13"/>
        <v>4.2</v>
      </c>
      <c r="AL12" s="15" t="e">
        <f t="shared" si="5"/>
        <v>#DIV/0!</v>
      </c>
      <c r="AM12" s="3">
        <v>15.5</v>
      </c>
      <c r="AN12" s="3">
        <v>0</v>
      </c>
      <c r="AO12" s="3">
        <v>81.5</v>
      </c>
      <c r="AP12" s="3">
        <v>12</v>
      </c>
      <c r="AQ12" s="3">
        <v>104.6</v>
      </c>
      <c r="AR12" s="3">
        <v>67.8</v>
      </c>
      <c r="AS12" s="3">
        <f t="shared" si="14"/>
        <v>533.4</v>
      </c>
      <c r="AT12" s="3">
        <f t="shared" si="15"/>
        <v>486.6</v>
      </c>
      <c r="AU12" s="15">
        <f>AT12/AS12*100</f>
        <v>91.22609673790777</v>
      </c>
      <c r="AV12" s="15">
        <f t="shared" si="6"/>
        <v>46.799999999999955</v>
      </c>
      <c r="AW12" s="4">
        <f t="shared" si="7"/>
        <v>112.19999999999993</v>
      </c>
    </row>
    <row r="13" spans="1:49" ht="23.25" customHeight="1">
      <c r="A13" s="6">
        <v>6</v>
      </c>
      <c r="B13" s="1" t="s">
        <v>51</v>
      </c>
      <c r="C13" s="2">
        <v>-10.9</v>
      </c>
      <c r="D13" s="3"/>
      <c r="E13" s="3"/>
      <c r="F13" s="15"/>
      <c r="G13" s="3"/>
      <c r="H13" s="3"/>
      <c r="I13" s="15"/>
      <c r="J13" s="3"/>
      <c r="K13" s="3"/>
      <c r="L13" s="15"/>
      <c r="M13" s="3"/>
      <c r="N13" s="3"/>
      <c r="O13" s="30" t="e">
        <f t="shared" si="2"/>
        <v>#DIV/0!</v>
      </c>
      <c r="P13" s="3"/>
      <c r="Q13" s="3"/>
      <c r="R13" s="15"/>
      <c r="S13" s="3"/>
      <c r="T13" s="3"/>
      <c r="U13" s="15"/>
      <c r="V13" s="3"/>
      <c r="W13" s="3"/>
      <c r="X13" s="15"/>
      <c r="Y13" s="3"/>
      <c r="Z13" s="3"/>
      <c r="AA13" s="30" t="e">
        <f t="shared" si="4"/>
        <v>#DIV/0!</v>
      </c>
      <c r="AB13" s="3"/>
      <c r="AC13" s="3"/>
      <c r="AD13" s="15"/>
      <c r="AE13" s="3"/>
      <c r="AF13" s="3"/>
      <c r="AG13" s="30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30" t="e">
        <f t="shared" si="5"/>
        <v>#DIV/0!</v>
      </c>
      <c r="AM13" s="3">
        <v>0</v>
      </c>
      <c r="AN13" s="3">
        <v>0</v>
      </c>
      <c r="AO13" s="3">
        <v>0</v>
      </c>
      <c r="AP13" s="3">
        <v>0</v>
      </c>
      <c r="AQ13" s="3"/>
      <c r="AR13" s="3"/>
      <c r="AS13" s="3">
        <f t="shared" si="14"/>
        <v>0</v>
      </c>
      <c r="AT13" s="3">
        <f t="shared" si="15"/>
        <v>0</v>
      </c>
      <c r="AU13" s="15"/>
      <c r="AV13" s="15">
        <f t="shared" si="6"/>
        <v>0</v>
      </c>
      <c r="AW13" s="4">
        <f t="shared" si="7"/>
        <v>-10.9</v>
      </c>
    </row>
    <row r="14" spans="1:49" ht="23.25" customHeight="1">
      <c r="A14" s="6">
        <v>7</v>
      </c>
      <c r="B14" s="1" t="s">
        <v>52</v>
      </c>
      <c r="C14" s="2">
        <v>1.3</v>
      </c>
      <c r="D14" s="3"/>
      <c r="E14" s="3"/>
      <c r="F14" s="15"/>
      <c r="G14" s="23"/>
      <c r="H14" s="23"/>
      <c r="I14" s="15"/>
      <c r="J14" s="23"/>
      <c r="K14" s="23"/>
      <c r="L14" s="15"/>
      <c r="M14" s="3"/>
      <c r="N14" s="3"/>
      <c r="O14" s="30" t="e">
        <f t="shared" si="2"/>
        <v>#DIV/0!</v>
      </c>
      <c r="P14" s="23"/>
      <c r="Q14" s="23"/>
      <c r="R14" s="15"/>
      <c r="S14" s="23"/>
      <c r="T14" s="46">
        <v>1.3</v>
      </c>
      <c r="U14" s="15"/>
      <c r="V14" s="23"/>
      <c r="W14" s="46"/>
      <c r="X14" s="15"/>
      <c r="Y14" s="3">
        <f>P14+S14+V14</f>
        <v>0</v>
      </c>
      <c r="Z14" s="3">
        <f>Q14+T14+W14</f>
        <v>1.3</v>
      </c>
      <c r="AA14" s="30" t="e">
        <f t="shared" si="4"/>
        <v>#DIV/0!</v>
      </c>
      <c r="AB14" s="23"/>
      <c r="AC14" s="46"/>
      <c r="AD14" s="15"/>
      <c r="AE14" s="23"/>
      <c r="AF14" s="23"/>
      <c r="AG14" s="38" t="e">
        <f t="shared" si="11"/>
        <v>#DIV/0!</v>
      </c>
      <c r="AH14" s="23"/>
      <c r="AI14" s="23"/>
      <c r="AJ14" s="3">
        <f t="shared" si="12"/>
        <v>0</v>
      </c>
      <c r="AK14" s="3">
        <f t="shared" si="13"/>
        <v>0</v>
      </c>
      <c r="AL14" s="30" t="e">
        <f t="shared" si="5"/>
        <v>#DIV/0!</v>
      </c>
      <c r="AM14" s="46">
        <v>0</v>
      </c>
      <c r="AN14" s="46">
        <v>0</v>
      </c>
      <c r="AO14" s="46">
        <v>0</v>
      </c>
      <c r="AP14" s="46">
        <v>0</v>
      </c>
      <c r="AQ14" s="46"/>
      <c r="AR14" s="46"/>
      <c r="AS14" s="3">
        <f t="shared" si="14"/>
        <v>0</v>
      </c>
      <c r="AT14" s="3">
        <f t="shared" si="15"/>
        <v>1.3</v>
      </c>
      <c r="AU14" s="15"/>
      <c r="AV14" s="15">
        <f t="shared" si="6"/>
        <v>-1.3</v>
      </c>
      <c r="AW14" s="4">
        <f t="shared" si="7"/>
        <v>0</v>
      </c>
    </row>
    <row r="15" spans="1:49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5">
        <f t="shared" si="0"/>
        <v>79.65823200788695</v>
      </c>
      <c r="G15" s="3">
        <v>266.5</v>
      </c>
      <c r="H15" s="3">
        <v>249.2</v>
      </c>
      <c r="I15" s="15">
        <f t="shared" si="8"/>
        <v>93.50844277673545</v>
      </c>
      <c r="J15" s="3">
        <v>159.3</v>
      </c>
      <c r="K15" s="3">
        <v>260</v>
      </c>
      <c r="L15" s="15">
        <f>K15/J15*100</f>
        <v>163.21406151914627</v>
      </c>
      <c r="M15" s="3">
        <f t="shared" si="9"/>
        <v>730.0999999999999</v>
      </c>
      <c r="N15" s="3">
        <f t="shared" si="10"/>
        <v>751.6</v>
      </c>
      <c r="O15" s="15">
        <f t="shared" si="2"/>
        <v>102.9448020819066</v>
      </c>
      <c r="P15" s="3">
        <v>8.1</v>
      </c>
      <c r="Q15" s="3">
        <v>156</v>
      </c>
      <c r="R15" s="15">
        <f>Q15/P15*100</f>
        <v>1925.9259259259259</v>
      </c>
      <c r="S15" s="3">
        <v>0</v>
      </c>
      <c r="T15" s="3">
        <v>30.9</v>
      </c>
      <c r="U15" s="15"/>
      <c r="V15" s="3">
        <v>0</v>
      </c>
      <c r="W15" s="3">
        <v>21</v>
      </c>
      <c r="X15" s="15"/>
      <c r="Y15" s="3">
        <f>P15+S15+V15</f>
        <v>8.1</v>
      </c>
      <c r="Z15" s="3">
        <f>Q15+T15+W15</f>
        <v>207.9</v>
      </c>
      <c r="AA15" s="15">
        <f t="shared" si="4"/>
        <v>2566.666666666667</v>
      </c>
      <c r="AB15" s="3">
        <v>0</v>
      </c>
      <c r="AC15" s="3">
        <v>16</v>
      </c>
      <c r="AD15" s="15"/>
      <c r="AE15" s="3">
        <v>0</v>
      </c>
      <c r="AF15" s="3">
        <v>15.2</v>
      </c>
      <c r="AG15" s="15" t="e">
        <f t="shared" si="11"/>
        <v>#DIV/0!</v>
      </c>
      <c r="AH15" s="3">
        <v>0</v>
      </c>
      <c r="AI15" s="3">
        <v>16.2</v>
      </c>
      <c r="AJ15" s="3">
        <f t="shared" si="12"/>
        <v>0</v>
      </c>
      <c r="AK15" s="3">
        <f t="shared" si="13"/>
        <v>47.4</v>
      </c>
      <c r="AL15" s="15" t="e">
        <f t="shared" si="5"/>
        <v>#DIV/0!</v>
      </c>
      <c r="AM15" s="3">
        <v>54.6</v>
      </c>
      <c r="AN15" s="3">
        <v>8.7</v>
      </c>
      <c r="AO15" s="3">
        <v>247.2</v>
      </c>
      <c r="AP15" s="3">
        <v>42.2</v>
      </c>
      <c r="AQ15" s="3">
        <v>260.8</v>
      </c>
      <c r="AR15" s="3">
        <v>256.8</v>
      </c>
      <c r="AS15" s="3">
        <f t="shared" si="14"/>
        <v>1300.8</v>
      </c>
      <c r="AT15" s="3">
        <f t="shared" si="15"/>
        <v>1314.6</v>
      </c>
      <c r="AU15" s="15">
        <f>AT15/AS15*100</f>
        <v>101.06088560885608</v>
      </c>
      <c r="AV15" s="15">
        <f t="shared" si="6"/>
        <v>-13.799999999999955</v>
      </c>
      <c r="AW15" s="4">
        <f t="shared" si="7"/>
        <v>289.5999999999999</v>
      </c>
    </row>
    <row r="16" spans="1:49" ht="23.25" customHeight="1">
      <c r="A16" s="6">
        <v>9</v>
      </c>
      <c r="B16" s="1" t="s">
        <v>54</v>
      </c>
      <c r="C16" s="2">
        <v>23.5</v>
      </c>
      <c r="D16" s="3"/>
      <c r="E16" s="3"/>
      <c r="F16" s="30"/>
      <c r="G16" s="23"/>
      <c r="H16" s="23"/>
      <c r="I16" s="15"/>
      <c r="J16" s="23"/>
      <c r="K16" s="23"/>
      <c r="L16" s="15"/>
      <c r="M16" s="3"/>
      <c r="N16" s="3"/>
      <c r="O16" s="30" t="e">
        <f t="shared" si="2"/>
        <v>#DIV/0!</v>
      </c>
      <c r="P16" s="23"/>
      <c r="Q16" s="23"/>
      <c r="R16" s="15"/>
      <c r="S16" s="23"/>
      <c r="T16" s="23"/>
      <c r="U16" s="15"/>
      <c r="V16" s="23"/>
      <c r="W16" s="23"/>
      <c r="X16" s="15"/>
      <c r="Y16" s="3"/>
      <c r="Z16" s="3"/>
      <c r="AA16" s="30" t="e">
        <f t="shared" si="4"/>
        <v>#DIV/0!</v>
      </c>
      <c r="AB16" s="23"/>
      <c r="AC16" s="23"/>
      <c r="AD16" s="15"/>
      <c r="AE16" s="23"/>
      <c r="AF16" s="23"/>
      <c r="AG16" s="38"/>
      <c r="AH16" s="23"/>
      <c r="AI16" s="23"/>
      <c r="AJ16" s="3">
        <f t="shared" si="12"/>
        <v>0</v>
      </c>
      <c r="AK16" s="3">
        <f t="shared" si="13"/>
        <v>0</v>
      </c>
      <c r="AL16" s="30" t="e">
        <f t="shared" si="5"/>
        <v>#DIV/0!</v>
      </c>
      <c r="AM16" s="23"/>
      <c r="AN16" s="23"/>
      <c r="AO16" s="23"/>
      <c r="AP16" s="23"/>
      <c r="AQ16" s="23"/>
      <c r="AR16" s="23"/>
      <c r="AS16" s="3">
        <f t="shared" si="14"/>
        <v>0</v>
      </c>
      <c r="AT16" s="3">
        <f t="shared" si="15"/>
        <v>0</v>
      </c>
      <c r="AU16" s="15"/>
      <c r="AV16" s="15">
        <f t="shared" si="6"/>
        <v>0</v>
      </c>
      <c r="AW16" s="4">
        <f t="shared" si="7"/>
        <v>23.5</v>
      </c>
    </row>
    <row r="17" spans="1:49" ht="23.25" customHeight="1">
      <c r="A17" s="6">
        <v>10</v>
      </c>
      <c r="B17" s="16" t="s">
        <v>55</v>
      </c>
      <c r="C17" s="2">
        <v>109</v>
      </c>
      <c r="D17" s="3">
        <v>52.9</v>
      </c>
      <c r="E17" s="3">
        <v>42.5</v>
      </c>
      <c r="F17" s="15">
        <f t="shared" si="0"/>
        <v>80.34026465028356</v>
      </c>
      <c r="G17" s="3">
        <v>43.6</v>
      </c>
      <c r="H17" s="3">
        <v>49</v>
      </c>
      <c r="I17" s="15">
        <f t="shared" si="8"/>
        <v>112.38532110091744</v>
      </c>
      <c r="J17" s="3">
        <v>25.8</v>
      </c>
      <c r="K17" s="3">
        <v>19.3</v>
      </c>
      <c r="L17" s="15">
        <f>K17/J17*100</f>
        <v>74.8062015503876</v>
      </c>
      <c r="M17" s="3">
        <f t="shared" si="9"/>
        <v>122.3</v>
      </c>
      <c r="N17" s="3">
        <f t="shared" si="10"/>
        <v>110.8</v>
      </c>
      <c r="O17" s="15">
        <f t="shared" si="2"/>
        <v>90.59689288634505</v>
      </c>
      <c r="P17" s="3">
        <v>1</v>
      </c>
      <c r="Q17" s="3">
        <v>52.4</v>
      </c>
      <c r="R17" s="15">
        <f>Q17/P17*100</f>
        <v>5240</v>
      </c>
      <c r="S17" s="3">
        <v>0</v>
      </c>
      <c r="T17" s="3">
        <v>0.5</v>
      </c>
      <c r="U17" s="15"/>
      <c r="V17" s="3">
        <v>0</v>
      </c>
      <c r="W17" s="3">
        <v>5</v>
      </c>
      <c r="X17" s="15"/>
      <c r="Y17" s="3">
        <f>P17+S17+V17</f>
        <v>1</v>
      </c>
      <c r="Z17" s="3">
        <f>Q17+T17+W17</f>
        <v>57.9</v>
      </c>
      <c r="AA17" s="15">
        <f t="shared" si="4"/>
        <v>5790</v>
      </c>
      <c r="AB17" s="3">
        <v>0</v>
      </c>
      <c r="AC17" s="3">
        <v>0</v>
      </c>
      <c r="AD17" s="15"/>
      <c r="AE17" s="3">
        <v>0</v>
      </c>
      <c r="AF17" s="3">
        <v>0</v>
      </c>
      <c r="AG17" s="15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0</v>
      </c>
      <c r="AL17" s="15" t="e">
        <f t="shared" si="5"/>
        <v>#DIV/0!</v>
      </c>
      <c r="AM17" s="3">
        <v>4.2</v>
      </c>
      <c r="AN17" s="3">
        <v>3</v>
      </c>
      <c r="AO17" s="3">
        <v>32.4</v>
      </c>
      <c r="AP17" s="3">
        <v>12</v>
      </c>
      <c r="AQ17" s="3">
        <v>32</v>
      </c>
      <c r="AR17" s="3">
        <v>27.4</v>
      </c>
      <c r="AS17" s="3">
        <f t="shared" si="14"/>
        <v>191.9</v>
      </c>
      <c r="AT17" s="3">
        <f t="shared" si="15"/>
        <v>211.1</v>
      </c>
      <c r="AU17" s="15">
        <f>AT17/AS17*100</f>
        <v>110.00521104742052</v>
      </c>
      <c r="AV17" s="15">
        <f t="shared" si="6"/>
        <v>-19.19999999999999</v>
      </c>
      <c r="AW17" s="4">
        <f t="shared" si="7"/>
        <v>89.79999999999998</v>
      </c>
    </row>
    <row r="18" spans="1:49" ht="23.25" customHeight="1">
      <c r="A18" s="6">
        <v>11</v>
      </c>
      <c r="B18" s="16" t="s">
        <v>56</v>
      </c>
      <c r="C18" s="2"/>
      <c r="D18" s="3"/>
      <c r="E18" s="3"/>
      <c r="F18" s="15"/>
      <c r="G18" s="3"/>
      <c r="H18" s="3"/>
      <c r="I18" s="15"/>
      <c r="J18" s="3"/>
      <c r="K18" s="3"/>
      <c r="L18" s="15"/>
      <c r="M18" s="3"/>
      <c r="N18" s="3"/>
      <c r="O18" s="30" t="e">
        <f t="shared" si="2"/>
        <v>#DIV/0!</v>
      </c>
      <c r="P18" s="3"/>
      <c r="Q18" s="3"/>
      <c r="R18" s="15"/>
      <c r="S18" s="3"/>
      <c r="T18" s="3"/>
      <c r="U18" s="15"/>
      <c r="V18" s="3"/>
      <c r="W18" s="3"/>
      <c r="X18" s="15"/>
      <c r="Y18" s="3"/>
      <c r="Z18" s="3"/>
      <c r="AA18" s="30" t="e">
        <f t="shared" si="4"/>
        <v>#DIV/0!</v>
      </c>
      <c r="AB18" s="3"/>
      <c r="AC18" s="3"/>
      <c r="AD18" s="15"/>
      <c r="AE18" s="3"/>
      <c r="AF18" s="3"/>
      <c r="AG18" s="30" t="e">
        <f>AF18/AE18*100</f>
        <v>#DIV/0!</v>
      </c>
      <c r="AH18" s="3"/>
      <c r="AI18" s="3"/>
      <c r="AJ18" s="3"/>
      <c r="AK18" s="3"/>
      <c r="AL18" s="30" t="e">
        <f t="shared" si="5"/>
        <v>#DIV/0!</v>
      </c>
      <c r="AM18" s="3"/>
      <c r="AN18" s="3"/>
      <c r="AO18" s="3"/>
      <c r="AP18" s="3"/>
      <c r="AQ18" s="3"/>
      <c r="AR18" s="3"/>
      <c r="AS18" s="3">
        <f t="shared" si="14"/>
        <v>0</v>
      </c>
      <c r="AT18" s="3">
        <f t="shared" si="15"/>
        <v>0</v>
      </c>
      <c r="AU18" s="15"/>
      <c r="AV18" s="15"/>
      <c r="AW18" s="4"/>
    </row>
    <row r="19" spans="1:49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5">
        <f t="shared" si="0"/>
        <v>84.83870967741935</v>
      </c>
      <c r="G19" s="3">
        <f>14.9+11</f>
        <v>25.9</v>
      </c>
      <c r="H19" s="3">
        <f>17.9+9.4</f>
        <v>27.299999999999997</v>
      </c>
      <c r="I19" s="15">
        <f t="shared" si="8"/>
        <v>105.40540540540539</v>
      </c>
      <c r="J19" s="3">
        <f>10.6+7</f>
        <v>17.6</v>
      </c>
      <c r="K19" s="3">
        <f>11.1+8.6</f>
        <v>19.7</v>
      </c>
      <c r="L19" s="15">
        <f>K19/J19*100</f>
        <v>111.93181818181816</v>
      </c>
      <c r="M19" s="3">
        <f t="shared" si="9"/>
        <v>74.5</v>
      </c>
      <c r="N19" s="3">
        <f t="shared" si="10"/>
        <v>73.3</v>
      </c>
      <c r="O19" s="15">
        <f t="shared" si="2"/>
        <v>98.38926174496643</v>
      </c>
      <c r="P19" s="3">
        <f>7</f>
        <v>7</v>
      </c>
      <c r="Q19" s="3">
        <f>14.5+8.6</f>
        <v>23.1</v>
      </c>
      <c r="R19" s="15">
        <f>Q19/P19*100</f>
        <v>330</v>
      </c>
      <c r="S19" s="3"/>
      <c r="T19" s="3"/>
      <c r="U19" s="15"/>
      <c r="V19" s="3"/>
      <c r="W19" s="3"/>
      <c r="X19" s="15"/>
      <c r="Y19" s="3">
        <f>P19+S19+V19</f>
        <v>7</v>
      </c>
      <c r="Z19" s="3">
        <f>Q19+T19+W19</f>
        <v>23.1</v>
      </c>
      <c r="AA19" s="15">
        <f t="shared" si="4"/>
        <v>330</v>
      </c>
      <c r="AB19" s="3">
        <v>0</v>
      </c>
      <c r="AC19" s="3">
        <v>0</v>
      </c>
      <c r="AD19" s="15">
        <v>0</v>
      </c>
      <c r="AE19" s="3"/>
      <c r="AF19" s="3"/>
      <c r="AG19" s="30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5" t="e">
        <f t="shared" si="5"/>
        <v>#DIV/0!</v>
      </c>
      <c r="AM19" s="3">
        <f>4.7+2.1</f>
        <v>6.800000000000001</v>
      </c>
      <c r="AN19" s="3">
        <v>7.8</v>
      </c>
      <c r="AO19" s="3">
        <f>12.4+1.6</f>
        <v>14</v>
      </c>
      <c r="AP19" s="3">
        <v>3.6</v>
      </c>
      <c r="AQ19" s="3">
        <f>12.3+8.6</f>
        <v>20.9</v>
      </c>
      <c r="AR19" s="3">
        <f>9.3+10.2</f>
        <v>19.5</v>
      </c>
      <c r="AS19" s="3">
        <f t="shared" si="14"/>
        <v>123.19999999999999</v>
      </c>
      <c r="AT19" s="3">
        <f t="shared" si="15"/>
        <v>127.3</v>
      </c>
      <c r="AU19" s="15">
        <f>AT19/AS19*100</f>
        <v>103.32792207792207</v>
      </c>
      <c r="AV19" s="15">
        <f t="shared" si="6"/>
        <v>-4.1000000000000085</v>
      </c>
      <c r="AW19" s="4">
        <f t="shared" si="7"/>
        <v>-6.000000000000014</v>
      </c>
    </row>
    <row r="20" spans="1:49" ht="23.25" customHeight="1">
      <c r="A20" s="6">
        <v>13</v>
      </c>
      <c r="B20" s="16" t="s">
        <v>57</v>
      </c>
      <c r="C20" s="2"/>
      <c r="D20" s="23"/>
      <c r="E20" s="23"/>
      <c r="F20" s="38"/>
      <c r="G20" s="23"/>
      <c r="H20" s="23"/>
      <c r="I20" s="15"/>
      <c r="J20" s="23"/>
      <c r="K20" s="23"/>
      <c r="L20" s="15"/>
      <c r="M20" s="3"/>
      <c r="N20" s="3"/>
      <c r="O20" s="30" t="e">
        <f t="shared" si="2"/>
        <v>#DIV/0!</v>
      </c>
      <c r="P20" s="23"/>
      <c r="Q20" s="23"/>
      <c r="R20" s="15"/>
      <c r="S20" s="23"/>
      <c r="T20" s="23"/>
      <c r="U20" s="15"/>
      <c r="V20" s="23"/>
      <c r="W20" s="23"/>
      <c r="X20" s="15"/>
      <c r="Y20" s="3"/>
      <c r="Z20" s="3"/>
      <c r="AA20" s="30" t="e">
        <f t="shared" si="4"/>
        <v>#DIV/0!</v>
      </c>
      <c r="AB20" s="23"/>
      <c r="AC20" s="23"/>
      <c r="AD20" s="15"/>
      <c r="AE20" s="23"/>
      <c r="AF20" s="23"/>
      <c r="AG20" s="38"/>
      <c r="AH20" s="23"/>
      <c r="AI20" s="23"/>
      <c r="AJ20" s="3"/>
      <c r="AK20" s="3"/>
      <c r="AL20" s="30" t="e">
        <f t="shared" si="5"/>
        <v>#DIV/0!</v>
      </c>
      <c r="AM20" s="23"/>
      <c r="AN20" s="23"/>
      <c r="AO20" s="23"/>
      <c r="AP20" s="23"/>
      <c r="AQ20" s="23"/>
      <c r="AR20" s="23"/>
      <c r="AS20" s="3">
        <f t="shared" si="14"/>
        <v>0</v>
      </c>
      <c r="AT20" s="3">
        <f t="shared" si="15"/>
        <v>0</v>
      </c>
      <c r="AU20" s="15"/>
      <c r="AV20" s="15"/>
      <c r="AW20" s="4"/>
    </row>
    <row r="21" spans="1:49" ht="23.25" customHeight="1">
      <c r="A21" s="6">
        <v>14</v>
      </c>
      <c r="B21" s="16" t="s">
        <v>58</v>
      </c>
      <c r="C21" s="2"/>
      <c r="D21" s="23"/>
      <c r="E21" s="23"/>
      <c r="F21" s="38"/>
      <c r="G21" s="23"/>
      <c r="H21" s="23"/>
      <c r="I21" s="15"/>
      <c r="J21" s="23"/>
      <c r="K21" s="23"/>
      <c r="L21" s="15"/>
      <c r="M21" s="3"/>
      <c r="N21" s="3"/>
      <c r="O21" s="30" t="e">
        <f t="shared" si="2"/>
        <v>#DIV/0!</v>
      </c>
      <c r="P21" s="23"/>
      <c r="Q21" s="23"/>
      <c r="R21" s="15"/>
      <c r="S21" s="23"/>
      <c r="T21" s="23"/>
      <c r="U21" s="15"/>
      <c r="V21" s="23"/>
      <c r="W21" s="23"/>
      <c r="X21" s="15"/>
      <c r="Y21" s="3"/>
      <c r="Z21" s="3"/>
      <c r="AA21" s="30" t="e">
        <f t="shared" si="4"/>
        <v>#DIV/0!</v>
      </c>
      <c r="AB21" s="23"/>
      <c r="AC21" s="23"/>
      <c r="AD21" s="15"/>
      <c r="AE21" s="23"/>
      <c r="AF21" s="23"/>
      <c r="AG21" s="38"/>
      <c r="AH21" s="23"/>
      <c r="AI21" s="23"/>
      <c r="AJ21" s="3"/>
      <c r="AK21" s="3"/>
      <c r="AL21" s="30" t="e">
        <f t="shared" si="5"/>
        <v>#DIV/0!</v>
      </c>
      <c r="AM21" s="23"/>
      <c r="AN21" s="23"/>
      <c r="AO21" s="23"/>
      <c r="AP21" s="23"/>
      <c r="AQ21" s="23"/>
      <c r="AR21" s="23"/>
      <c r="AS21" s="3">
        <f t="shared" si="14"/>
        <v>0</v>
      </c>
      <c r="AT21" s="3">
        <f t="shared" si="15"/>
        <v>0</v>
      </c>
      <c r="AU21" s="15"/>
      <c r="AV21" s="15"/>
      <c r="AW21" s="4"/>
    </row>
    <row r="22" spans="1:49" ht="37.5" customHeight="1">
      <c r="A22" s="6">
        <v>15</v>
      </c>
      <c r="B22" s="16" t="s">
        <v>59</v>
      </c>
      <c r="C22" s="2">
        <v>3.1</v>
      </c>
      <c r="D22" s="3">
        <v>14.6</v>
      </c>
      <c r="E22" s="3">
        <v>7.7</v>
      </c>
      <c r="F22" s="15">
        <f t="shared" si="0"/>
        <v>52.73972602739726</v>
      </c>
      <c r="G22" s="46">
        <v>10</v>
      </c>
      <c r="H22" s="46">
        <v>5.9</v>
      </c>
      <c r="I22" s="15">
        <f t="shared" si="8"/>
        <v>59.00000000000001</v>
      </c>
      <c r="J22" s="46">
        <v>6.4</v>
      </c>
      <c r="K22" s="46">
        <v>7.4</v>
      </c>
      <c r="L22" s="15">
        <f>K22/J22*100</f>
        <v>115.625</v>
      </c>
      <c r="M22" s="3">
        <f t="shared" si="9"/>
        <v>31</v>
      </c>
      <c r="N22" s="3">
        <f t="shared" si="10"/>
        <v>21</v>
      </c>
      <c r="O22" s="15">
        <f t="shared" si="2"/>
        <v>67.74193548387096</v>
      </c>
      <c r="P22" s="46">
        <v>0.2</v>
      </c>
      <c r="Q22" s="46">
        <v>8.2</v>
      </c>
      <c r="R22" s="15">
        <f>Q22/P22*100</f>
        <v>4099.999999999999</v>
      </c>
      <c r="S22" s="46">
        <v>0</v>
      </c>
      <c r="T22" s="46">
        <v>0</v>
      </c>
      <c r="U22" s="15"/>
      <c r="V22" s="46">
        <v>0</v>
      </c>
      <c r="W22" s="46">
        <v>5.1</v>
      </c>
      <c r="X22" s="15"/>
      <c r="Y22" s="3">
        <f>P22+S22+V22</f>
        <v>0.2</v>
      </c>
      <c r="Z22" s="3">
        <f>Q22+T22+W22</f>
        <v>13.299999999999999</v>
      </c>
      <c r="AA22" s="15">
        <f t="shared" si="4"/>
        <v>6649.999999999998</v>
      </c>
      <c r="AB22" s="46">
        <v>0</v>
      </c>
      <c r="AC22" s="46">
        <v>0</v>
      </c>
      <c r="AD22" s="15">
        <v>0</v>
      </c>
      <c r="AE22" s="3">
        <v>0</v>
      </c>
      <c r="AF22" s="3">
        <v>0</v>
      </c>
      <c r="AG22" s="38"/>
      <c r="AH22" s="3">
        <v>0</v>
      </c>
      <c r="AI22" s="3">
        <v>0</v>
      </c>
      <c r="AJ22" s="3">
        <f t="shared" si="12"/>
        <v>0</v>
      </c>
      <c r="AK22" s="3">
        <f t="shared" si="13"/>
        <v>0</v>
      </c>
      <c r="AL22" s="15" t="e">
        <f t="shared" si="5"/>
        <v>#DIV/0!</v>
      </c>
      <c r="AM22" s="3">
        <v>2.4</v>
      </c>
      <c r="AN22" s="3">
        <v>2</v>
      </c>
      <c r="AO22" s="3">
        <v>7.9</v>
      </c>
      <c r="AP22" s="3">
        <v>8.2</v>
      </c>
      <c r="AQ22" s="3">
        <v>8.8</v>
      </c>
      <c r="AR22" s="3">
        <v>10.1</v>
      </c>
      <c r="AS22" s="3">
        <f t="shared" si="14"/>
        <v>50.3</v>
      </c>
      <c r="AT22" s="3">
        <f t="shared" si="15"/>
        <v>54.6</v>
      </c>
      <c r="AU22" s="15">
        <f>AT22/AS22*100</f>
        <v>108.54870775347914</v>
      </c>
      <c r="AV22" s="15">
        <f t="shared" si="6"/>
        <v>-4.300000000000004</v>
      </c>
      <c r="AW22" s="4">
        <f t="shared" si="7"/>
        <v>-1.2000000000000028</v>
      </c>
    </row>
    <row r="23" spans="1:49" ht="23.25" customHeight="1">
      <c r="A23" s="6">
        <v>16</v>
      </c>
      <c r="B23" s="16" t="s">
        <v>60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"/>
      <c r="N23" s="3"/>
      <c r="O23" s="30" t="e">
        <f t="shared" si="2"/>
        <v>#DIV/0!</v>
      </c>
      <c r="P23" s="47"/>
      <c r="Q23" s="47"/>
      <c r="R23" s="47"/>
      <c r="S23" s="47"/>
      <c r="T23" s="47"/>
      <c r="U23" s="47"/>
      <c r="V23" s="47"/>
      <c r="W23" s="47"/>
      <c r="X23" s="47"/>
      <c r="Y23" s="3"/>
      <c r="Z23" s="3"/>
      <c r="AA23" s="30" t="e">
        <f t="shared" si="4"/>
        <v>#DIV/0!</v>
      </c>
      <c r="AB23" s="47"/>
      <c r="AC23" s="47"/>
      <c r="AD23" s="47"/>
      <c r="AE23" s="92"/>
      <c r="AF23" s="92"/>
      <c r="AG23" s="92"/>
      <c r="AH23" s="92"/>
      <c r="AI23" s="92"/>
      <c r="AJ23" s="3"/>
      <c r="AK23" s="3"/>
      <c r="AL23" s="30" t="e">
        <f t="shared" si="5"/>
        <v>#DIV/0!</v>
      </c>
      <c r="AM23" s="92"/>
      <c r="AN23" s="92"/>
      <c r="AO23" s="92"/>
      <c r="AP23" s="92"/>
      <c r="AQ23" s="92"/>
      <c r="AR23" s="92"/>
      <c r="AS23" s="3">
        <f t="shared" si="14"/>
        <v>0</v>
      </c>
      <c r="AT23" s="3">
        <f t="shared" si="15"/>
        <v>0</v>
      </c>
      <c r="AU23" s="47"/>
      <c r="AV23" s="15"/>
      <c r="AW23" s="4"/>
    </row>
    <row r="24" spans="1:49" ht="30" customHeight="1">
      <c r="A24" s="6">
        <v>17</v>
      </c>
      <c r="B24" s="16" t="s">
        <v>61</v>
      </c>
      <c r="C24" s="2">
        <v>607.6</v>
      </c>
      <c r="D24" s="3">
        <v>461.8</v>
      </c>
      <c r="E24" s="3">
        <v>309.3</v>
      </c>
      <c r="F24" s="15">
        <f t="shared" si="0"/>
        <v>66.9770463404071</v>
      </c>
      <c r="G24" s="3">
        <v>397.4</v>
      </c>
      <c r="H24" s="3">
        <v>533.7</v>
      </c>
      <c r="I24" s="15">
        <f>H24/G24*100</f>
        <v>134.29793658782086</v>
      </c>
      <c r="J24" s="3">
        <v>180</v>
      </c>
      <c r="K24" s="3">
        <v>333.3</v>
      </c>
      <c r="L24" s="15">
        <f>K24/J24*100</f>
        <v>185.16666666666669</v>
      </c>
      <c r="M24" s="3">
        <f t="shared" si="9"/>
        <v>1039.2</v>
      </c>
      <c r="N24" s="3">
        <f t="shared" si="10"/>
        <v>1176.3</v>
      </c>
      <c r="O24" s="15">
        <f t="shared" si="2"/>
        <v>113.19284064665128</v>
      </c>
      <c r="P24" s="3">
        <v>0</v>
      </c>
      <c r="Q24" s="3">
        <v>159.1</v>
      </c>
      <c r="R24" s="30" t="e">
        <f>Q24/P24*100</f>
        <v>#DIV/0!</v>
      </c>
      <c r="S24" s="3">
        <v>0</v>
      </c>
      <c r="T24" s="3">
        <v>42.1</v>
      </c>
      <c r="U24" s="30" t="e">
        <f>T24/S24*100</f>
        <v>#DIV/0!</v>
      </c>
      <c r="V24" s="3">
        <v>0</v>
      </c>
      <c r="W24" s="3">
        <v>20.7</v>
      </c>
      <c r="X24" s="30" t="e">
        <f>W24/V24*100</f>
        <v>#DIV/0!</v>
      </c>
      <c r="Y24" s="3">
        <f>P24+S24+V24</f>
        <v>0</v>
      </c>
      <c r="Z24" s="3">
        <f>Q24+T24+W24</f>
        <v>221.89999999999998</v>
      </c>
      <c r="AA24" s="30" t="e">
        <f t="shared" si="4"/>
        <v>#DIV/0!</v>
      </c>
      <c r="AB24" s="3">
        <v>0</v>
      </c>
      <c r="AC24" s="3">
        <v>56.4</v>
      </c>
      <c r="AD24" s="30" t="e">
        <f>AC24/AB24*100</f>
        <v>#DIV/0!</v>
      </c>
      <c r="AE24" s="3">
        <v>0</v>
      </c>
      <c r="AF24" s="3">
        <v>20.7</v>
      </c>
      <c r="AG24" s="15" t="e">
        <f>AF24/AE24*100</f>
        <v>#DIV/0!</v>
      </c>
      <c r="AH24" s="3">
        <v>0</v>
      </c>
      <c r="AI24" s="3">
        <v>15.1</v>
      </c>
      <c r="AJ24" s="3">
        <f t="shared" si="12"/>
        <v>0</v>
      </c>
      <c r="AK24" s="3">
        <f t="shared" si="13"/>
        <v>92.19999999999999</v>
      </c>
      <c r="AL24" s="30" t="e">
        <f t="shared" si="5"/>
        <v>#DIV/0!</v>
      </c>
      <c r="AM24" s="3">
        <v>47.7</v>
      </c>
      <c r="AN24" s="3">
        <v>19.9</v>
      </c>
      <c r="AO24" s="3">
        <v>363.4</v>
      </c>
      <c r="AP24" s="3">
        <v>56.1</v>
      </c>
      <c r="AQ24" s="3">
        <v>425.2</v>
      </c>
      <c r="AR24" s="3">
        <v>280</v>
      </c>
      <c r="AS24" s="3">
        <f t="shared" si="14"/>
        <v>1875.5000000000002</v>
      </c>
      <c r="AT24" s="3">
        <f t="shared" si="15"/>
        <v>1846.3999999999999</v>
      </c>
      <c r="AU24" s="15">
        <f>AT24/AS24*100</f>
        <v>98.44841375633162</v>
      </c>
      <c r="AV24" s="15">
        <f t="shared" si="6"/>
        <v>29.100000000000364</v>
      </c>
      <c r="AW24" s="4">
        <f t="shared" si="7"/>
        <v>636.7000000000005</v>
      </c>
    </row>
    <row r="25" spans="1:49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5">
        <f t="shared" si="0"/>
        <v>0</v>
      </c>
      <c r="G25" s="23"/>
      <c r="H25" s="23"/>
      <c r="I25" s="15"/>
      <c r="J25" s="23"/>
      <c r="K25" s="23"/>
      <c r="L25" s="15"/>
      <c r="M25" s="3">
        <f t="shared" si="9"/>
        <v>0.8</v>
      </c>
      <c r="N25" s="3">
        <f t="shared" si="10"/>
        <v>0</v>
      </c>
      <c r="O25" s="15">
        <f t="shared" si="2"/>
        <v>0</v>
      </c>
      <c r="P25" s="46"/>
      <c r="Q25" s="46"/>
      <c r="R25" s="35"/>
      <c r="S25" s="46"/>
      <c r="T25" s="46"/>
      <c r="U25" s="35"/>
      <c r="V25" s="46"/>
      <c r="W25" s="46">
        <v>0.4</v>
      </c>
      <c r="X25" s="15"/>
      <c r="Y25" s="3">
        <f>P25+S25+V25</f>
        <v>0</v>
      </c>
      <c r="Z25" s="3">
        <f>Q25+T25+W25</f>
        <v>0.4</v>
      </c>
      <c r="AA25" s="30" t="e">
        <f t="shared" si="4"/>
        <v>#DIV/0!</v>
      </c>
      <c r="AB25" s="46">
        <v>0</v>
      </c>
      <c r="AC25" s="46">
        <v>0.4</v>
      </c>
      <c r="AD25" s="15"/>
      <c r="AE25" s="46">
        <v>0</v>
      </c>
      <c r="AF25" s="46">
        <v>0</v>
      </c>
      <c r="AG25" s="35"/>
      <c r="AH25" s="46">
        <v>0</v>
      </c>
      <c r="AI25" s="46">
        <v>0</v>
      </c>
      <c r="AJ25" s="3">
        <f t="shared" si="12"/>
        <v>0</v>
      </c>
      <c r="AK25" s="3">
        <f t="shared" si="13"/>
        <v>0.4</v>
      </c>
      <c r="AL25" s="30" t="e">
        <f t="shared" si="5"/>
        <v>#DIV/0!</v>
      </c>
      <c r="AM25" s="46">
        <v>0.1</v>
      </c>
      <c r="AN25" s="46">
        <v>0</v>
      </c>
      <c r="AO25" s="46">
        <v>29.3</v>
      </c>
      <c r="AP25" s="46">
        <v>84.9</v>
      </c>
      <c r="AQ25" s="46">
        <v>53.3</v>
      </c>
      <c r="AR25" s="46">
        <v>1.3</v>
      </c>
      <c r="AS25" s="3">
        <f t="shared" si="14"/>
        <v>83.5</v>
      </c>
      <c r="AT25" s="3">
        <f t="shared" si="15"/>
        <v>87</v>
      </c>
      <c r="AU25" s="15">
        <f>AT25/AS25*100</f>
        <v>104.19161676646706</v>
      </c>
      <c r="AV25" s="15">
        <f t="shared" si="6"/>
        <v>-3.5</v>
      </c>
      <c r="AW25" s="4">
        <f t="shared" si="7"/>
        <v>-3.5</v>
      </c>
    </row>
    <row r="26" spans="1:49" ht="23.25" customHeight="1">
      <c r="A26" s="6">
        <v>19</v>
      </c>
      <c r="B26" s="16" t="s">
        <v>63</v>
      </c>
      <c r="C26" s="2">
        <v>2.2</v>
      </c>
      <c r="D26" s="46"/>
      <c r="E26" s="46"/>
      <c r="F26" s="30"/>
      <c r="G26" s="3"/>
      <c r="H26" s="3"/>
      <c r="I26" s="15"/>
      <c r="J26" s="3"/>
      <c r="K26" s="3"/>
      <c r="L26" s="15"/>
      <c r="M26" s="3"/>
      <c r="N26" s="3"/>
      <c r="O26" s="30" t="e">
        <f t="shared" si="2"/>
        <v>#DIV/0!</v>
      </c>
      <c r="P26" s="3"/>
      <c r="Q26" s="3"/>
      <c r="R26" s="15"/>
      <c r="S26" s="3"/>
      <c r="T26" s="3"/>
      <c r="U26" s="15"/>
      <c r="V26" s="3"/>
      <c r="W26" s="3"/>
      <c r="X26" s="15"/>
      <c r="Y26" s="3"/>
      <c r="Z26" s="3"/>
      <c r="AA26" s="30" t="e">
        <f t="shared" si="4"/>
        <v>#DIV/0!</v>
      </c>
      <c r="AB26" s="3"/>
      <c r="AC26" s="3"/>
      <c r="AD26" s="15"/>
      <c r="AE26" s="3">
        <v>0</v>
      </c>
      <c r="AF26" s="3">
        <v>0</v>
      </c>
      <c r="AG26" s="30" t="e">
        <f>AF26/AE26*100</f>
        <v>#DIV/0!</v>
      </c>
      <c r="AH26" s="3">
        <v>0</v>
      </c>
      <c r="AI26" s="3">
        <v>0</v>
      </c>
      <c r="AJ26" s="3"/>
      <c r="AK26" s="3"/>
      <c r="AL26" s="30"/>
      <c r="AM26" s="3"/>
      <c r="AN26" s="3"/>
      <c r="AO26" s="3"/>
      <c r="AP26" s="3"/>
      <c r="AQ26" s="3"/>
      <c r="AR26" s="3"/>
      <c r="AS26" s="3">
        <f t="shared" si="14"/>
        <v>0</v>
      </c>
      <c r="AT26" s="3">
        <f t="shared" si="15"/>
        <v>0</v>
      </c>
      <c r="AU26" s="15"/>
      <c r="AV26" s="15">
        <f t="shared" si="6"/>
        <v>0</v>
      </c>
      <c r="AW26" s="4">
        <f t="shared" si="7"/>
        <v>2.2</v>
      </c>
    </row>
    <row r="27" spans="1:49" ht="34.5" customHeight="1">
      <c r="A27" s="6">
        <v>20</v>
      </c>
      <c r="B27" s="16" t="s">
        <v>93</v>
      </c>
      <c r="C27" s="2"/>
      <c r="D27" s="3"/>
      <c r="E27" s="3"/>
      <c r="F27" s="30"/>
      <c r="G27" s="3"/>
      <c r="H27" s="3"/>
      <c r="I27" s="15"/>
      <c r="J27" s="3"/>
      <c r="K27" s="3"/>
      <c r="L27" s="15"/>
      <c r="M27" s="3"/>
      <c r="N27" s="3"/>
      <c r="O27" s="30" t="e">
        <f t="shared" si="2"/>
        <v>#DIV/0!</v>
      </c>
      <c r="P27" s="3"/>
      <c r="Q27" s="3"/>
      <c r="R27" s="15"/>
      <c r="S27" s="3"/>
      <c r="T27" s="3"/>
      <c r="U27" s="15"/>
      <c r="V27" s="3"/>
      <c r="W27" s="3"/>
      <c r="X27" s="15"/>
      <c r="Y27" s="3"/>
      <c r="Z27" s="3"/>
      <c r="AA27" s="30" t="e">
        <f t="shared" si="4"/>
        <v>#DIV/0!</v>
      </c>
      <c r="AB27" s="3"/>
      <c r="AC27" s="3"/>
      <c r="AD27" s="15"/>
      <c r="AE27" s="3"/>
      <c r="AF27" s="3"/>
      <c r="AG27" s="30" t="e">
        <f>AF27/AE27*100</f>
        <v>#DIV/0!</v>
      </c>
      <c r="AH27" s="3"/>
      <c r="AI27" s="3"/>
      <c r="AJ27" s="3"/>
      <c r="AK27" s="3"/>
      <c r="AL27" s="30" t="e">
        <f t="shared" si="5"/>
        <v>#DIV/0!</v>
      </c>
      <c r="AM27" s="3"/>
      <c r="AN27" s="3"/>
      <c r="AO27" s="3"/>
      <c r="AP27" s="3"/>
      <c r="AQ27" s="3"/>
      <c r="AR27" s="3"/>
      <c r="AS27" s="3">
        <f t="shared" si="14"/>
        <v>0</v>
      </c>
      <c r="AT27" s="3">
        <f t="shared" si="15"/>
        <v>0</v>
      </c>
      <c r="AU27" s="15"/>
      <c r="AV27" s="15"/>
      <c r="AW27" s="4"/>
    </row>
    <row r="28" spans="1:49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5">
        <f t="shared" si="0"/>
        <v>70</v>
      </c>
      <c r="G28" s="46">
        <v>192.6</v>
      </c>
      <c r="H28" s="46">
        <v>73.9</v>
      </c>
      <c r="I28" s="15">
        <f>H28/G28*100</f>
        <v>38.36967808930426</v>
      </c>
      <c r="J28" s="46">
        <v>76.3</v>
      </c>
      <c r="K28" s="46">
        <v>174.9</v>
      </c>
      <c r="L28" s="15">
        <f>K28/J28*100</f>
        <v>229.2267365661861</v>
      </c>
      <c r="M28" s="3">
        <f t="shared" si="9"/>
        <v>467.90000000000003</v>
      </c>
      <c r="N28" s="3">
        <f t="shared" si="10"/>
        <v>388.1</v>
      </c>
      <c r="O28" s="15">
        <f t="shared" si="2"/>
        <v>82.94507373370378</v>
      </c>
      <c r="P28" s="46">
        <v>1.5</v>
      </c>
      <c r="Q28" s="46">
        <v>143.9</v>
      </c>
      <c r="R28" s="15">
        <f>Q28/P28*100</f>
        <v>9593.333333333334</v>
      </c>
      <c r="S28" s="46">
        <v>0</v>
      </c>
      <c r="T28" s="46">
        <v>109.6</v>
      </c>
      <c r="U28" s="15"/>
      <c r="V28" s="46">
        <v>0</v>
      </c>
      <c r="W28" s="46">
        <v>47.8</v>
      </c>
      <c r="X28" s="15"/>
      <c r="Y28" s="3">
        <f>P28+S28+V28</f>
        <v>1.5</v>
      </c>
      <c r="Z28" s="3">
        <f>Q28+T28+W28</f>
        <v>301.3</v>
      </c>
      <c r="AA28" s="15">
        <f t="shared" si="4"/>
        <v>20086.666666666668</v>
      </c>
      <c r="AB28" s="46">
        <v>0</v>
      </c>
      <c r="AC28" s="46">
        <v>0</v>
      </c>
      <c r="AD28" s="15"/>
      <c r="AE28" s="23"/>
      <c r="AF28" s="23"/>
      <c r="AG28" s="38"/>
      <c r="AH28" s="23"/>
      <c r="AI28" s="23"/>
      <c r="AJ28" s="3">
        <f t="shared" si="12"/>
        <v>0</v>
      </c>
      <c r="AK28" s="3">
        <f t="shared" si="13"/>
        <v>0</v>
      </c>
      <c r="AL28" s="15" t="e">
        <f t="shared" si="5"/>
        <v>#DIV/0!</v>
      </c>
      <c r="AM28" s="46">
        <v>15.5</v>
      </c>
      <c r="AN28" s="46">
        <v>0</v>
      </c>
      <c r="AO28" s="46">
        <v>127.3</v>
      </c>
      <c r="AP28" s="46">
        <v>11.3</v>
      </c>
      <c r="AQ28" s="46">
        <v>137.4</v>
      </c>
      <c r="AR28" s="46">
        <v>108.1</v>
      </c>
      <c r="AS28" s="3">
        <f t="shared" si="14"/>
        <v>749.6</v>
      </c>
      <c r="AT28" s="3">
        <f t="shared" si="15"/>
        <v>808.8000000000001</v>
      </c>
      <c r="AU28" s="15">
        <f>AT28/AS28*100</f>
        <v>107.89754535752402</v>
      </c>
      <c r="AV28" s="15">
        <f t="shared" si="6"/>
        <v>-59.200000000000045</v>
      </c>
      <c r="AW28" s="4">
        <f t="shared" si="7"/>
        <v>162.9999999999999</v>
      </c>
    </row>
    <row r="29" spans="1:49" ht="23.25" customHeight="1">
      <c r="A29" s="6">
        <v>22</v>
      </c>
      <c r="B29" s="1" t="s">
        <v>65</v>
      </c>
      <c r="C29" s="48"/>
      <c r="D29" s="37"/>
      <c r="E29" s="37"/>
      <c r="F29" s="37"/>
      <c r="G29" s="48"/>
      <c r="H29" s="48"/>
      <c r="I29" s="48"/>
      <c r="J29" s="48"/>
      <c r="K29" s="48"/>
      <c r="L29" s="48"/>
      <c r="M29" s="3"/>
      <c r="N29" s="3"/>
      <c r="O29" s="30" t="e">
        <f t="shared" si="2"/>
        <v>#DIV/0!</v>
      </c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30" t="e">
        <f t="shared" si="4"/>
        <v>#DIV/0!</v>
      </c>
      <c r="AB29" s="48"/>
      <c r="AC29" s="48"/>
      <c r="AD29" s="48"/>
      <c r="AE29" s="48"/>
      <c r="AF29" s="48"/>
      <c r="AG29" s="48"/>
      <c r="AH29" s="48"/>
      <c r="AI29" s="48"/>
      <c r="AJ29" s="3"/>
      <c r="AK29" s="3"/>
      <c r="AL29" s="30" t="e">
        <f t="shared" si="5"/>
        <v>#DIV/0!</v>
      </c>
      <c r="AM29" s="48"/>
      <c r="AN29" s="48"/>
      <c r="AO29" s="48"/>
      <c r="AP29" s="48"/>
      <c r="AQ29" s="48"/>
      <c r="AR29" s="48"/>
      <c r="AS29" s="3">
        <f t="shared" si="14"/>
        <v>0</v>
      </c>
      <c r="AT29" s="3">
        <f t="shared" si="15"/>
        <v>0</v>
      </c>
      <c r="AU29" s="48"/>
      <c r="AV29" s="15"/>
      <c r="AW29" s="4"/>
    </row>
    <row r="30" spans="1:49" ht="23.25" customHeight="1">
      <c r="A30" s="6">
        <v>23</v>
      </c>
      <c r="B30" s="16" t="s">
        <v>66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"/>
      <c r="N30" s="3"/>
      <c r="O30" s="30" t="e">
        <f t="shared" si="2"/>
        <v>#DIV/0!</v>
      </c>
      <c r="P30" s="37"/>
      <c r="Q30" s="37"/>
      <c r="R30" s="37"/>
      <c r="S30" s="37"/>
      <c r="T30" s="37"/>
      <c r="U30" s="37"/>
      <c r="V30" s="37"/>
      <c r="W30" s="37"/>
      <c r="X30" s="37"/>
      <c r="Y30" s="3"/>
      <c r="Z30" s="3"/>
      <c r="AA30" s="30" t="e">
        <f t="shared" si="4"/>
        <v>#DIV/0!</v>
      </c>
      <c r="AB30" s="37"/>
      <c r="AC30" s="37"/>
      <c r="AD30" s="37"/>
      <c r="AE30" s="48"/>
      <c r="AF30" s="48"/>
      <c r="AG30" s="48"/>
      <c r="AH30" s="48"/>
      <c r="AI30" s="48"/>
      <c r="AJ30" s="3"/>
      <c r="AK30" s="3"/>
      <c r="AL30" s="30" t="e">
        <f t="shared" si="5"/>
        <v>#DIV/0!</v>
      </c>
      <c r="AM30" s="48"/>
      <c r="AN30" s="48"/>
      <c r="AO30" s="48"/>
      <c r="AP30" s="48"/>
      <c r="AQ30" s="48"/>
      <c r="AR30" s="48"/>
      <c r="AS30" s="3">
        <f t="shared" si="14"/>
        <v>0</v>
      </c>
      <c r="AT30" s="3">
        <f t="shared" si="15"/>
        <v>0</v>
      </c>
      <c r="AU30" s="37"/>
      <c r="AV30" s="15"/>
      <c r="AW30" s="4"/>
    </row>
    <row r="31" spans="1:49" ht="23.25" customHeight="1">
      <c r="A31" s="6">
        <v>24</v>
      </c>
      <c r="B31" s="16" t="s">
        <v>67</v>
      </c>
      <c r="C31" s="49"/>
      <c r="D31" s="37"/>
      <c r="E31" s="37"/>
      <c r="F31" s="37"/>
      <c r="G31" s="48"/>
      <c r="H31" s="48"/>
      <c r="I31" s="48"/>
      <c r="J31" s="48"/>
      <c r="K31" s="48"/>
      <c r="L31" s="48"/>
      <c r="M31" s="3"/>
      <c r="N31" s="3"/>
      <c r="O31" s="30" t="e">
        <f t="shared" si="2"/>
        <v>#DIV/0!</v>
      </c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30" t="e">
        <f t="shared" si="4"/>
        <v>#DIV/0!</v>
      </c>
      <c r="AB31" s="48"/>
      <c r="AC31" s="48"/>
      <c r="AD31" s="48"/>
      <c r="AE31" s="48"/>
      <c r="AF31" s="48"/>
      <c r="AG31" s="48"/>
      <c r="AH31" s="48"/>
      <c r="AI31" s="48"/>
      <c r="AJ31" s="3"/>
      <c r="AK31" s="3"/>
      <c r="AL31" s="30" t="e">
        <f t="shared" si="5"/>
        <v>#DIV/0!</v>
      </c>
      <c r="AM31" s="48"/>
      <c r="AN31" s="48"/>
      <c r="AO31" s="48"/>
      <c r="AP31" s="48"/>
      <c r="AQ31" s="48"/>
      <c r="AR31" s="48"/>
      <c r="AS31" s="3">
        <f t="shared" si="14"/>
        <v>0</v>
      </c>
      <c r="AT31" s="3">
        <f t="shared" si="15"/>
        <v>0</v>
      </c>
      <c r="AU31" s="48"/>
      <c r="AV31" s="15"/>
      <c r="AW31" s="4"/>
    </row>
    <row r="32" spans="1:49" ht="23.25" customHeight="1">
      <c r="A32" s="6">
        <v>25</v>
      </c>
      <c r="B32" s="16" t="s">
        <v>87</v>
      </c>
      <c r="C32" s="2"/>
      <c r="D32" s="23"/>
      <c r="E32" s="23"/>
      <c r="F32" s="38" t="e">
        <f aca="true" t="shared" si="16" ref="F32:F46">E32/D32*100</f>
        <v>#DIV/0!</v>
      </c>
      <c r="G32" s="23"/>
      <c r="H32" s="23"/>
      <c r="I32" s="38"/>
      <c r="J32" s="23"/>
      <c r="K32" s="23"/>
      <c r="L32" s="38"/>
      <c r="M32" s="3"/>
      <c r="N32" s="3"/>
      <c r="O32" s="30" t="e">
        <f t="shared" si="2"/>
        <v>#DIV/0!</v>
      </c>
      <c r="P32" s="23"/>
      <c r="Q32" s="23"/>
      <c r="R32" s="38"/>
      <c r="S32" s="23"/>
      <c r="T32" s="23"/>
      <c r="U32" s="38"/>
      <c r="V32" s="23"/>
      <c r="W32" s="23"/>
      <c r="X32" s="38"/>
      <c r="Y32" s="3"/>
      <c r="Z32" s="3"/>
      <c r="AA32" s="30" t="e">
        <f t="shared" si="4"/>
        <v>#DIV/0!</v>
      </c>
      <c r="AB32" s="23"/>
      <c r="AC32" s="23"/>
      <c r="AD32" s="38"/>
      <c r="AE32" s="23"/>
      <c r="AF32" s="23"/>
      <c r="AG32" s="38"/>
      <c r="AH32" s="23"/>
      <c r="AI32" s="23"/>
      <c r="AJ32" s="3"/>
      <c r="AK32" s="3"/>
      <c r="AL32" s="30" t="e">
        <f t="shared" si="5"/>
        <v>#DIV/0!</v>
      </c>
      <c r="AM32" s="23"/>
      <c r="AN32" s="23"/>
      <c r="AO32" s="23"/>
      <c r="AP32" s="23"/>
      <c r="AQ32" s="23"/>
      <c r="AR32" s="23"/>
      <c r="AS32" s="3">
        <f t="shared" si="14"/>
        <v>0</v>
      </c>
      <c r="AT32" s="3">
        <f t="shared" si="15"/>
        <v>0</v>
      </c>
      <c r="AU32" s="38"/>
      <c r="AV32" s="15"/>
      <c r="AW32" s="4"/>
    </row>
    <row r="33" spans="1:49" ht="23.25" customHeight="1">
      <c r="A33" s="6"/>
      <c r="B33" s="16" t="s">
        <v>105</v>
      </c>
      <c r="C33" s="2">
        <f>178.6+(-46.9)</f>
        <v>131.7</v>
      </c>
      <c r="D33" s="3">
        <f>195.9</f>
        <v>195.9</v>
      </c>
      <c r="E33" s="3">
        <v>167.7</v>
      </c>
      <c r="F33" s="15">
        <f t="shared" si="16"/>
        <v>85.60490045941806</v>
      </c>
      <c r="G33" s="3">
        <v>152.9</v>
      </c>
      <c r="H33" s="3">
        <v>188.4</v>
      </c>
      <c r="I33" s="15">
        <f aca="true" t="shared" si="17" ref="I33:I45">H33/G33*100</f>
        <v>123.21778940483976</v>
      </c>
      <c r="J33" s="3">
        <v>57.9</v>
      </c>
      <c r="K33" s="3">
        <v>145.3</v>
      </c>
      <c r="L33" s="15">
        <f>K33/J33*100</f>
        <v>250.9499136442142</v>
      </c>
      <c r="M33" s="3">
        <f t="shared" si="9"/>
        <v>406.7</v>
      </c>
      <c r="N33" s="3">
        <f t="shared" si="10"/>
        <v>501.40000000000003</v>
      </c>
      <c r="O33" s="15">
        <f t="shared" si="2"/>
        <v>123.28497664125892</v>
      </c>
      <c r="P33" s="3">
        <v>0</v>
      </c>
      <c r="Q33" s="3">
        <v>54.9</v>
      </c>
      <c r="R33" s="30" t="e">
        <f>Q33/P33*100</f>
        <v>#DIV/0!</v>
      </c>
      <c r="S33" s="3">
        <v>0</v>
      </c>
      <c r="T33" s="3">
        <v>18.9</v>
      </c>
      <c r="U33" s="30" t="e">
        <f>T33/S33*100</f>
        <v>#DIV/0!</v>
      </c>
      <c r="V33" s="3">
        <v>0</v>
      </c>
      <c r="W33" s="3">
        <v>1.9</v>
      </c>
      <c r="X33" s="30" t="e">
        <f>W33/V33*100</f>
        <v>#DIV/0!</v>
      </c>
      <c r="Y33" s="3">
        <f>P33+S33+V33</f>
        <v>0</v>
      </c>
      <c r="Z33" s="3">
        <f>Q33+T33+W33</f>
        <v>75.7</v>
      </c>
      <c r="AA33" s="30" t="e">
        <f t="shared" si="4"/>
        <v>#DIV/0!</v>
      </c>
      <c r="AB33" s="3">
        <v>0</v>
      </c>
      <c r="AC33" s="3">
        <v>0</v>
      </c>
      <c r="AD33" s="30" t="e">
        <f>AC33/AB33*100</f>
        <v>#DIV/0!</v>
      </c>
      <c r="AE33" s="3">
        <v>0</v>
      </c>
      <c r="AF33" s="3">
        <v>3.8</v>
      </c>
      <c r="AG33" s="15" t="e">
        <f>AF33/AE33*100</f>
        <v>#DIV/0!</v>
      </c>
      <c r="AH33" s="3">
        <v>110.6</v>
      </c>
      <c r="AI33" s="3">
        <v>0</v>
      </c>
      <c r="AJ33" s="3">
        <f t="shared" si="12"/>
        <v>110.6</v>
      </c>
      <c r="AK33" s="3">
        <f t="shared" si="13"/>
        <v>3.8</v>
      </c>
      <c r="AL33" s="30">
        <f t="shared" si="5"/>
        <v>3.4358047016274864</v>
      </c>
      <c r="AM33" s="3">
        <v>0</v>
      </c>
      <c r="AN33" s="3">
        <v>10</v>
      </c>
      <c r="AO33" s="3">
        <v>0</v>
      </c>
      <c r="AP33" s="3">
        <v>0</v>
      </c>
      <c r="AQ33" s="3">
        <v>0</v>
      </c>
      <c r="AR33" s="3">
        <v>-46.9</v>
      </c>
      <c r="AS33" s="3">
        <f t="shared" si="14"/>
        <v>517.3</v>
      </c>
      <c r="AT33" s="3">
        <f t="shared" si="15"/>
        <v>544</v>
      </c>
      <c r="AU33" s="15">
        <f>AT33/AS33*100</f>
        <v>105.16141503962886</v>
      </c>
      <c r="AV33" s="15">
        <f t="shared" si="6"/>
        <v>-26.700000000000045</v>
      </c>
      <c r="AW33" s="4">
        <f t="shared" si="7"/>
        <v>105</v>
      </c>
    </row>
    <row r="34" spans="1:49" ht="24.75" customHeight="1">
      <c r="A34" s="20"/>
      <c r="B34" s="16" t="s">
        <v>69</v>
      </c>
      <c r="C34" s="2"/>
      <c r="D34" s="23"/>
      <c r="E34" s="23"/>
      <c r="F34" s="38"/>
      <c r="G34" s="3"/>
      <c r="H34" s="3"/>
      <c r="I34" s="38"/>
      <c r="J34" s="3"/>
      <c r="K34" s="3"/>
      <c r="L34" s="38"/>
      <c r="M34" s="3"/>
      <c r="N34" s="3"/>
      <c r="O34" s="30" t="e">
        <f t="shared" si="2"/>
        <v>#DIV/0!</v>
      </c>
      <c r="P34" s="3"/>
      <c r="Q34" s="3"/>
      <c r="R34" s="38"/>
      <c r="S34" s="3"/>
      <c r="T34" s="3"/>
      <c r="U34" s="38"/>
      <c r="V34" s="3"/>
      <c r="W34" s="3"/>
      <c r="X34" s="38"/>
      <c r="Y34" s="3"/>
      <c r="Z34" s="3"/>
      <c r="AA34" s="30" t="e">
        <f t="shared" si="4"/>
        <v>#DIV/0!</v>
      </c>
      <c r="AB34" s="3"/>
      <c r="AC34" s="3"/>
      <c r="AD34" s="38"/>
      <c r="AE34" s="3"/>
      <c r="AF34" s="3"/>
      <c r="AG34" s="38"/>
      <c r="AH34" s="3"/>
      <c r="AI34" s="3"/>
      <c r="AJ34" s="3"/>
      <c r="AK34" s="3"/>
      <c r="AL34" s="30" t="e">
        <f t="shared" si="5"/>
        <v>#DIV/0!</v>
      </c>
      <c r="AM34" s="3"/>
      <c r="AN34" s="3"/>
      <c r="AO34" s="3"/>
      <c r="AP34" s="3"/>
      <c r="AQ34" s="3"/>
      <c r="AR34" s="3"/>
      <c r="AS34" s="3">
        <f t="shared" si="14"/>
        <v>0</v>
      </c>
      <c r="AT34" s="3">
        <f t="shared" si="15"/>
        <v>0</v>
      </c>
      <c r="AU34" s="15"/>
      <c r="AV34" s="15"/>
      <c r="AW34" s="4"/>
    </row>
    <row r="35" spans="1:49" ht="30" customHeight="1">
      <c r="A35" s="6">
        <v>26</v>
      </c>
      <c r="B35" s="16" t="s">
        <v>94</v>
      </c>
      <c r="C35" s="2">
        <v>2037.7</v>
      </c>
      <c r="D35" s="3">
        <v>124.2</v>
      </c>
      <c r="E35" s="3">
        <v>54.7</v>
      </c>
      <c r="F35" s="15">
        <f t="shared" si="16"/>
        <v>44.04186795491143</v>
      </c>
      <c r="G35" s="3">
        <v>102.3</v>
      </c>
      <c r="H35" s="3">
        <v>54.5</v>
      </c>
      <c r="I35" s="15">
        <f t="shared" si="17"/>
        <v>53.27468230694037</v>
      </c>
      <c r="J35" s="3">
        <v>69.7</v>
      </c>
      <c r="K35" s="3">
        <v>11.8</v>
      </c>
      <c r="L35" s="15">
        <f aca="true" t="shared" si="18" ref="L35:L42">K35/J35*100</f>
        <v>16.929698708751793</v>
      </c>
      <c r="M35" s="3">
        <f t="shared" si="9"/>
        <v>296.2</v>
      </c>
      <c r="N35" s="3">
        <f t="shared" si="10"/>
        <v>121</v>
      </c>
      <c r="O35" s="15">
        <f t="shared" si="2"/>
        <v>40.85077650236327</v>
      </c>
      <c r="P35" s="3">
        <v>2.5</v>
      </c>
      <c r="Q35" s="3">
        <v>204.1</v>
      </c>
      <c r="R35" s="15">
        <f aca="true" t="shared" si="19" ref="R35:R42">Q35/P35*100</f>
        <v>8164</v>
      </c>
      <c r="S35" s="3">
        <v>0</v>
      </c>
      <c r="T35" s="3">
        <v>2</v>
      </c>
      <c r="U35" s="15"/>
      <c r="V35" s="3">
        <v>0</v>
      </c>
      <c r="W35" s="3">
        <v>3.6</v>
      </c>
      <c r="X35" s="15"/>
      <c r="Y35" s="3">
        <f aca="true" t="shared" si="20" ref="Y35:Z42">P35+S35+V35</f>
        <v>2.5</v>
      </c>
      <c r="Z35" s="3">
        <f t="shared" si="20"/>
        <v>209.7</v>
      </c>
      <c r="AA35" s="15">
        <f t="shared" si="4"/>
        <v>8388</v>
      </c>
      <c r="AB35" s="3">
        <v>0</v>
      </c>
      <c r="AC35" s="3">
        <v>0</v>
      </c>
      <c r="AD35" s="15"/>
      <c r="AE35" s="3">
        <v>0</v>
      </c>
      <c r="AF35" s="3">
        <v>100</v>
      </c>
      <c r="AG35" s="15" t="e">
        <f>AF35/AE35*100</f>
        <v>#DIV/0!</v>
      </c>
      <c r="AH35" s="3">
        <v>0</v>
      </c>
      <c r="AI35" s="3">
        <v>262.7</v>
      </c>
      <c r="AJ35" s="3">
        <f t="shared" si="12"/>
        <v>0</v>
      </c>
      <c r="AK35" s="3">
        <f t="shared" si="13"/>
        <v>362.7</v>
      </c>
      <c r="AL35" s="15" t="e">
        <f t="shared" si="5"/>
        <v>#DIV/0!</v>
      </c>
      <c r="AM35" s="3">
        <v>3.6</v>
      </c>
      <c r="AN35" s="3">
        <v>238.7</v>
      </c>
      <c r="AO35" s="3">
        <v>74.1</v>
      </c>
      <c r="AP35" s="3">
        <v>5</v>
      </c>
      <c r="AQ35" s="3">
        <v>80.3</v>
      </c>
      <c r="AR35" s="3">
        <v>9.2</v>
      </c>
      <c r="AS35" s="3">
        <f t="shared" si="14"/>
        <v>456.7</v>
      </c>
      <c r="AT35" s="3">
        <f t="shared" si="15"/>
        <v>946.3</v>
      </c>
      <c r="AU35" s="15">
        <f aca="true" t="shared" si="21" ref="AU35:AU46">AT35/AS35*100</f>
        <v>207.20385373330413</v>
      </c>
      <c r="AV35" s="15">
        <f aca="true" t="shared" si="22" ref="AV35:AV42">AS35-AT35</f>
        <v>-489.59999999999997</v>
      </c>
      <c r="AW35" s="4">
        <f aca="true" t="shared" si="23" ref="AW35:AW42">C35+AS35-AT35</f>
        <v>1548.1000000000001</v>
      </c>
    </row>
    <row r="36" spans="1:49" ht="24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5">
        <f t="shared" si="16"/>
        <v>75</v>
      </c>
      <c r="G36" s="3">
        <v>72.6</v>
      </c>
      <c r="H36" s="3">
        <v>68.9</v>
      </c>
      <c r="I36" s="15">
        <f t="shared" si="17"/>
        <v>94.90358126721765</v>
      </c>
      <c r="J36" s="3">
        <v>36.3</v>
      </c>
      <c r="K36" s="3">
        <v>73.8</v>
      </c>
      <c r="L36" s="15">
        <f t="shared" si="18"/>
        <v>203.30578512396693</v>
      </c>
      <c r="M36" s="3">
        <f t="shared" si="9"/>
        <v>189.7</v>
      </c>
      <c r="N36" s="3">
        <f t="shared" si="10"/>
        <v>203.3</v>
      </c>
      <c r="O36" s="15">
        <f t="shared" si="2"/>
        <v>107.16921454928836</v>
      </c>
      <c r="P36" s="3">
        <v>1.8</v>
      </c>
      <c r="Q36" s="3">
        <v>30</v>
      </c>
      <c r="R36" s="15">
        <f t="shared" si="19"/>
        <v>1666.6666666666667</v>
      </c>
      <c r="S36" s="3">
        <v>0</v>
      </c>
      <c r="T36" s="3">
        <v>3.4</v>
      </c>
      <c r="U36" s="15"/>
      <c r="V36" s="3">
        <v>0</v>
      </c>
      <c r="W36" s="3">
        <v>3</v>
      </c>
      <c r="X36" s="15"/>
      <c r="Y36" s="3">
        <f t="shared" si="20"/>
        <v>1.8</v>
      </c>
      <c r="Z36" s="3">
        <f t="shared" si="20"/>
        <v>36.4</v>
      </c>
      <c r="AA36" s="15">
        <f t="shared" si="4"/>
        <v>2022.2222222222222</v>
      </c>
      <c r="AB36" s="3">
        <v>0</v>
      </c>
      <c r="AC36" s="3">
        <v>-0.6</v>
      </c>
      <c r="AD36" s="15"/>
      <c r="AE36" s="3">
        <v>0</v>
      </c>
      <c r="AF36" s="3">
        <v>2.5</v>
      </c>
      <c r="AG36" s="15">
        <v>0</v>
      </c>
      <c r="AH36" s="3">
        <v>0</v>
      </c>
      <c r="AI36" s="3">
        <v>0</v>
      </c>
      <c r="AJ36" s="3">
        <f t="shared" si="12"/>
        <v>0</v>
      </c>
      <c r="AK36" s="3">
        <f t="shared" si="13"/>
        <v>1.9</v>
      </c>
      <c r="AL36" s="15" t="e">
        <f t="shared" si="5"/>
        <v>#DIV/0!</v>
      </c>
      <c r="AM36" s="3">
        <v>2.4</v>
      </c>
      <c r="AN36" s="3">
        <v>2.8</v>
      </c>
      <c r="AO36" s="3">
        <v>77.7</v>
      </c>
      <c r="AP36" s="3">
        <v>11.4</v>
      </c>
      <c r="AQ36" s="3">
        <v>110.4</v>
      </c>
      <c r="AR36" s="3">
        <v>36.3</v>
      </c>
      <c r="AS36" s="3">
        <f t="shared" si="14"/>
        <v>382</v>
      </c>
      <c r="AT36" s="3">
        <f t="shared" si="15"/>
        <v>292.1</v>
      </c>
      <c r="AU36" s="15">
        <f t="shared" si="21"/>
        <v>76.46596858638745</v>
      </c>
      <c r="AV36" s="15">
        <f t="shared" si="22"/>
        <v>89.89999999999998</v>
      </c>
      <c r="AW36" s="4">
        <f t="shared" si="23"/>
        <v>144</v>
      </c>
    </row>
    <row r="37" spans="1:49" ht="23.25" customHeight="1">
      <c r="A37" s="6">
        <v>28</v>
      </c>
      <c r="B37" s="16" t="s">
        <v>71</v>
      </c>
      <c r="C37" s="2">
        <v>722.8</v>
      </c>
      <c r="D37" s="3">
        <v>588.1</v>
      </c>
      <c r="E37" s="3">
        <v>448.3</v>
      </c>
      <c r="F37" s="15">
        <f t="shared" si="16"/>
        <v>76.22853256248938</v>
      </c>
      <c r="G37" s="3">
        <v>522.9</v>
      </c>
      <c r="H37" s="3">
        <v>549.5</v>
      </c>
      <c r="I37" s="15">
        <f t="shared" si="17"/>
        <v>105.08701472556893</v>
      </c>
      <c r="J37" s="3">
        <v>253.3</v>
      </c>
      <c r="K37" s="3">
        <v>414.7</v>
      </c>
      <c r="L37" s="15">
        <f t="shared" si="18"/>
        <v>163.7189103829451</v>
      </c>
      <c r="M37" s="3">
        <f t="shared" si="9"/>
        <v>1364.3</v>
      </c>
      <c r="N37" s="3">
        <f t="shared" si="10"/>
        <v>1412.5</v>
      </c>
      <c r="O37" s="15">
        <f t="shared" si="2"/>
        <v>103.53294729898117</v>
      </c>
      <c r="P37" s="3">
        <v>9.1</v>
      </c>
      <c r="Q37" s="3">
        <v>236.9</v>
      </c>
      <c r="R37" s="15">
        <f t="shared" si="19"/>
        <v>2603.296703296703</v>
      </c>
      <c r="S37" s="3">
        <v>0</v>
      </c>
      <c r="T37" s="3">
        <v>22</v>
      </c>
      <c r="U37" s="15"/>
      <c r="V37" s="3">
        <v>0</v>
      </c>
      <c r="W37" s="3">
        <v>1.1</v>
      </c>
      <c r="X37" s="15"/>
      <c r="Y37" s="3">
        <f t="shared" si="20"/>
        <v>9.1</v>
      </c>
      <c r="Z37" s="3">
        <f t="shared" si="20"/>
        <v>260</v>
      </c>
      <c r="AA37" s="15">
        <f t="shared" si="4"/>
        <v>2857.1428571428573</v>
      </c>
      <c r="AB37" s="3">
        <v>0</v>
      </c>
      <c r="AC37" s="3">
        <v>1.8</v>
      </c>
      <c r="AD37" s="15"/>
      <c r="AE37" s="3">
        <v>0</v>
      </c>
      <c r="AF37" s="3">
        <v>1.8</v>
      </c>
      <c r="AG37" s="15" t="e">
        <f aca="true" t="shared" si="24" ref="AG37:AG42">AF37/AE37*100</f>
        <v>#DIV/0!</v>
      </c>
      <c r="AH37" s="3">
        <v>0</v>
      </c>
      <c r="AI37" s="3">
        <v>14</v>
      </c>
      <c r="AJ37" s="3">
        <f t="shared" si="12"/>
        <v>0</v>
      </c>
      <c r="AK37" s="3">
        <f t="shared" si="13"/>
        <v>17.6</v>
      </c>
      <c r="AL37" s="15" t="e">
        <f t="shared" si="5"/>
        <v>#DIV/0!</v>
      </c>
      <c r="AM37" s="3">
        <v>95.7</v>
      </c>
      <c r="AN37" s="3">
        <v>11.8</v>
      </c>
      <c r="AO37" s="3">
        <v>358.4</v>
      </c>
      <c r="AP37" s="3">
        <v>80.5</v>
      </c>
      <c r="AQ37" s="3">
        <v>419.5</v>
      </c>
      <c r="AR37" s="3">
        <v>419.4</v>
      </c>
      <c r="AS37" s="3">
        <f t="shared" si="14"/>
        <v>2247</v>
      </c>
      <c r="AT37" s="3">
        <f t="shared" si="15"/>
        <v>2201.7999999999997</v>
      </c>
      <c r="AU37" s="15">
        <f t="shared" si="21"/>
        <v>97.98842901646638</v>
      </c>
      <c r="AV37" s="15">
        <f t="shared" si="22"/>
        <v>45.20000000000027</v>
      </c>
      <c r="AW37" s="4">
        <f t="shared" si="23"/>
        <v>768.0000000000005</v>
      </c>
    </row>
    <row r="38" spans="1:49" ht="23.25" customHeight="1">
      <c r="A38" s="6">
        <v>29</v>
      </c>
      <c r="B38" s="16" t="s">
        <v>72</v>
      </c>
      <c r="C38" s="2">
        <v>478.1</v>
      </c>
      <c r="D38" s="3">
        <v>508.6</v>
      </c>
      <c r="E38" s="3">
        <v>426.4</v>
      </c>
      <c r="F38" s="15">
        <f t="shared" si="16"/>
        <v>83.8379866299646</v>
      </c>
      <c r="G38" s="3">
        <v>492.1</v>
      </c>
      <c r="H38" s="3">
        <v>420.6</v>
      </c>
      <c r="I38" s="15">
        <f t="shared" si="17"/>
        <v>85.4704328388539</v>
      </c>
      <c r="J38" s="3">
        <v>268.8</v>
      </c>
      <c r="K38" s="3">
        <v>440.5</v>
      </c>
      <c r="L38" s="15">
        <f t="shared" si="18"/>
        <v>163.8764880952381</v>
      </c>
      <c r="M38" s="3">
        <f t="shared" si="9"/>
        <v>1269.5</v>
      </c>
      <c r="N38" s="3">
        <f t="shared" si="10"/>
        <v>1287.5</v>
      </c>
      <c r="O38" s="15">
        <f t="shared" si="2"/>
        <v>101.41788105553367</v>
      </c>
      <c r="P38" s="3">
        <v>30.1</v>
      </c>
      <c r="Q38" s="3">
        <v>191.7</v>
      </c>
      <c r="R38" s="15">
        <f t="shared" si="19"/>
        <v>636.87707641196</v>
      </c>
      <c r="S38" s="3">
        <v>0</v>
      </c>
      <c r="T38" s="3">
        <v>156.3</v>
      </c>
      <c r="U38" s="15"/>
      <c r="V38" s="3">
        <v>0</v>
      </c>
      <c r="W38" s="3">
        <v>11.4</v>
      </c>
      <c r="X38" s="15"/>
      <c r="Y38" s="3">
        <f t="shared" si="20"/>
        <v>30.1</v>
      </c>
      <c r="Z38" s="3">
        <f t="shared" si="20"/>
        <v>359.4</v>
      </c>
      <c r="AA38" s="15">
        <f t="shared" si="4"/>
        <v>1194.0199335548173</v>
      </c>
      <c r="AB38" s="3">
        <v>0</v>
      </c>
      <c r="AC38" s="3">
        <v>8.1</v>
      </c>
      <c r="AD38" s="15"/>
      <c r="AE38" s="3">
        <v>0</v>
      </c>
      <c r="AF38" s="3">
        <v>5.1</v>
      </c>
      <c r="AG38" s="15" t="e">
        <f t="shared" si="24"/>
        <v>#DIV/0!</v>
      </c>
      <c r="AH38" s="3">
        <v>0</v>
      </c>
      <c r="AI38" s="3">
        <v>6.9</v>
      </c>
      <c r="AJ38" s="3">
        <f t="shared" si="12"/>
        <v>0</v>
      </c>
      <c r="AK38" s="3">
        <f t="shared" si="13"/>
        <v>20.1</v>
      </c>
      <c r="AL38" s="15" t="e">
        <f t="shared" si="5"/>
        <v>#DIV/0!</v>
      </c>
      <c r="AM38" s="3">
        <v>18.4</v>
      </c>
      <c r="AN38" s="3">
        <v>7</v>
      </c>
      <c r="AO38" s="3">
        <v>476.7</v>
      </c>
      <c r="AP38" s="3">
        <v>55</v>
      </c>
      <c r="AQ38" s="3">
        <v>425.8</v>
      </c>
      <c r="AR38" s="3">
        <f>301.5+0.5</f>
        <v>302</v>
      </c>
      <c r="AS38" s="3">
        <f t="shared" si="14"/>
        <v>2220.5</v>
      </c>
      <c r="AT38" s="3">
        <f t="shared" si="15"/>
        <v>2031</v>
      </c>
      <c r="AU38" s="15">
        <f t="shared" si="21"/>
        <v>91.46588606169782</v>
      </c>
      <c r="AV38" s="15">
        <f t="shared" si="22"/>
        <v>189.5</v>
      </c>
      <c r="AW38" s="4">
        <f t="shared" si="23"/>
        <v>667.5999999999999</v>
      </c>
    </row>
    <row r="39" spans="1:49" ht="35.25" customHeight="1">
      <c r="A39" s="6">
        <v>30</v>
      </c>
      <c r="B39" s="16" t="s">
        <v>95</v>
      </c>
      <c r="C39" s="2">
        <v>944.2</v>
      </c>
      <c r="D39" s="3">
        <v>1374.7</v>
      </c>
      <c r="E39" s="3">
        <v>671.4</v>
      </c>
      <c r="F39" s="15">
        <f t="shared" si="16"/>
        <v>48.839746853859026</v>
      </c>
      <c r="G39" s="3">
        <v>1133.8</v>
      </c>
      <c r="H39" s="3">
        <v>932.1</v>
      </c>
      <c r="I39" s="15">
        <f t="shared" si="17"/>
        <v>82.21026636091023</v>
      </c>
      <c r="J39" s="3">
        <v>589.5</v>
      </c>
      <c r="K39" s="3">
        <v>690.1</v>
      </c>
      <c r="L39" s="15">
        <f t="shared" si="18"/>
        <v>117.06530958439356</v>
      </c>
      <c r="M39" s="3">
        <f t="shared" si="9"/>
        <v>3098</v>
      </c>
      <c r="N39" s="3">
        <f t="shared" si="10"/>
        <v>2293.6</v>
      </c>
      <c r="O39" s="15">
        <f t="shared" si="2"/>
        <v>74.0348612007747</v>
      </c>
      <c r="P39" s="3">
        <v>0</v>
      </c>
      <c r="Q39" s="3">
        <v>356.4</v>
      </c>
      <c r="R39" s="30" t="e">
        <f t="shared" si="19"/>
        <v>#DIV/0!</v>
      </c>
      <c r="S39" s="3">
        <v>0</v>
      </c>
      <c r="T39" s="3">
        <v>167.8</v>
      </c>
      <c r="U39" s="30" t="e">
        <f>T39/S39*100</f>
        <v>#DIV/0!</v>
      </c>
      <c r="V39" s="3">
        <v>0</v>
      </c>
      <c r="W39" s="3">
        <v>438.2</v>
      </c>
      <c r="X39" s="30" t="e">
        <f>W39/V39*100</f>
        <v>#DIV/0!</v>
      </c>
      <c r="Y39" s="3">
        <f t="shared" si="20"/>
        <v>0</v>
      </c>
      <c r="Z39" s="3">
        <f t="shared" si="20"/>
        <v>962.4000000000001</v>
      </c>
      <c r="AA39" s="30" t="e">
        <f t="shared" si="4"/>
        <v>#DIV/0!</v>
      </c>
      <c r="AB39" s="3">
        <v>0</v>
      </c>
      <c r="AC39" s="3">
        <v>146.7</v>
      </c>
      <c r="AD39" s="30" t="e">
        <f>AC39/AB39*100</f>
        <v>#DIV/0!</v>
      </c>
      <c r="AE39" s="3">
        <v>0</v>
      </c>
      <c r="AF39" s="3">
        <v>382</v>
      </c>
      <c r="AG39" s="15" t="e">
        <f t="shared" si="24"/>
        <v>#DIV/0!</v>
      </c>
      <c r="AH39" s="3">
        <v>0</v>
      </c>
      <c r="AI39" s="3">
        <v>253.6</v>
      </c>
      <c r="AJ39" s="3">
        <f t="shared" si="12"/>
        <v>0</v>
      </c>
      <c r="AK39" s="3">
        <f t="shared" si="13"/>
        <v>782.3000000000001</v>
      </c>
      <c r="AL39" s="30" t="e">
        <f t="shared" si="5"/>
        <v>#DIV/0!</v>
      </c>
      <c r="AM39" s="3">
        <v>214.2</v>
      </c>
      <c r="AN39" s="3">
        <v>200.5</v>
      </c>
      <c r="AO39" s="3">
        <v>1192.8</v>
      </c>
      <c r="AP39" s="3">
        <v>300</v>
      </c>
      <c r="AQ39" s="3">
        <v>1026.3</v>
      </c>
      <c r="AR39" s="3">
        <v>917.9</v>
      </c>
      <c r="AS39" s="3">
        <f t="shared" si="14"/>
        <v>5531.3</v>
      </c>
      <c r="AT39" s="3">
        <f t="shared" si="15"/>
        <v>5456.7</v>
      </c>
      <c r="AU39" s="15">
        <f t="shared" si="21"/>
        <v>98.65131162656157</v>
      </c>
      <c r="AV39" s="15">
        <f t="shared" si="22"/>
        <v>74.60000000000036</v>
      </c>
      <c r="AW39" s="4">
        <f t="shared" si="23"/>
        <v>1018.8000000000002</v>
      </c>
    </row>
    <row r="40" spans="1:49" ht="23.25" customHeight="1">
      <c r="A40" s="6">
        <v>31</v>
      </c>
      <c r="B40" s="16" t="s">
        <v>73</v>
      </c>
      <c r="C40" s="2">
        <v>1.6</v>
      </c>
      <c r="D40" s="3">
        <v>1.1</v>
      </c>
      <c r="E40" s="3">
        <v>0</v>
      </c>
      <c r="F40" s="15">
        <f t="shared" si="16"/>
        <v>0</v>
      </c>
      <c r="G40" s="3">
        <v>0.9</v>
      </c>
      <c r="H40" s="3">
        <v>0</v>
      </c>
      <c r="I40" s="15">
        <f t="shared" si="17"/>
        <v>0</v>
      </c>
      <c r="J40" s="3">
        <v>0.3</v>
      </c>
      <c r="K40" s="3">
        <v>0</v>
      </c>
      <c r="L40" s="15">
        <f t="shared" si="18"/>
        <v>0</v>
      </c>
      <c r="M40" s="3">
        <f t="shared" si="9"/>
        <v>2.3</v>
      </c>
      <c r="N40" s="3">
        <f t="shared" si="10"/>
        <v>0</v>
      </c>
      <c r="O40" s="15">
        <f t="shared" si="2"/>
        <v>0</v>
      </c>
      <c r="P40" s="3">
        <v>0</v>
      </c>
      <c r="Q40" s="3">
        <v>0</v>
      </c>
      <c r="R40" s="30" t="e">
        <f t="shared" si="19"/>
        <v>#DIV/0!</v>
      </c>
      <c r="S40" s="3">
        <v>0</v>
      </c>
      <c r="T40" s="3">
        <v>1.9</v>
      </c>
      <c r="U40" s="30" t="e">
        <f>T40/S40*100</f>
        <v>#DIV/0!</v>
      </c>
      <c r="V40" s="3">
        <v>0</v>
      </c>
      <c r="W40" s="3">
        <v>0</v>
      </c>
      <c r="X40" s="30" t="e">
        <f>W40/V40*100</f>
        <v>#DIV/0!</v>
      </c>
      <c r="Y40" s="3">
        <f t="shared" si="20"/>
        <v>0</v>
      </c>
      <c r="Z40" s="3">
        <f t="shared" si="20"/>
        <v>1.9</v>
      </c>
      <c r="AA40" s="30" t="e">
        <f t="shared" si="4"/>
        <v>#DIV/0!</v>
      </c>
      <c r="AB40" s="3">
        <v>0</v>
      </c>
      <c r="AC40" s="3">
        <v>0</v>
      </c>
      <c r="AD40" s="30" t="e">
        <f>AC40/AB40*100</f>
        <v>#DIV/0!</v>
      </c>
      <c r="AE40" s="3">
        <v>0</v>
      </c>
      <c r="AF40" s="3">
        <v>0</v>
      </c>
      <c r="AG40" s="30" t="e">
        <f t="shared" si="24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30" t="e">
        <f t="shared" si="5"/>
        <v>#DIV/0!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f t="shared" si="14"/>
        <v>2.3</v>
      </c>
      <c r="AT40" s="3">
        <f t="shared" si="15"/>
        <v>1.9</v>
      </c>
      <c r="AU40" s="15">
        <f t="shared" si="21"/>
        <v>82.6086956521739</v>
      </c>
      <c r="AV40" s="15">
        <f t="shared" si="22"/>
        <v>0.3999999999999999</v>
      </c>
      <c r="AW40" s="4">
        <f t="shared" si="23"/>
        <v>2</v>
      </c>
    </row>
    <row r="41" spans="1:49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5">
        <f t="shared" si="16"/>
        <v>83.36829487563679</v>
      </c>
      <c r="G41" s="3">
        <v>282.8</v>
      </c>
      <c r="H41" s="3">
        <v>315.5</v>
      </c>
      <c r="I41" s="15">
        <f t="shared" si="17"/>
        <v>111.56294200848656</v>
      </c>
      <c r="J41" s="3">
        <v>131.4</v>
      </c>
      <c r="K41" s="3">
        <v>284.7</v>
      </c>
      <c r="L41" s="15">
        <f t="shared" si="18"/>
        <v>216.66666666666666</v>
      </c>
      <c r="M41" s="3">
        <f t="shared" si="9"/>
        <v>747.9</v>
      </c>
      <c r="N41" s="3">
        <f t="shared" si="10"/>
        <v>878.4000000000001</v>
      </c>
      <c r="O41" s="15">
        <f t="shared" si="2"/>
        <v>117.44885679903732</v>
      </c>
      <c r="P41" s="3">
        <v>0</v>
      </c>
      <c r="Q41" s="3">
        <v>115.5</v>
      </c>
      <c r="R41" s="30" t="e">
        <f t="shared" si="19"/>
        <v>#DIV/0!</v>
      </c>
      <c r="S41" s="3">
        <v>0</v>
      </c>
      <c r="T41" s="3">
        <v>31</v>
      </c>
      <c r="U41" s="30" t="e">
        <f>T41/S41*100</f>
        <v>#DIV/0!</v>
      </c>
      <c r="V41" s="3">
        <v>0</v>
      </c>
      <c r="W41" s="3">
        <v>6.7</v>
      </c>
      <c r="X41" s="30" t="e">
        <f>W41/V41*100</f>
        <v>#DIV/0!</v>
      </c>
      <c r="Y41" s="3">
        <f t="shared" si="20"/>
        <v>0</v>
      </c>
      <c r="Z41" s="3">
        <f t="shared" si="20"/>
        <v>153.2</v>
      </c>
      <c r="AA41" s="30" t="e">
        <f t="shared" si="4"/>
        <v>#DIV/0!</v>
      </c>
      <c r="AB41" s="3">
        <v>0</v>
      </c>
      <c r="AC41" s="3">
        <v>6.9</v>
      </c>
      <c r="AD41" s="30" t="e">
        <f>AC41/AB41*100</f>
        <v>#DIV/0!</v>
      </c>
      <c r="AE41" s="3">
        <v>0</v>
      </c>
      <c r="AF41" s="3">
        <v>2.4</v>
      </c>
      <c r="AG41" s="30" t="e">
        <f t="shared" si="24"/>
        <v>#DIV/0!</v>
      </c>
      <c r="AH41" s="3">
        <v>0</v>
      </c>
      <c r="AI41" s="3">
        <v>4.7</v>
      </c>
      <c r="AJ41" s="3">
        <f t="shared" si="12"/>
        <v>0</v>
      </c>
      <c r="AK41" s="3">
        <f t="shared" si="13"/>
        <v>14</v>
      </c>
      <c r="AL41" s="30" t="e">
        <f t="shared" si="5"/>
        <v>#DIV/0!</v>
      </c>
      <c r="AM41" s="3">
        <v>35.5</v>
      </c>
      <c r="AN41" s="3">
        <v>0.8</v>
      </c>
      <c r="AO41" s="3">
        <v>229.9</v>
      </c>
      <c r="AP41" s="3">
        <v>32.5</v>
      </c>
      <c r="AQ41" s="3">
        <v>272.5</v>
      </c>
      <c r="AR41" s="3">
        <v>221</v>
      </c>
      <c r="AS41" s="3">
        <f t="shared" si="14"/>
        <v>1285.8</v>
      </c>
      <c r="AT41" s="3">
        <f t="shared" si="15"/>
        <v>1299.9</v>
      </c>
      <c r="AU41" s="15">
        <f t="shared" si="21"/>
        <v>101.09659356042933</v>
      </c>
      <c r="AV41" s="15">
        <f t="shared" si="22"/>
        <v>-14.100000000000136</v>
      </c>
      <c r="AW41" s="4">
        <f t="shared" si="23"/>
        <v>549.6999999999998</v>
      </c>
    </row>
    <row r="42" spans="1:49" ht="23.25" customHeight="1">
      <c r="A42" s="6">
        <v>33</v>
      </c>
      <c r="B42" s="16" t="s">
        <v>75</v>
      </c>
      <c r="C42" s="2">
        <v>426.6</v>
      </c>
      <c r="D42" s="3">
        <v>653.6</v>
      </c>
      <c r="E42" s="3">
        <v>504</v>
      </c>
      <c r="F42" s="15">
        <f t="shared" si="16"/>
        <v>77.11138310893513</v>
      </c>
      <c r="G42" s="3">
        <v>555.7</v>
      </c>
      <c r="H42" s="3">
        <v>442.8</v>
      </c>
      <c r="I42" s="15">
        <f t="shared" si="17"/>
        <v>79.68328234658988</v>
      </c>
      <c r="J42" s="3">
        <v>266.1</v>
      </c>
      <c r="K42" s="3">
        <v>367.8</v>
      </c>
      <c r="L42" s="15">
        <f t="shared" si="18"/>
        <v>138.21871476888387</v>
      </c>
      <c r="M42" s="3">
        <f t="shared" si="9"/>
        <v>1475.4</v>
      </c>
      <c r="N42" s="3">
        <f t="shared" si="10"/>
        <v>1314.6</v>
      </c>
      <c r="O42" s="15">
        <f t="shared" si="2"/>
        <v>89.10126067507116</v>
      </c>
      <c r="P42" s="3">
        <v>8.4</v>
      </c>
      <c r="Q42" s="3">
        <v>188.5</v>
      </c>
      <c r="R42" s="15">
        <f t="shared" si="19"/>
        <v>2244.047619047619</v>
      </c>
      <c r="S42" s="3">
        <v>0</v>
      </c>
      <c r="T42" s="3">
        <v>40.7</v>
      </c>
      <c r="U42" s="15"/>
      <c r="V42" s="3">
        <v>0</v>
      </c>
      <c r="W42" s="3">
        <v>38.7</v>
      </c>
      <c r="X42" s="15"/>
      <c r="Y42" s="3">
        <f t="shared" si="20"/>
        <v>8.4</v>
      </c>
      <c r="Z42" s="3">
        <f t="shared" si="20"/>
        <v>267.9</v>
      </c>
      <c r="AA42" s="15">
        <f t="shared" si="4"/>
        <v>3189.2857142857138</v>
      </c>
      <c r="AB42" s="3">
        <v>0</v>
      </c>
      <c r="AC42" s="3">
        <v>11.1</v>
      </c>
      <c r="AD42" s="15"/>
      <c r="AE42" s="3">
        <v>0</v>
      </c>
      <c r="AF42" s="3">
        <v>24.2</v>
      </c>
      <c r="AG42" s="30" t="e">
        <f t="shared" si="24"/>
        <v>#DIV/0!</v>
      </c>
      <c r="AH42" s="3">
        <v>0</v>
      </c>
      <c r="AI42" s="3">
        <v>25.4</v>
      </c>
      <c r="AJ42" s="3">
        <f t="shared" si="12"/>
        <v>0</v>
      </c>
      <c r="AK42" s="3">
        <f t="shared" si="13"/>
        <v>60.699999999999996</v>
      </c>
      <c r="AL42" s="15" t="e">
        <f t="shared" si="5"/>
        <v>#DIV/0!</v>
      </c>
      <c r="AM42" s="3">
        <v>71.4</v>
      </c>
      <c r="AN42" s="3">
        <v>146.3</v>
      </c>
      <c r="AO42" s="3">
        <v>456.4</v>
      </c>
      <c r="AP42" s="3">
        <v>103</v>
      </c>
      <c r="AQ42" s="3">
        <v>518.8</v>
      </c>
      <c r="AR42" s="3">
        <v>390.5</v>
      </c>
      <c r="AS42" s="3">
        <f t="shared" si="14"/>
        <v>2530.4000000000005</v>
      </c>
      <c r="AT42" s="3">
        <f t="shared" si="15"/>
        <v>2283</v>
      </c>
      <c r="AU42" s="15">
        <f t="shared" si="21"/>
        <v>90.22288966171355</v>
      </c>
      <c r="AV42" s="15">
        <f t="shared" si="22"/>
        <v>247.40000000000055</v>
      </c>
      <c r="AW42" s="4">
        <f t="shared" si="23"/>
        <v>674.0000000000005</v>
      </c>
    </row>
    <row r="43" spans="1:49" s="8" customFormat="1" ht="23.25" customHeight="1">
      <c r="A43" s="40">
        <v>34</v>
      </c>
      <c r="B43" s="17" t="s">
        <v>76</v>
      </c>
      <c r="C43" s="50">
        <f>C44+C45</f>
        <v>128443</v>
      </c>
      <c r="D43" s="50">
        <f>D44+D45</f>
        <v>77395.7</v>
      </c>
      <c r="E43" s="50">
        <f>E44+E45</f>
        <v>48505.8</v>
      </c>
      <c r="F43" s="15">
        <f t="shared" si="16"/>
        <v>62.67247405217603</v>
      </c>
      <c r="G43" s="50">
        <f>G44+G45</f>
        <v>79023.8</v>
      </c>
      <c r="H43" s="50">
        <f>H44+H45</f>
        <v>50645</v>
      </c>
      <c r="I43" s="15">
        <f>H43/G43*100</f>
        <v>64.08828732609669</v>
      </c>
      <c r="J43" s="50">
        <f>J44+J45</f>
        <v>53780.4</v>
      </c>
      <c r="K43" s="50">
        <f>K44+K45</f>
        <v>48066.9</v>
      </c>
      <c r="L43" s="15">
        <f>K43/J43*100</f>
        <v>89.37624115848897</v>
      </c>
      <c r="M43" s="3">
        <f>M44+M45</f>
        <v>210199.9</v>
      </c>
      <c r="N43" s="3">
        <f>N44+N45</f>
        <v>147217.7</v>
      </c>
      <c r="O43" s="15">
        <f t="shared" si="2"/>
        <v>70.03699811465182</v>
      </c>
      <c r="P43" s="50">
        <f>P44+P45</f>
        <v>20393.3</v>
      </c>
      <c r="Q43" s="50">
        <f>Q44+Q45</f>
        <v>33943.6</v>
      </c>
      <c r="R43" s="15">
        <f>Q43/P43*100</f>
        <v>166.4448617928437</v>
      </c>
      <c r="S43" s="50">
        <f>S44+S45</f>
        <v>12544.4</v>
      </c>
      <c r="T43" s="50">
        <f>T44+T45</f>
        <v>40780.6</v>
      </c>
      <c r="U43" s="15">
        <f>T43/S43*100</f>
        <v>325.09008003571313</v>
      </c>
      <c r="V43" s="50">
        <f>V44+V45</f>
        <v>9389.2</v>
      </c>
      <c r="W43" s="50">
        <f>W44+W45</f>
        <v>16456.2</v>
      </c>
      <c r="X43" s="15">
        <f>W43/V43*100</f>
        <v>175.26732841988667</v>
      </c>
      <c r="Y43" s="3">
        <f>Y44+Y45</f>
        <v>42326.9</v>
      </c>
      <c r="Z43" s="3">
        <f>Z44+Z45</f>
        <v>91180.4</v>
      </c>
      <c r="AA43" s="15">
        <f t="shared" si="4"/>
        <v>215.4195086339892</v>
      </c>
      <c r="AB43" s="50">
        <f>AB44+AB45</f>
        <v>10413.4</v>
      </c>
      <c r="AC43" s="50">
        <f>AC44+AC45</f>
        <v>13104</v>
      </c>
      <c r="AD43" s="15">
        <f>AC43/AB43*100</f>
        <v>125.8378627537596</v>
      </c>
      <c r="AE43" s="50">
        <f>AE44+AE45</f>
        <v>8537.8</v>
      </c>
      <c r="AF43" s="50">
        <f>AF44+AF45</f>
        <v>14509</v>
      </c>
      <c r="AG43" s="15">
        <f>AF43/AE43*100</f>
        <v>169.93839162313478</v>
      </c>
      <c r="AH43" s="50">
        <f>AH44+AH45</f>
        <v>8837.8</v>
      </c>
      <c r="AI43" s="50">
        <f>AI44+AI45</f>
        <v>14096.7</v>
      </c>
      <c r="AJ43" s="117">
        <f>AJ44+AJ45</f>
        <v>27789</v>
      </c>
      <c r="AK43" s="117">
        <f>AK44+AK45</f>
        <v>41709.7</v>
      </c>
      <c r="AL43" s="117">
        <f t="shared" si="5"/>
        <v>150.0942819101083</v>
      </c>
      <c r="AM43" s="50">
        <f aca="true" t="shared" si="25" ref="AM43:AT43">AM44+AM45</f>
        <v>17453.4</v>
      </c>
      <c r="AN43" s="50">
        <f t="shared" si="25"/>
        <v>26911</v>
      </c>
      <c r="AO43" s="50">
        <f t="shared" si="25"/>
        <v>55146.1</v>
      </c>
      <c r="AP43" s="50">
        <f t="shared" si="25"/>
        <v>37945.9</v>
      </c>
      <c r="AQ43" s="50">
        <f>AQ44+AQ45</f>
        <v>64984</v>
      </c>
      <c r="AR43" s="50">
        <f>AR44+AR45</f>
        <v>64429.1</v>
      </c>
      <c r="AS43" s="50">
        <f t="shared" si="25"/>
        <v>417899.3</v>
      </c>
      <c r="AT43" s="50">
        <f t="shared" si="25"/>
        <v>409393.8</v>
      </c>
      <c r="AU43" s="15">
        <f t="shared" si="21"/>
        <v>97.96470106554378</v>
      </c>
      <c r="AV43" s="51">
        <f>AV44+AV45</f>
        <v>8505.5</v>
      </c>
      <c r="AW43" s="51">
        <f>AW44+AW45</f>
        <v>136948.5</v>
      </c>
    </row>
    <row r="44" spans="1:49" s="8" customFormat="1" ht="23.25" customHeight="1">
      <c r="A44" s="40"/>
      <c r="B44" s="1" t="s">
        <v>77</v>
      </c>
      <c r="C44" s="2">
        <v>126883</v>
      </c>
      <c r="D44" s="3">
        <v>76659</v>
      </c>
      <c r="E44" s="3">
        <v>47721</v>
      </c>
      <c r="F44" s="15">
        <f t="shared" si="16"/>
        <v>62.2510077094666</v>
      </c>
      <c r="G44" s="3">
        <v>77434</v>
      </c>
      <c r="H44" s="3">
        <v>49720</v>
      </c>
      <c r="I44" s="15">
        <f t="shared" si="17"/>
        <v>64.20952036573082</v>
      </c>
      <c r="J44" s="3">
        <v>52708</v>
      </c>
      <c r="K44" s="3">
        <v>46306</v>
      </c>
      <c r="L44" s="15">
        <f>K44/J44*100</f>
        <v>87.85383622979434</v>
      </c>
      <c r="M44" s="3">
        <f t="shared" si="9"/>
        <v>206801</v>
      </c>
      <c r="N44" s="3">
        <f t="shared" si="10"/>
        <v>143747</v>
      </c>
      <c r="O44" s="15">
        <f t="shared" si="2"/>
        <v>69.50981861789836</v>
      </c>
      <c r="P44" s="3">
        <v>19813</v>
      </c>
      <c r="Q44" s="3">
        <v>33547</v>
      </c>
      <c r="R44" s="15">
        <f>Q44/P44*100</f>
        <v>169.31812446373593</v>
      </c>
      <c r="S44" s="3">
        <v>12225</v>
      </c>
      <c r="T44" s="3">
        <v>39561</v>
      </c>
      <c r="U44" s="15">
        <f>T44/S44*100</f>
        <v>323.6073619631902</v>
      </c>
      <c r="V44" s="3">
        <v>9038</v>
      </c>
      <c r="W44" s="3">
        <v>16081</v>
      </c>
      <c r="X44" s="15">
        <f>W44/V44*100</f>
        <v>177.92653241867671</v>
      </c>
      <c r="Y44" s="3">
        <f>P44+S44+V44</f>
        <v>41076</v>
      </c>
      <c r="Z44" s="3">
        <f>Q44+T44+W44</f>
        <v>89189</v>
      </c>
      <c r="AA44" s="15">
        <f t="shared" si="4"/>
        <v>217.1316583893271</v>
      </c>
      <c r="AB44" s="3">
        <v>10119</v>
      </c>
      <c r="AC44" s="3">
        <v>12952</v>
      </c>
      <c r="AD44" s="15">
        <f>AC44/AB44*100</f>
        <v>127.99683763217709</v>
      </c>
      <c r="AE44" s="46">
        <v>8242</v>
      </c>
      <c r="AF44" s="46">
        <v>14049</v>
      </c>
      <c r="AG44" s="15">
        <f>AF44/AE44*100</f>
        <v>170.45619995146808</v>
      </c>
      <c r="AH44" s="46">
        <v>8520</v>
      </c>
      <c r="AI44" s="46">
        <v>13778</v>
      </c>
      <c r="AJ44" s="3">
        <f>AB44+AE44+AH44</f>
        <v>26881</v>
      </c>
      <c r="AK44" s="3">
        <f>AC44+AF44+AI44</f>
        <v>40779</v>
      </c>
      <c r="AL44" s="15">
        <f t="shared" si="5"/>
        <v>151.7019456121424</v>
      </c>
      <c r="AM44" s="46">
        <v>16871</v>
      </c>
      <c r="AN44" s="46">
        <v>26109</v>
      </c>
      <c r="AO44" s="46">
        <v>53952</v>
      </c>
      <c r="AP44" s="46">
        <v>37126</v>
      </c>
      <c r="AQ44" s="46">
        <v>63605</v>
      </c>
      <c r="AR44" s="46">
        <v>63159</v>
      </c>
      <c r="AS44" s="3">
        <f>M44+Y44+AJ44+AM44+AO44+AQ44</f>
        <v>409186</v>
      </c>
      <c r="AT44" s="3">
        <f>N44+Z44+AK44+AN44+AP44+AR44</f>
        <v>400109</v>
      </c>
      <c r="AU44" s="15">
        <f t="shared" si="21"/>
        <v>97.78169341082051</v>
      </c>
      <c r="AV44" s="15">
        <f>AS44-AT44</f>
        <v>9077</v>
      </c>
      <c r="AW44" s="4">
        <f>C44+AS44-AT44</f>
        <v>135960</v>
      </c>
    </row>
    <row r="45" spans="1:49" s="8" customFormat="1" ht="24.75" customHeight="1">
      <c r="A45" s="40"/>
      <c r="B45" s="1" t="s">
        <v>69</v>
      </c>
      <c r="C45" s="2">
        <v>1560</v>
      </c>
      <c r="D45" s="3">
        <v>736.7</v>
      </c>
      <c r="E45" s="3">
        <v>784.8</v>
      </c>
      <c r="F45" s="15">
        <f>E45/D45*100</f>
        <v>106.52911632957785</v>
      </c>
      <c r="G45" s="46">
        <v>1589.8</v>
      </c>
      <c r="H45" s="46">
        <v>925</v>
      </c>
      <c r="I45" s="15">
        <f t="shared" si="17"/>
        <v>58.18341929802491</v>
      </c>
      <c r="J45" s="46">
        <v>1072.4</v>
      </c>
      <c r="K45" s="46">
        <v>1760.9</v>
      </c>
      <c r="L45" s="15">
        <f>K45/J45*100</f>
        <v>164.20179037672509</v>
      </c>
      <c r="M45" s="3">
        <f t="shared" si="9"/>
        <v>3398.9</v>
      </c>
      <c r="N45" s="3">
        <f t="shared" si="10"/>
        <v>3470.7</v>
      </c>
      <c r="O45" s="15">
        <f t="shared" si="2"/>
        <v>102.11244814498808</v>
      </c>
      <c r="P45" s="46">
        <v>580.3</v>
      </c>
      <c r="Q45" s="46">
        <v>396.6</v>
      </c>
      <c r="R45" s="15">
        <f>Q45/P45*100</f>
        <v>68.34396002067898</v>
      </c>
      <c r="S45" s="46">
        <v>319.4</v>
      </c>
      <c r="T45" s="46">
        <v>1219.6</v>
      </c>
      <c r="U45" s="15">
        <f>T45/S45*100</f>
        <v>381.84095178459614</v>
      </c>
      <c r="V45" s="46">
        <v>351.2</v>
      </c>
      <c r="W45" s="46">
        <v>375.2</v>
      </c>
      <c r="X45" s="15">
        <f>W45/V45*100</f>
        <v>106.83371298405466</v>
      </c>
      <c r="Y45" s="3">
        <f>P45+S45+V45</f>
        <v>1250.8999999999999</v>
      </c>
      <c r="Z45" s="3">
        <f>Q45+T45+W45</f>
        <v>1991.3999999999999</v>
      </c>
      <c r="AA45" s="15">
        <f t="shared" si="4"/>
        <v>159.1973778879207</v>
      </c>
      <c r="AB45" s="46">
        <v>294.4</v>
      </c>
      <c r="AC45" s="46">
        <v>152</v>
      </c>
      <c r="AD45" s="15">
        <f>AC45/AB45*100</f>
        <v>51.6304347826087</v>
      </c>
      <c r="AE45" s="46">
        <v>295.8</v>
      </c>
      <c r="AF45" s="46">
        <v>460</v>
      </c>
      <c r="AG45" s="38">
        <f>AF45/AE45*100</f>
        <v>155.5104800540906</v>
      </c>
      <c r="AH45" s="46">
        <v>317.8</v>
      </c>
      <c r="AI45" s="46">
        <v>318.7</v>
      </c>
      <c r="AJ45" s="3">
        <f>AB45+AE45+AH45</f>
        <v>908</v>
      </c>
      <c r="AK45" s="3">
        <f>AC45+AF45+AI45</f>
        <v>930.7</v>
      </c>
      <c r="AL45" s="15">
        <f t="shared" si="5"/>
        <v>102.50000000000001</v>
      </c>
      <c r="AM45" s="46">
        <v>582.4</v>
      </c>
      <c r="AN45" s="46">
        <v>802</v>
      </c>
      <c r="AO45" s="46">
        <v>1194.1</v>
      </c>
      <c r="AP45" s="46">
        <v>819.9</v>
      </c>
      <c r="AQ45" s="46">
        <v>1379</v>
      </c>
      <c r="AR45" s="46">
        <v>1270.1</v>
      </c>
      <c r="AS45" s="3">
        <f>M45+Y45+AJ45+AM45+AO45+AQ45</f>
        <v>8713.3</v>
      </c>
      <c r="AT45" s="3">
        <f>N45+Z45+AK45+AN45+AP45+AR45</f>
        <v>9284.8</v>
      </c>
      <c r="AU45" s="15">
        <f t="shared" si="21"/>
        <v>106.55893863404222</v>
      </c>
      <c r="AV45" s="15">
        <f>AS45-AT45</f>
        <v>-571.5</v>
      </c>
      <c r="AW45" s="4">
        <f>C45+AS45-AT45</f>
        <v>988.5</v>
      </c>
    </row>
    <row r="46" spans="1:51" s="8" customFormat="1" ht="23.25" customHeight="1">
      <c r="A46" s="40"/>
      <c r="B46" s="17" t="s">
        <v>78</v>
      </c>
      <c r="C46" s="50">
        <f>C7+C43</f>
        <v>135739.7</v>
      </c>
      <c r="D46" s="4">
        <f>D7+D43</f>
        <v>83522.4</v>
      </c>
      <c r="E46" s="4">
        <f>E7+E43</f>
        <v>52713.700000000004</v>
      </c>
      <c r="F46" s="15">
        <f t="shared" si="16"/>
        <v>63.11324866143694</v>
      </c>
      <c r="G46" s="4">
        <f>G7+G43</f>
        <v>84315.7</v>
      </c>
      <c r="H46" s="4">
        <f>H7+H43</f>
        <v>55643.9</v>
      </c>
      <c r="I46" s="15">
        <f>H46/G46*100</f>
        <v>65.99470798439674</v>
      </c>
      <c r="J46" s="4">
        <f>J7+J43</f>
        <v>56377.6</v>
      </c>
      <c r="K46" s="4">
        <f>K7+K43</f>
        <v>52086.5</v>
      </c>
      <c r="L46" s="15">
        <f>K46/J46*100</f>
        <v>92.38864371665343</v>
      </c>
      <c r="M46" s="4">
        <f>M7+M43</f>
        <v>224215.69999999998</v>
      </c>
      <c r="N46" s="4">
        <f>N7+N43</f>
        <v>160444.1</v>
      </c>
      <c r="O46" s="15">
        <f t="shared" si="2"/>
        <v>71.55792390987786</v>
      </c>
      <c r="P46" s="4">
        <f>P7+P43</f>
        <v>20502.5</v>
      </c>
      <c r="Q46" s="4">
        <f>Q7+Q43</f>
        <v>36168.799999999996</v>
      </c>
      <c r="R46" s="15">
        <f>Q46/P46*100</f>
        <v>176.41165711498596</v>
      </c>
      <c r="S46" s="4">
        <f>S7+S43</f>
        <v>12546</v>
      </c>
      <c r="T46" s="4">
        <f>T7+T43</f>
        <v>41464.6</v>
      </c>
      <c r="U46" s="15">
        <f>T46/S46*100</f>
        <v>330.5005579467559</v>
      </c>
      <c r="V46" s="4">
        <f>V7+V43</f>
        <v>9389.2</v>
      </c>
      <c r="W46" s="4">
        <f>W7+W43</f>
        <v>17101.100000000002</v>
      </c>
      <c r="X46" s="15">
        <f>W46/V46*100</f>
        <v>182.13585822008264</v>
      </c>
      <c r="Y46" s="4">
        <f>Y7+Y43</f>
        <v>42437.700000000004</v>
      </c>
      <c r="Z46" s="4">
        <f>Z7+Z43</f>
        <v>94734.5</v>
      </c>
      <c r="AA46" s="15">
        <f t="shared" si="4"/>
        <v>223.23193764035278</v>
      </c>
      <c r="AB46" s="4">
        <f>AB7+AB43</f>
        <v>10413.4</v>
      </c>
      <c r="AC46" s="4">
        <f>AC7+AC43</f>
        <v>13362.3</v>
      </c>
      <c r="AD46" s="15">
        <f>AC46/AB46*100</f>
        <v>128.31832062534812</v>
      </c>
      <c r="AE46" s="4">
        <f>AE7+AE43</f>
        <v>8537.8</v>
      </c>
      <c r="AF46" s="4">
        <f>AF7+AF43</f>
        <v>15106.6</v>
      </c>
      <c r="AG46" s="15">
        <f>AF46/AE46*100</f>
        <v>176.9378528426527</v>
      </c>
      <c r="AH46" s="4">
        <f>AH7+AH43</f>
        <v>8948.4</v>
      </c>
      <c r="AI46" s="4">
        <f>AI7+AI43</f>
        <v>14703.900000000001</v>
      </c>
      <c r="AJ46" s="4">
        <f>AJ7+AJ43</f>
        <v>27899.6</v>
      </c>
      <c r="AK46" s="4">
        <f>AK7+AK43</f>
        <v>43172.799999999996</v>
      </c>
      <c r="AL46" s="15">
        <f t="shared" si="5"/>
        <v>154.74343718189508</v>
      </c>
      <c r="AM46" s="4">
        <f aca="true" t="shared" si="26" ref="AM46:AT46">AM7+AM43</f>
        <v>18190.100000000002</v>
      </c>
      <c r="AN46" s="4">
        <f t="shared" si="26"/>
        <v>27650.2</v>
      </c>
      <c r="AO46" s="4">
        <f t="shared" si="26"/>
        <v>59658.2</v>
      </c>
      <c r="AP46" s="4">
        <f t="shared" si="26"/>
        <v>39035.1</v>
      </c>
      <c r="AQ46" s="4">
        <f>AQ7+AQ43</f>
        <v>69781.3</v>
      </c>
      <c r="AR46" s="4">
        <f>AR7+AR43</f>
        <v>68260</v>
      </c>
      <c r="AS46" s="4">
        <f t="shared" si="26"/>
        <v>442182.6</v>
      </c>
      <c r="AT46" s="4">
        <f t="shared" si="26"/>
        <v>433296.7</v>
      </c>
      <c r="AU46" s="15">
        <f t="shared" si="21"/>
        <v>97.99044557610364</v>
      </c>
      <c r="AV46" s="51">
        <f>AV7+AV43</f>
        <v>8885.900000000001</v>
      </c>
      <c r="AW46" s="51">
        <f>AW7+AW43</f>
        <v>144625.6</v>
      </c>
      <c r="AX46" s="22">
        <f>AS46-AT46</f>
        <v>8885.899999999965</v>
      </c>
      <c r="AY46" s="19">
        <f>C46+AS46-AT46</f>
        <v>144625.60000000003</v>
      </c>
    </row>
    <row r="47" spans="3:49" ht="38.25" customHeight="1">
      <c r="C47" s="68"/>
      <c r="D47" s="33"/>
      <c r="E47" s="33"/>
      <c r="F47" s="57"/>
      <c r="G47" s="29"/>
      <c r="H47" s="29"/>
      <c r="I47" s="67"/>
      <c r="J47" s="29"/>
      <c r="K47" s="29"/>
      <c r="L47" s="67"/>
      <c r="M47" s="67"/>
      <c r="N47" s="67"/>
      <c r="O47" s="67"/>
      <c r="P47" s="29"/>
      <c r="Q47" s="29"/>
      <c r="R47" s="67"/>
      <c r="S47" s="29"/>
      <c r="T47" s="29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18"/>
      <c r="AF47" s="18"/>
      <c r="AG47" s="18"/>
      <c r="AH47" s="18"/>
      <c r="AI47" s="18"/>
      <c r="AJ47" s="67"/>
      <c r="AK47" s="67"/>
      <c r="AL47" s="67"/>
      <c r="AM47" s="18"/>
      <c r="AN47" s="18"/>
      <c r="AO47" s="18"/>
      <c r="AP47" s="18"/>
      <c r="AQ47" s="18"/>
      <c r="AR47" s="18"/>
      <c r="AS47" s="29"/>
      <c r="AT47" s="29"/>
      <c r="AU47" s="67"/>
      <c r="AV47" s="29"/>
      <c r="AW47" s="29"/>
    </row>
    <row r="48" spans="3:49" ht="38.25" customHeight="1">
      <c r="C48" s="68"/>
      <c r="D48" s="33"/>
      <c r="E48" s="33"/>
      <c r="F48" s="57"/>
      <c r="G48" s="29"/>
      <c r="H48" s="29"/>
      <c r="I48" s="67"/>
      <c r="J48" s="29"/>
      <c r="K48" s="29"/>
      <c r="L48" s="67"/>
      <c r="M48" s="67"/>
      <c r="N48" s="67"/>
      <c r="O48" s="67"/>
      <c r="P48" s="29"/>
      <c r="Q48" s="29"/>
      <c r="R48" s="67"/>
      <c r="S48" s="29"/>
      <c r="T48" s="29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18"/>
      <c r="AF48" s="18"/>
      <c r="AG48" s="18"/>
      <c r="AH48" s="18"/>
      <c r="AI48" s="18"/>
      <c r="AJ48" s="67"/>
      <c r="AK48" s="67"/>
      <c r="AL48" s="67"/>
      <c r="AM48" s="18"/>
      <c r="AN48" s="18"/>
      <c r="AO48" s="18"/>
      <c r="AP48" s="18"/>
      <c r="AQ48" s="18"/>
      <c r="AR48" s="18"/>
      <c r="AS48" s="29"/>
      <c r="AT48" s="29"/>
      <c r="AU48" s="67"/>
      <c r="AV48" s="29"/>
      <c r="AW48" s="29"/>
    </row>
    <row r="49" spans="7:49" ht="38.25" customHeight="1">
      <c r="G49" s="29"/>
      <c r="H49" s="29"/>
      <c r="I49" s="67"/>
      <c r="J49" s="29"/>
      <c r="K49" s="29"/>
      <c r="L49" s="67"/>
      <c r="M49" s="67"/>
      <c r="N49" s="67"/>
      <c r="O49" s="67"/>
      <c r="P49" s="29"/>
      <c r="Q49" s="29"/>
      <c r="R49" s="67"/>
      <c r="S49" s="29"/>
      <c r="T49" s="29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18"/>
      <c r="AF49" s="18"/>
      <c r="AG49" s="18"/>
      <c r="AH49" s="18"/>
      <c r="AI49" s="18"/>
      <c r="AJ49" s="67"/>
      <c r="AK49" s="67"/>
      <c r="AL49" s="67"/>
      <c r="AM49" s="18"/>
      <c r="AN49" s="18"/>
      <c r="AO49" s="18"/>
      <c r="AP49" s="18"/>
      <c r="AQ49" s="18"/>
      <c r="AR49" s="18"/>
      <c r="AS49" s="29"/>
      <c r="AT49" s="29"/>
      <c r="AU49" s="67"/>
      <c r="AV49" s="29"/>
      <c r="AW49" s="29"/>
    </row>
    <row r="50" spans="7:49" ht="38.25" customHeight="1">
      <c r="G50" s="29"/>
      <c r="H50" s="29"/>
      <c r="I50" s="67"/>
      <c r="J50" s="29"/>
      <c r="K50" s="29"/>
      <c r="L50" s="67"/>
      <c r="M50" s="67"/>
      <c r="N50" s="67"/>
      <c r="O50" s="67"/>
      <c r="P50" s="29"/>
      <c r="Q50" s="29"/>
      <c r="R50" s="67"/>
      <c r="S50" s="29"/>
      <c r="T50" s="29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18"/>
      <c r="AF50" s="18"/>
      <c r="AG50" s="18"/>
      <c r="AH50" s="18"/>
      <c r="AI50" s="18"/>
      <c r="AJ50" s="67"/>
      <c r="AK50" s="67"/>
      <c r="AL50" s="67"/>
      <c r="AM50" s="18"/>
      <c r="AN50" s="18"/>
      <c r="AO50" s="18"/>
      <c r="AP50" s="18"/>
      <c r="AQ50" s="18"/>
      <c r="AR50" s="18"/>
      <c r="AS50" s="29"/>
      <c r="AT50" s="29"/>
      <c r="AU50" s="67"/>
      <c r="AV50" s="29"/>
      <c r="AW50" s="29"/>
    </row>
    <row r="51" spans="7:49" ht="38.25" customHeight="1">
      <c r="G51" s="29"/>
      <c r="H51" s="29"/>
      <c r="I51" s="67"/>
      <c r="J51" s="29"/>
      <c r="K51" s="29"/>
      <c r="L51" s="67"/>
      <c r="M51" s="67"/>
      <c r="N51" s="67"/>
      <c r="O51" s="67"/>
      <c r="P51" s="29"/>
      <c r="Q51" s="29"/>
      <c r="R51" s="67"/>
      <c r="S51" s="29"/>
      <c r="T51" s="29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57"/>
      <c r="AF51" s="57"/>
      <c r="AG51" s="57"/>
      <c r="AH51" s="57"/>
      <c r="AI51" s="57"/>
      <c r="AJ51" s="67"/>
      <c r="AK51" s="67"/>
      <c r="AL51" s="67"/>
      <c r="AM51" s="57"/>
      <c r="AN51" s="57"/>
      <c r="AO51" s="57"/>
      <c r="AP51" s="57"/>
      <c r="AQ51" s="57"/>
      <c r="AR51" s="57"/>
      <c r="AS51" s="29"/>
      <c r="AT51" s="29"/>
      <c r="AU51" s="67"/>
      <c r="AV51" s="29"/>
      <c r="AW51" s="29"/>
    </row>
    <row r="52" spans="7:49" ht="38.25" customHeight="1">
      <c r="G52" s="29"/>
      <c r="H52" s="29"/>
      <c r="I52" s="67"/>
      <c r="J52" s="29"/>
      <c r="K52" s="29"/>
      <c r="L52" s="67"/>
      <c r="M52" s="67"/>
      <c r="N52" s="67"/>
      <c r="O52" s="67"/>
      <c r="P52" s="29"/>
      <c r="Q52" s="29"/>
      <c r="R52" s="67"/>
      <c r="S52" s="29"/>
      <c r="T52" s="29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57"/>
      <c r="AF52" s="57"/>
      <c r="AG52" s="57"/>
      <c r="AH52" s="57"/>
      <c r="AI52" s="57"/>
      <c r="AJ52" s="67"/>
      <c r="AK52" s="67"/>
      <c r="AL52" s="67"/>
      <c r="AM52" s="57"/>
      <c r="AN52" s="57"/>
      <c r="AO52" s="57"/>
      <c r="AP52" s="57"/>
      <c r="AQ52" s="57"/>
      <c r="AR52" s="57"/>
      <c r="AS52" s="29"/>
      <c r="AT52" s="29"/>
      <c r="AU52" s="67"/>
      <c r="AV52" s="29"/>
      <c r="AW52" s="29"/>
    </row>
    <row r="53" spans="7:49" ht="38.25" customHeight="1">
      <c r="G53" s="29"/>
      <c r="H53" s="29"/>
      <c r="I53" s="67"/>
      <c r="J53" s="29"/>
      <c r="K53" s="29"/>
      <c r="L53" s="67"/>
      <c r="M53" s="67"/>
      <c r="N53" s="67"/>
      <c r="O53" s="67"/>
      <c r="P53" s="29"/>
      <c r="Q53" s="29"/>
      <c r="R53" s="67"/>
      <c r="S53" s="29"/>
      <c r="T53" s="29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3"/>
      <c r="AF53" s="63"/>
      <c r="AG53" s="63"/>
      <c r="AH53" s="63"/>
      <c r="AI53" s="63"/>
      <c r="AJ53" s="67"/>
      <c r="AK53" s="67"/>
      <c r="AL53" s="67"/>
      <c r="AM53" s="63"/>
      <c r="AN53" s="63"/>
      <c r="AO53" s="63"/>
      <c r="AP53" s="63"/>
      <c r="AQ53" s="63"/>
      <c r="AR53" s="63"/>
      <c r="AS53" s="29"/>
      <c r="AT53" s="29"/>
      <c r="AU53" s="67"/>
      <c r="AV53" s="29"/>
      <c r="AW53" s="29"/>
    </row>
    <row r="54" spans="7:49" ht="24.75" customHeight="1">
      <c r="G54" s="29"/>
      <c r="H54" s="29"/>
      <c r="I54" s="67"/>
      <c r="J54" s="29"/>
      <c r="K54" s="29"/>
      <c r="L54" s="67"/>
      <c r="M54" s="67"/>
      <c r="N54" s="67"/>
      <c r="O54" s="67"/>
      <c r="P54" s="29"/>
      <c r="Q54" s="29"/>
      <c r="R54" s="67"/>
      <c r="S54" s="29"/>
      <c r="T54" s="29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29"/>
      <c r="AT54" s="29"/>
      <c r="AU54" s="67"/>
      <c r="AV54" s="29"/>
      <c r="AW54" s="29"/>
    </row>
    <row r="55" spans="7:49" ht="24.75" customHeight="1">
      <c r="G55" s="29"/>
      <c r="H55" s="29"/>
      <c r="I55" s="67"/>
      <c r="J55" s="29"/>
      <c r="K55" s="29"/>
      <c r="L55" s="67"/>
      <c r="M55" s="67"/>
      <c r="N55" s="67"/>
      <c r="O55" s="67"/>
      <c r="P55" s="29"/>
      <c r="Q55" s="29"/>
      <c r="R55" s="67"/>
      <c r="S55" s="29"/>
      <c r="T55" s="29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15"/>
      <c r="AF55" s="15"/>
      <c r="AG55" s="15"/>
      <c r="AH55" s="18"/>
      <c r="AI55" s="18"/>
      <c r="AJ55" s="67"/>
      <c r="AK55" s="67"/>
      <c r="AL55" s="67"/>
      <c r="AM55" s="18"/>
      <c r="AN55" s="18"/>
      <c r="AO55" s="18"/>
      <c r="AP55" s="18"/>
      <c r="AQ55" s="18"/>
      <c r="AR55" s="18"/>
      <c r="AS55" s="29"/>
      <c r="AT55" s="29"/>
      <c r="AU55" s="67"/>
      <c r="AV55" s="29"/>
      <c r="AW55" s="29"/>
    </row>
    <row r="56" spans="7:49" ht="24.75" customHeight="1">
      <c r="G56" s="29"/>
      <c r="H56" s="29"/>
      <c r="I56" s="67"/>
      <c r="J56" s="29"/>
      <c r="K56" s="29"/>
      <c r="L56" s="67"/>
      <c r="M56" s="67"/>
      <c r="N56" s="67"/>
      <c r="O56" s="67"/>
      <c r="P56" s="29"/>
      <c r="Q56" s="29"/>
      <c r="R56" s="67"/>
      <c r="S56" s="29"/>
      <c r="T56" s="29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29"/>
      <c r="AT56" s="29"/>
      <c r="AU56" s="67"/>
      <c r="AV56" s="29"/>
      <c r="AW56" s="29"/>
    </row>
    <row r="57" spans="7:49" ht="24.75" customHeight="1">
      <c r="G57" s="29"/>
      <c r="H57" s="29"/>
      <c r="I57" s="67"/>
      <c r="J57" s="29"/>
      <c r="K57" s="29"/>
      <c r="L57" s="67"/>
      <c r="M57" s="67"/>
      <c r="N57" s="67"/>
      <c r="O57" s="67"/>
      <c r="P57" s="29"/>
      <c r="Q57" s="29"/>
      <c r="R57" s="67"/>
      <c r="S57" s="29"/>
      <c r="T57" s="29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29"/>
      <c r="AT57" s="29"/>
      <c r="AU57" s="67"/>
      <c r="AV57" s="29"/>
      <c r="AW57" s="29"/>
    </row>
    <row r="58" spans="7:49" ht="24.75" customHeight="1">
      <c r="G58" s="29"/>
      <c r="H58" s="29"/>
      <c r="I58" s="67"/>
      <c r="J58" s="29"/>
      <c r="K58" s="29"/>
      <c r="L58" s="67"/>
      <c r="M58" s="67"/>
      <c r="N58" s="67"/>
      <c r="O58" s="67"/>
      <c r="P58" s="29"/>
      <c r="Q58" s="29"/>
      <c r="R58" s="67"/>
      <c r="S58" s="29"/>
      <c r="T58" s="29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29"/>
      <c r="AT58" s="29"/>
      <c r="AU58" s="67"/>
      <c r="AV58" s="29"/>
      <c r="AW58" s="29"/>
    </row>
    <row r="59" spans="7:49" ht="24.75" customHeight="1">
      <c r="G59" s="29"/>
      <c r="H59" s="29"/>
      <c r="I59" s="67"/>
      <c r="J59" s="29"/>
      <c r="K59" s="29"/>
      <c r="L59" s="67"/>
      <c r="M59" s="67"/>
      <c r="N59" s="67"/>
      <c r="O59" s="67"/>
      <c r="P59" s="29"/>
      <c r="Q59" s="29"/>
      <c r="R59" s="67"/>
      <c r="S59" s="29"/>
      <c r="T59" s="29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29"/>
      <c r="AT59" s="29"/>
      <c r="AU59" s="67"/>
      <c r="AV59" s="29"/>
      <c r="AW59" s="29"/>
    </row>
    <row r="60" spans="7:49" ht="24.75" customHeight="1">
      <c r="G60" s="29"/>
      <c r="H60" s="29"/>
      <c r="I60" s="67"/>
      <c r="J60" s="29"/>
      <c r="K60" s="29"/>
      <c r="L60" s="67"/>
      <c r="M60" s="67"/>
      <c r="N60" s="67"/>
      <c r="O60" s="67"/>
      <c r="P60" s="29"/>
      <c r="Q60" s="29"/>
      <c r="R60" s="67"/>
      <c r="S60" s="29"/>
      <c r="T60" s="29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29"/>
      <c r="AT60" s="29"/>
      <c r="AU60" s="67"/>
      <c r="AV60" s="29"/>
      <c r="AW60" s="29"/>
    </row>
    <row r="61" spans="7:49" ht="24.75" customHeight="1">
      <c r="G61" s="29"/>
      <c r="H61" s="29"/>
      <c r="I61" s="67"/>
      <c r="J61" s="29"/>
      <c r="K61" s="29"/>
      <c r="L61" s="67"/>
      <c r="M61" s="67"/>
      <c r="N61" s="67"/>
      <c r="O61" s="67"/>
      <c r="P61" s="29"/>
      <c r="Q61" s="29"/>
      <c r="R61" s="67"/>
      <c r="S61" s="29"/>
      <c r="T61" s="29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29"/>
      <c r="AT61" s="29"/>
      <c r="AU61" s="67"/>
      <c r="AV61" s="29"/>
      <c r="AW61" s="29"/>
    </row>
    <row r="62" spans="7:49" ht="24.75" customHeight="1">
      <c r="G62" s="29"/>
      <c r="H62" s="29"/>
      <c r="I62" s="67"/>
      <c r="J62" s="29"/>
      <c r="K62" s="29"/>
      <c r="L62" s="67"/>
      <c r="M62" s="67"/>
      <c r="N62" s="67"/>
      <c r="O62" s="67"/>
      <c r="P62" s="29"/>
      <c r="Q62" s="29"/>
      <c r="R62" s="67"/>
      <c r="S62" s="29"/>
      <c r="T62" s="29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29"/>
      <c r="AT62" s="29"/>
      <c r="AU62" s="67"/>
      <c r="AV62" s="29"/>
      <c r="AW62" s="29"/>
    </row>
    <row r="63" spans="7:49" ht="24.75" customHeight="1">
      <c r="G63" s="29"/>
      <c r="H63" s="29"/>
      <c r="I63" s="67"/>
      <c r="J63" s="29"/>
      <c r="K63" s="29"/>
      <c r="L63" s="67"/>
      <c r="M63" s="67"/>
      <c r="N63" s="67"/>
      <c r="O63" s="67"/>
      <c r="P63" s="29"/>
      <c r="Q63" s="29"/>
      <c r="R63" s="67"/>
      <c r="S63" s="29"/>
      <c r="T63" s="29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29"/>
      <c r="AT63" s="29"/>
      <c r="AU63" s="67"/>
      <c r="AV63" s="29"/>
      <c r="AW63" s="29"/>
    </row>
    <row r="64" spans="7:49" ht="24.75" customHeight="1">
      <c r="G64" s="29"/>
      <c r="H64" s="29"/>
      <c r="I64" s="67"/>
      <c r="J64" s="29"/>
      <c r="K64" s="29"/>
      <c r="L64" s="67"/>
      <c r="M64" s="67"/>
      <c r="N64" s="67"/>
      <c r="O64" s="67"/>
      <c r="P64" s="29"/>
      <c r="Q64" s="29"/>
      <c r="R64" s="67"/>
      <c r="S64" s="29"/>
      <c r="T64" s="29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29"/>
      <c r="AT64" s="29"/>
      <c r="AU64" s="67"/>
      <c r="AV64" s="29"/>
      <c r="AW64" s="29"/>
    </row>
    <row r="65" spans="7:49" ht="24.75" customHeight="1">
      <c r="G65" s="29"/>
      <c r="H65" s="29"/>
      <c r="I65" s="67"/>
      <c r="J65" s="29"/>
      <c r="K65" s="29"/>
      <c r="L65" s="67"/>
      <c r="M65" s="67"/>
      <c r="N65" s="67"/>
      <c r="O65" s="67"/>
      <c r="P65" s="29"/>
      <c r="Q65" s="29"/>
      <c r="R65" s="67"/>
      <c r="S65" s="29"/>
      <c r="T65" s="2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9"/>
      <c r="AT65" s="29"/>
      <c r="AU65" s="67"/>
      <c r="AV65" s="29"/>
      <c r="AW65" s="29"/>
    </row>
    <row r="66" spans="7:49" ht="24.75" customHeight="1">
      <c r="G66" s="29"/>
      <c r="H66" s="29"/>
      <c r="I66" s="67"/>
      <c r="J66" s="29"/>
      <c r="K66" s="29"/>
      <c r="L66" s="67"/>
      <c r="M66" s="67"/>
      <c r="N66" s="67"/>
      <c r="O66" s="67"/>
      <c r="P66" s="29"/>
      <c r="Q66" s="29"/>
      <c r="R66" s="67"/>
      <c r="S66" s="29"/>
      <c r="T66" s="2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29"/>
      <c r="AT66" s="29"/>
      <c r="AU66" s="67"/>
      <c r="AV66" s="29"/>
      <c r="AW66" s="29"/>
    </row>
    <row r="67" spans="7:49" ht="24.75" customHeight="1">
      <c r="G67" s="29"/>
      <c r="H67" s="29"/>
      <c r="I67" s="67"/>
      <c r="J67" s="29"/>
      <c r="K67" s="29"/>
      <c r="L67" s="67"/>
      <c r="M67" s="67"/>
      <c r="N67" s="67"/>
      <c r="O67" s="67"/>
      <c r="P67" s="29"/>
      <c r="Q67" s="29"/>
      <c r="R67" s="67"/>
      <c r="S67" s="29"/>
      <c r="T67" s="29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29"/>
      <c r="AT67" s="29"/>
      <c r="AU67" s="67"/>
      <c r="AV67" s="29"/>
      <c r="AW67" s="29"/>
    </row>
    <row r="68" spans="7:49" ht="24.75" customHeight="1">
      <c r="G68" s="29"/>
      <c r="H68" s="29"/>
      <c r="I68" s="67"/>
      <c r="J68" s="29"/>
      <c r="K68" s="29"/>
      <c r="L68" s="67"/>
      <c r="M68" s="67"/>
      <c r="N68" s="67"/>
      <c r="O68" s="67"/>
      <c r="P68" s="29"/>
      <c r="Q68" s="29"/>
      <c r="R68" s="67"/>
      <c r="S68" s="29"/>
      <c r="T68" s="29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29"/>
      <c r="AT68" s="29"/>
      <c r="AU68" s="67"/>
      <c r="AV68" s="29"/>
      <c r="AW68" s="29"/>
    </row>
    <row r="69" spans="7:49" ht="24.75" customHeight="1">
      <c r="G69" s="29"/>
      <c r="H69" s="29"/>
      <c r="I69" s="67"/>
      <c r="J69" s="29"/>
      <c r="K69" s="29"/>
      <c r="L69" s="67"/>
      <c r="M69" s="67"/>
      <c r="N69" s="67"/>
      <c r="O69" s="67"/>
      <c r="P69" s="29"/>
      <c r="Q69" s="29"/>
      <c r="R69" s="67"/>
      <c r="S69" s="29"/>
      <c r="T69" s="29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29"/>
      <c r="AT69" s="29"/>
      <c r="AU69" s="67"/>
      <c r="AV69" s="29"/>
      <c r="AW69" s="29"/>
    </row>
    <row r="70" spans="7:49" ht="24.75" customHeight="1">
      <c r="G70" s="29"/>
      <c r="H70" s="29"/>
      <c r="I70" s="67"/>
      <c r="J70" s="29"/>
      <c r="K70" s="29"/>
      <c r="L70" s="67"/>
      <c r="M70" s="67"/>
      <c r="N70" s="67"/>
      <c r="O70" s="67"/>
      <c r="P70" s="29"/>
      <c r="Q70" s="29"/>
      <c r="R70" s="67"/>
      <c r="S70" s="29"/>
      <c r="T70" s="29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29"/>
      <c r="AT70" s="29"/>
      <c r="AU70" s="67"/>
      <c r="AV70" s="29"/>
      <c r="AW70" s="29"/>
    </row>
    <row r="71" spans="7:49" ht="18.75">
      <c r="G71" s="29"/>
      <c r="H71" s="29"/>
      <c r="I71" s="67"/>
      <c r="J71" s="29"/>
      <c r="K71" s="29"/>
      <c r="L71" s="67"/>
      <c r="M71" s="67"/>
      <c r="N71" s="67"/>
      <c r="O71" s="67"/>
      <c r="P71" s="29"/>
      <c r="Q71" s="29"/>
      <c r="R71" s="67"/>
      <c r="S71" s="29"/>
      <c r="T71" s="29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29"/>
      <c r="AT71" s="29"/>
      <c r="AU71" s="67"/>
      <c r="AV71" s="29"/>
      <c r="AW71" s="29"/>
    </row>
    <row r="72" spans="7:49" ht="18.75">
      <c r="G72" s="29"/>
      <c r="H72" s="29"/>
      <c r="I72" s="67"/>
      <c r="J72" s="29"/>
      <c r="K72" s="29"/>
      <c r="L72" s="67"/>
      <c r="M72" s="67"/>
      <c r="N72" s="67"/>
      <c r="O72" s="67"/>
      <c r="P72" s="29"/>
      <c r="Q72" s="29"/>
      <c r="R72" s="67"/>
      <c r="S72" s="29"/>
      <c r="T72" s="29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29"/>
      <c r="AT72" s="29"/>
      <c r="AU72" s="67"/>
      <c r="AV72" s="29"/>
      <c r="AW72" s="29"/>
    </row>
    <row r="73" spans="7:49" ht="18.75">
      <c r="G73" s="29"/>
      <c r="H73" s="29"/>
      <c r="I73" s="67"/>
      <c r="J73" s="29"/>
      <c r="K73" s="29"/>
      <c r="L73" s="67"/>
      <c r="M73" s="67"/>
      <c r="N73" s="67"/>
      <c r="O73" s="67"/>
      <c r="P73" s="29"/>
      <c r="Q73" s="29"/>
      <c r="R73" s="67"/>
      <c r="S73" s="29"/>
      <c r="T73" s="29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29"/>
      <c r="AT73" s="29"/>
      <c r="AU73" s="67"/>
      <c r="AV73" s="29"/>
      <c r="AW73" s="29"/>
    </row>
    <row r="74" spans="7:49" ht="18.75">
      <c r="G74" s="29"/>
      <c r="H74" s="29"/>
      <c r="I74" s="67"/>
      <c r="J74" s="29"/>
      <c r="K74" s="29"/>
      <c r="L74" s="67"/>
      <c r="M74" s="67"/>
      <c r="N74" s="67"/>
      <c r="O74" s="67"/>
      <c r="P74" s="29"/>
      <c r="Q74" s="29"/>
      <c r="R74" s="67"/>
      <c r="S74" s="29"/>
      <c r="T74" s="29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29"/>
      <c r="AT74" s="29"/>
      <c r="AU74" s="67"/>
      <c r="AV74" s="29"/>
      <c r="AW74" s="29"/>
    </row>
    <row r="75" spans="7:49" ht="18.75">
      <c r="G75" s="29"/>
      <c r="H75" s="29"/>
      <c r="I75" s="67"/>
      <c r="J75" s="29"/>
      <c r="K75" s="29"/>
      <c r="L75" s="67"/>
      <c r="M75" s="67"/>
      <c r="N75" s="67"/>
      <c r="O75" s="67"/>
      <c r="P75" s="29"/>
      <c r="Q75" s="29"/>
      <c r="R75" s="67"/>
      <c r="S75" s="29"/>
      <c r="T75" s="29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29"/>
      <c r="AT75" s="29"/>
      <c r="AU75" s="67"/>
      <c r="AV75" s="29"/>
      <c r="AW75" s="29"/>
    </row>
    <row r="76" spans="7:49" ht="18.75">
      <c r="G76" s="29"/>
      <c r="H76" s="29"/>
      <c r="I76" s="67"/>
      <c r="J76" s="29"/>
      <c r="K76" s="29"/>
      <c r="L76" s="67"/>
      <c r="M76" s="67"/>
      <c r="N76" s="67"/>
      <c r="O76" s="67"/>
      <c r="P76" s="29"/>
      <c r="Q76" s="29"/>
      <c r="R76" s="67"/>
      <c r="S76" s="29"/>
      <c r="T76" s="29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29"/>
      <c r="AT76" s="29"/>
      <c r="AU76" s="67"/>
      <c r="AV76" s="29"/>
      <c r="AW76" s="29"/>
    </row>
    <row r="77" spans="7:49" ht="18.75">
      <c r="G77" s="29"/>
      <c r="H77" s="29"/>
      <c r="I77" s="67"/>
      <c r="J77" s="29"/>
      <c r="K77" s="29"/>
      <c r="L77" s="67"/>
      <c r="M77" s="67"/>
      <c r="N77" s="67"/>
      <c r="O77" s="67"/>
      <c r="P77" s="29"/>
      <c r="Q77" s="29"/>
      <c r="R77" s="67"/>
      <c r="S77" s="29"/>
      <c r="T77" s="2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29"/>
      <c r="AT77" s="29"/>
      <c r="AU77" s="67"/>
      <c r="AV77" s="29"/>
      <c r="AW77" s="29"/>
    </row>
    <row r="78" spans="7:49" ht="18.75">
      <c r="G78" s="29"/>
      <c r="H78" s="29"/>
      <c r="I78" s="67"/>
      <c r="J78" s="29"/>
      <c r="K78" s="29"/>
      <c r="L78" s="67"/>
      <c r="M78" s="67"/>
      <c r="N78" s="67"/>
      <c r="O78" s="67"/>
      <c r="P78" s="29"/>
      <c r="Q78" s="29"/>
      <c r="R78" s="67"/>
      <c r="S78" s="29"/>
      <c r="T78" s="2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29"/>
      <c r="AT78" s="29"/>
      <c r="AU78" s="67"/>
      <c r="AV78" s="29"/>
      <c r="AW78" s="29"/>
    </row>
    <row r="79" spans="7:49" ht="18.75">
      <c r="G79" s="29"/>
      <c r="H79" s="29"/>
      <c r="I79" s="67"/>
      <c r="J79" s="29"/>
      <c r="K79" s="29"/>
      <c r="L79" s="67"/>
      <c r="M79" s="67"/>
      <c r="N79" s="67"/>
      <c r="O79" s="67"/>
      <c r="P79" s="29"/>
      <c r="Q79" s="29"/>
      <c r="R79" s="67"/>
      <c r="S79" s="29"/>
      <c r="T79" s="29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29"/>
      <c r="AT79" s="29"/>
      <c r="AU79" s="67"/>
      <c r="AV79" s="29"/>
      <c r="AW79" s="29"/>
    </row>
    <row r="80" spans="7:49" ht="18.75">
      <c r="G80" s="29"/>
      <c r="H80" s="29"/>
      <c r="I80" s="67"/>
      <c r="J80" s="29"/>
      <c r="K80" s="29"/>
      <c r="L80" s="67"/>
      <c r="M80" s="67"/>
      <c r="N80" s="67"/>
      <c r="O80" s="67"/>
      <c r="P80" s="29"/>
      <c r="Q80" s="29"/>
      <c r="R80" s="67"/>
      <c r="S80" s="29"/>
      <c r="T80" s="29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29"/>
      <c r="AT80" s="29"/>
      <c r="AU80" s="67"/>
      <c r="AV80" s="29"/>
      <c r="AW80" s="29"/>
    </row>
    <row r="81" spans="7:49" ht="18.75">
      <c r="G81" s="29"/>
      <c r="H81" s="29"/>
      <c r="I81" s="67"/>
      <c r="J81" s="29"/>
      <c r="K81" s="29"/>
      <c r="L81" s="67"/>
      <c r="M81" s="67"/>
      <c r="N81" s="67"/>
      <c r="O81" s="67"/>
      <c r="P81" s="29"/>
      <c r="Q81" s="29"/>
      <c r="R81" s="67"/>
      <c r="S81" s="29"/>
      <c r="T81" s="29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29"/>
      <c r="AT81" s="29"/>
      <c r="AU81" s="67"/>
      <c r="AV81" s="29"/>
      <c r="AW81" s="29"/>
    </row>
    <row r="82" spans="7:49" ht="18.75">
      <c r="G82" s="29"/>
      <c r="H82" s="29"/>
      <c r="I82" s="67"/>
      <c r="J82" s="29"/>
      <c r="K82" s="29"/>
      <c r="L82" s="67"/>
      <c r="M82" s="67"/>
      <c r="N82" s="67"/>
      <c r="O82" s="67"/>
      <c r="P82" s="29"/>
      <c r="Q82" s="29"/>
      <c r="R82" s="67"/>
      <c r="S82" s="29"/>
      <c r="T82" s="29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29"/>
      <c r="AT82" s="29"/>
      <c r="AU82" s="67"/>
      <c r="AV82" s="29"/>
      <c r="AW82" s="29"/>
    </row>
    <row r="83" spans="7:49" ht="18.75">
      <c r="G83" s="29"/>
      <c r="H83" s="29"/>
      <c r="I83" s="67"/>
      <c r="J83" s="29"/>
      <c r="K83" s="29"/>
      <c r="L83" s="67"/>
      <c r="M83" s="67"/>
      <c r="N83" s="67"/>
      <c r="O83" s="67"/>
      <c r="P83" s="29"/>
      <c r="Q83" s="29"/>
      <c r="R83" s="67"/>
      <c r="S83" s="29"/>
      <c r="T83" s="29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29"/>
      <c r="AT83" s="29"/>
      <c r="AU83" s="67"/>
      <c r="AV83" s="29"/>
      <c r="AW83" s="29"/>
    </row>
    <row r="84" spans="7:49" ht="18.75">
      <c r="G84" s="29"/>
      <c r="H84" s="29"/>
      <c r="I84" s="67"/>
      <c r="J84" s="29"/>
      <c r="K84" s="29"/>
      <c r="L84" s="67"/>
      <c r="M84" s="67"/>
      <c r="N84" s="67"/>
      <c r="O84" s="67"/>
      <c r="P84" s="29"/>
      <c r="Q84" s="29"/>
      <c r="R84" s="67"/>
      <c r="S84" s="29"/>
      <c r="T84" s="29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29"/>
      <c r="AT84" s="29"/>
      <c r="AU84" s="67"/>
      <c r="AV84" s="29"/>
      <c r="AW84" s="29"/>
    </row>
    <row r="85" spans="7:49" ht="18.75">
      <c r="G85" s="29"/>
      <c r="H85" s="29"/>
      <c r="I85" s="67"/>
      <c r="J85" s="29"/>
      <c r="K85" s="29"/>
      <c r="L85" s="67"/>
      <c r="M85" s="67"/>
      <c r="N85" s="67"/>
      <c r="O85" s="67"/>
      <c r="P85" s="29"/>
      <c r="Q85" s="29"/>
      <c r="R85" s="67"/>
      <c r="S85" s="29"/>
      <c r="T85" s="29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29"/>
      <c r="AT85" s="29"/>
      <c r="AU85" s="67"/>
      <c r="AV85" s="29"/>
      <c r="AW85" s="29"/>
    </row>
    <row r="86" spans="7:49" ht="18.75">
      <c r="G86" s="29"/>
      <c r="H86" s="29"/>
      <c r="I86" s="67"/>
      <c r="J86" s="29"/>
      <c r="K86" s="29"/>
      <c r="L86" s="67"/>
      <c r="M86" s="67"/>
      <c r="N86" s="67"/>
      <c r="O86" s="67"/>
      <c r="P86" s="29"/>
      <c r="Q86" s="29"/>
      <c r="R86" s="67"/>
      <c r="S86" s="29"/>
      <c r="T86" s="29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29"/>
      <c r="AT86" s="29"/>
      <c r="AU86" s="67"/>
      <c r="AV86" s="29"/>
      <c r="AW86" s="29"/>
    </row>
    <row r="87" spans="7:49" ht="18.75">
      <c r="G87" s="29"/>
      <c r="H87" s="29"/>
      <c r="I87" s="67"/>
      <c r="J87" s="29"/>
      <c r="K87" s="29"/>
      <c r="L87" s="67"/>
      <c r="M87" s="67"/>
      <c r="N87" s="67"/>
      <c r="O87" s="67"/>
      <c r="P87" s="29"/>
      <c r="Q87" s="29"/>
      <c r="R87" s="67"/>
      <c r="S87" s="29"/>
      <c r="T87" s="29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29"/>
      <c r="AT87" s="29"/>
      <c r="AU87" s="67"/>
      <c r="AV87" s="29"/>
      <c r="AW87" s="29"/>
    </row>
    <row r="88" spans="7:49" ht="18.75">
      <c r="G88" s="29"/>
      <c r="H88" s="29"/>
      <c r="I88" s="67"/>
      <c r="J88" s="29"/>
      <c r="K88" s="29"/>
      <c r="L88" s="67"/>
      <c r="M88" s="67"/>
      <c r="N88" s="67"/>
      <c r="O88" s="67"/>
      <c r="P88" s="29"/>
      <c r="Q88" s="29"/>
      <c r="R88" s="67"/>
      <c r="S88" s="29"/>
      <c r="T88" s="29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29"/>
      <c r="AT88" s="29"/>
      <c r="AU88" s="67"/>
      <c r="AV88" s="29"/>
      <c r="AW88" s="29"/>
    </row>
    <row r="89" spans="7:49" ht="18.75">
      <c r="G89" s="29"/>
      <c r="H89" s="29"/>
      <c r="I89" s="67"/>
      <c r="J89" s="29"/>
      <c r="K89" s="29"/>
      <c r="L89" s="67"/>
      <c r="M89" s="67"/>
      <c r="N89" s="67"/>
      <c r="O89" s="67"/>
      <c r="P89" s="29"/>
      <c r="Q89" s="29"/>
      <c r="R89" s="67"/>
      <c r="S89" s="29"/>
      <c r="T89" s="29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29"/>
      <c r="AT89" s="29"/>
      <c r="AU89" s="67"/>
      <c r="AV89" s="29"/>
      <c r="AW89" s="29"/>
    </row>
    <row r="90" spans="31:44" ht="18.75">
      <c r="AE90" s="67"/>
      <c r="AF90" s="67"/>
      <c r="AG90" s="67"/>
      <c r="AH90" s="67"/>
      <c r="AI90" s="67"/>
      <c r="AM90" s="67"/>
      <c r="AN90" s="67"/>
      <c r="AO90" s="67"/>
      <c r="AP90" s="67"/>
      <c r="AQ90" s="67"/>
      <c r="AR90" s="67"/>
    </row>
    <row r="91" spans="31:44" ht="18.75">
      <c r="AE91" s="67"/>
      <c r="AF91" s="67"/>
      <c r="AG91" s="67"/>
      <c r="AH91" s="67"/>
      <c r="AI91" s="67"/>
      <c r="AM91" s="67"/>
      <c r="AN91" s="67"/>
      <c r="AO91" s="67"/>
      <c r="AP91" s="67"/>
      <c r="AQ91" s="67"/>
      <c r="AR91" s="67"/>
    </row>
    <row r="92" spans="31:44" ht="18.75">
      <c r="AE92" s="67"/>
      <c r="AF92" s="67"/>
      <c r="AG92" s="67"/>
      <c r="AH92" s="67"/>
      <c r="AI92" s="67"/>
      <c r="AM92" s="67"/>
      <c r="AN92" s="67"/>
      <c r="AO92" s="67"/>
      <c r="AP92" s="67"/>
      <c r="AQ92" s="67"/>
      <c r="AR92" s="67"/>
    </row>
    <row r="93" spans="31:44" ht="18.75">
      <c r="AE93" s="67"/>
      <c r="AF93" s="67"/>
      <c r="AG93" s="67"/>
      <c r="AH93" s="67"/>
      <c r="AI93" s="67"/>
      <c r="AM93" s="67"/>
      <c r="AN93" s="67"/>
      <c r="AO93" s="67"/>
      <c r="AP93" s="67"/>
      <c r="AQ93" s="67"/>
      <c r="AR93" s="67"/>
    </row>
    <row r="94" spans="31:44" ht="18.75">
      <c r="AE94" s="67"/>
      <c r="AF94" s="67"/>
      <c r="AG94" s="67"/>
      <c r="AH94" s="67"/>
      <c r="AI94" s="67"/>
      <c r="AM94" s="67"/>
      <c r="AN94" s="67"/>
      <c r="AO94" s="67"/>
      <c r="AP94" s="67"/>
      <c r="AQ94" s="67"/>
      <c r="AR94" s="67"/>
    </row>
    <row r="95" spans="31:44" ht="18.75">
      <c r="AE95" s="67"/>
      <c r="AF95" s="67"/>
      <c r="AG95" s="67"/>
      <c r="AH95" s="67"/>
      <c r="AI95" s="67"/>
      <c r="AM95" s="67"/>
      <c r="AN95" s="67"/>
      <c r="AO95" s="67"/>
      <c r="AP95" s="67"/>
      <c r="AQ95" s="67"/>
      <c r="AR95" s="67"/>
    </row>
    <row r="96" spans="31:44" ht="18.75">
      <c r="AE96" s="67"/>
      <c r="AF96" s="67"/>
      <c r="AG96" s="67"/>
      <c r="AH96" s="67"/>
      <c r="AI96" s="67"/>
      <c r="AM96" s="67"/>
      <c r="AN96" s="67"/>
      <c r="AO96" s="67"/>
      <c r="AP96" s="67"/>
      <c r="AQ96" s="67"/>
      <c r="AR96" s="67"/>
    </row>
    <row r="97" spans="31:44" ht="18.75">
      <c r="AE97" s="67"/>
      <c r="AF97" s="67"/>
      <c r="AG97" s="67"/>
      <c r="AH97" s="67"/>
      <c r="AI97" s="67"/>
      <c r="AM97" s="67"/>
      <c r="AN97" s="67"/>
      <c r="AO97" s="67"/>
      <c r="AP97" s="67"/>
      <c r="AQ97" s="67"/>
      <c r="AR97" s="67"/>
    </row>
    <row r="98" spans="31:44" ht="18.75">
      <c r="AE98" s="67"/>
      <c r="AF98" s="67"/>
      <c r="AG98" s="67"/>
      <c r="AH98" s="67"/>
      <c r="AI98" s="67"/>
      <c r="AM98" s="67"/>
      <c r="AN98" s="67"/>
      <c r="AO98" s="67"/>
      <c r="AP98" s="67"/>
      <c r="AQ98" s="67"/>
      <c r="AR98" s="67"/>
    </row>
    <row r="99" spans="31:44" ht="18.75">
      <c r="AE99" s="67"/>
      <c r="AF99" s="67"/>
      <c r="AG99" s="67"/>
      <c r="AH99" s="67"/>
      <c r="AI99" s="67"/>
      <c r="AM99" s="67"/>
      <c r="AN99" s="67"/>
      <c r="AO99" s="67"/>
      <c r="AP99" s="67"/>
      <c r="AQ99" s="67"/>
      <c r="AR99" s="67"/>
    </row>
    <row r="100" spans="31:44" ht="18.75">
      <c r="AE100" s="67"/>
      <c r="AF100" s="67"/>
      <c r="AG100" s="67"/>
      <c r="AH100" s="67"/>
      <c r="AI100" s="67"/>
      <c r="AM100" s="67"/>
      <c r="AN100" s="67"/>
      <c r="AO100" s="67"/>
      <c r="AP100" s="67"/>
      <c r="AQ100" s="67"/>
      <c r="AR100" s="67"/>
    </row>
    <row r="101" spans="31:44" ht="18.75">
      <c r="AE101" s="67"/>
      <c r="AF101" s="67"/>
      <c r="AG101" s="67"/>
      <c r="AH101" s="67"/>
      <c r="AI101" s="67"/>
      <c r="AM101" s="67"/>
      <c r="AN101" s="67"/>
      <c r="AO101" s="67"/>
      <c r="AP101" s="67"/>
      <c r="AQ101" s="67"/>
      <c r="AR101" s="67"/>
    </row>
    <row r="102" spans="31:44" ht="18.75">
      <c r="AE102" s="67"/>
      <c r="AF102" s="67"/>
      <c r="AG102" s="67"/>
      <c r="AH102" s="67"/>
      <c r="AI102" s="67"/>
      <c r="AM102" s="67"/>
      <c r="AN102" s="67"/>
      <c r="AO102" s="67"/>
      <c r="AP102" s="67"/>
      <c r="AQ102" s="67"/>
      <c r="AR102" s="67"/>
    </row>
  </sheetData>
  <sheetProtection/>
  <mergeCells count="21">
    <mergeCell ref="P5:R5"/>
    <mergeCell ref="AB5:AD5"/>
    <mergeCell ref="M5:O5"/>
    <mergeCell ref="Y5:AA5"/>
    <mergeCell ref="S5:U5"/>
    <mergeCell ref="B1:AW1"/>
    <mergeCell ref="B2:AW2"/>
    <mergeCell ref="B4:C4"/>
    <mergeCell ref="D5:F5"/>
    <mergeCell ref="G5:I5"/>
    <mergeCell ref="AQ5:AR5"/>
    <mergeCell ref="AM5:AN5"/>
    <mergeCell ref="AJ5:AL5"/>
    <mergeCell ref="AE5:AG5"/>
    <mergeCell ref="J5:L5"/>
    <mergeCell ref="AS5:AU5"/>
    <mergeCell ref="AH5:AI5"/>
    <mergeCell ref="AO5:AP5"/>
    <mergeCell ref="AW5:AW6"/>
    <mergeCell ref="AV5:AV6"/>
    <mergeCell ref="V5:X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2018-01-17T14:25:41Z</cp:lastPrinted>
  <dcterms:created xsi:type="dcterms:W3CDTF">2001-09-14T09:33:50Z</dcterms:created>
  <dcterms:modified xsi:type="dcterms:W3CDTF">2018-01-17T14:34:22Z</dcterms:modified>
  <cp:category/>
  <cp:version/>
  <cp:contentType/>
  <cp:contentStatus/>
</cp:coreProperties>
</file>