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1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<sst xmlns="http://schemas.openxmlformats.org/spreadsheetml/2006/main" count="765" uniqueCount="125">
  <si>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</si>
  <si>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</si>
  <si>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</si>
  <si>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</si>
  <si>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</si>
  <si>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</si>
  <si>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</si>
  <si>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</si>
  <si>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</si>
  <si>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</si>
  <si>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</si>
  <si>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</si>
  <si>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</si>
  <si>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</si>
  <si>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</si>
  <si>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</si>
  <si>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</si>
  <si>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</si>
  <si>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</si>
  <si>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</si>
  <si>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</si>
  <si>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</si>
  <si>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</si>
  <si>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</si>
  <si>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</si>
  <si>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</si>
  <si>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</si>
  <si>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</si>
  <si>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</si>
  <si>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</si>
  <si>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</si>
  <si>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</si>
  <si>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</si>
  <si>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</si>
  <si>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</si>
  <si>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</si>
  <si>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</si>
  <si>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</si>
  <si>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</si>
  <si>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</si>
  <si>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</si>
  <si>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</si>
  <si>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</si>
  <si>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</si>
  <si>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</si>
  <si>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</si>
  <si>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</si>
  <si>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</si>
  <si>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</si>
  <si>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</si>
  <si>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</si>
  <si>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</si>
  <si>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</si>
  <si>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</si>
  <si>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</si>
  <si>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</si>
  <si>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</si>
  <si>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</si>
  <si>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</si>
  <si>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</si>
  <si>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</si>
  <si>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</si>
  <si>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</si>
  <si>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</si>
  <si>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</si>
  <si>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</si>
  <si>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</si>
  <si>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</si>
  <si>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</si>
  <si>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</si>
  <si>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</si>
  <si>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</si>
  <si>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</si>
  <si>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</si>
  <si>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</si>
  <si>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</si>
  <si>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</si>
  <si>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</si>
  <si>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</si>
  <si>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</si>
  <si>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</si>
  <si>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</si>
  <si>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</si>
  <si>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</si>
  <si>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</si>
  <si>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</si>
  <si>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</si>
  <si>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</si>
  <si>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</si>
  <si>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</si>
  <si>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</si>
  <si>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</si>
  <si>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</si>
  <si>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</si>
  <si>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</si>
  <si>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</si>
  <si>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</si>
  <si>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</si>
  <si>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</si>
  <si>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</si>
  <si>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</si>
  <si>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</si>
  <si>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</si>
  <si>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</si>
  <si>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</si>
  <si>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</si>
  <si>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</si>
  <si>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</si>
  <si>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</si>
  <si>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</si>
  <si>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</si>
  <si>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</si>
  <si>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</si>
  <si>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</si>
  <si>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</si>
  <si>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</si>
  <si>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</si>
  <si>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Задолженность за  2015 год по состоянию на 21.08.2015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</si>
  <si>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</si>
  <si>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</si>
  <si>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</si>
  <si>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по оплате услуг теплоснабжения по состоянию на 20.05.2016</t>
  </si>
  <si>
    <t>с начала 2016 года (c учетом  начислений апреля)</t>
  </si>
  <si>
    <t>Задолженность за  2016 год по состоянию на 20.05.2016</t>
  </si>
  <si>
    <t>Общая задолженность на 20.05.2016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</si>
</sst>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6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 wrapText="1"/>
    </xf>
    <xf numFmtId="0" fontId="4" fillId="36" borderId="0" xfId="0" applyFont="1" applyFill="1" applyAlignment="1">
      <alignment/>
    </xf>
    <xf numFmtId="188" fontId="4" fillId="36" borderId="0" xfId="0" applyNumberFormat="1" applyFont="1" applyFill="1" applyAlignment="1">
      <alignment/>
    </xf>
    <xf numFmtId="0" fontId="4" fillId="36" borderId="10" xfId="0" applyFont="1" applyFill="1" applyBorder="1" applyAlignment="1">
      <alignment/>
    </xf>
    <xf numFmtId="188" fontId="3" fillId="36" borderId="0" xfId="0" applyNumberFormat="1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6" fillId="36" borderId="0" xfId="0" applyFont="1" applyFill="1" applyAlignment="1">
      <alignment horizontal="center"/>
    </xf>
    <xf numFmtId="0" fontId="69" fillId="36" borderId="0" xfId="0" applyFont="1" applyFill="1" applyAlignment="1">
      <alignment wrapText="1"/>
    </xf>
    <xf numFmtId="188" fontId="66" fillId="36" borderId="0" xfId="0" applyNumberFormat="1" applyFont="1" applyFill="1" applyAlignment="1">
      <alignment/>
    </xf>
    <xf numFmtId="188" fontId="69" fillId="36" borderId="0" xfId="0" applyNumberFormat="1" applyFont="1" applyFill="1" applyAlignment="1">
      <alignment/>
    </xf>
    <xf numFmtId="0" fontId="69" fillId="36" borderId="0" xfId="0" applyFont="1" applyFill="1" applyAlignment="1">
      <alignment horizontal="right"/>
    </xf>
    <xf numFmtId="0" fontId="69" fillId="36" borderId="0" xfId="0" applyFont="1" applyFill="1" applyAlignment="1">
      <alignment horizontal="left" vertical="center" wrapText="1"/>
    </xf>
    <xf numFmtId="0" fontId="69" fillId="36" borderId="0" xfId="0" applyFont="1" applyFill="1" applyAlignment="1">
      <alignment horizontal="right" wrapText="1"/>
    </xf>
    <xf numFmtId="0" fontId="66" fillId="36" borderId="10" xfId="0" applyFont="1" applyFill="1" applyBorder="1" applyAlignment="1">
      <alignment/>
    </xf>
    <xf numFmtId="0" fontId="66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192" fontId="3" fillId="0" borderId="14" xfId="0" applyNumberFormat="1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 wrapText="1"/>
    </xf>
    <xf numFmtId="192" fontId="3" fillId="0" borderId="22" xfId="0" applyNumberFormat="1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192" fontId="3" fillId="0" borderId="23" xfId="0" applyNumberFormat="1" applyFont="1" applyFill="1" applyBorder="1" applyAlignment="1">
      <alignment vertical="center" wrapText="1"/>
    </xf>
    <xf numFmtId="192" fontId="3" fillId="0" borderId="18" xfId="0" applyNumberFormat="1" applyFont="1" applyFill="1" applyBorder="1" applyAlignment="1">
      <alignment vertical="center" wrapText="1"/>
    </xf>
    <xf numFmtId="192" fontId="3" fillId="0" borderId="24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1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 horizontal="left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1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1">
      <selection activeCell="B6" sqref="B6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1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95"/>
      <c r="W1" s="95"/>
    </row>
    <row r="2" spans="2:23" ht="18.75">
      <c r="B2" s="219" t="s">
        <v>98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95"/>
      <c r="W2" s="95"/>
    </row>
    <row r="3" spans="2:23" ht="18.75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95"/>
      <c r="W3" s="95"/>
    </row>
    <row r="4" spans="2:23" ht="13.5" customHeight="1">
      <c r="B4" s="220"/>
      <c r="C4" s="220"/>
      <c r="D4" s="220"/>
      <c r="E4" s="220"/>
      <c r="F4" s="220"/>
      <c r="U4" s="74" t="s">
        <v>53</v>
      </c>
      <c r="V4" s="95"/>
      <c r="W4" s="95"/>
    </row>
    <row r="5" spans="1:23" ht="42" customHeight="1">
      <c r="A5" s="117"/>
      <c r="B5" s="3"/>
      <c r="C5" s="221" t="s">
        <v>1</v>
      </c>
      <c r="D5" s="216" t="s">
        <v>108</v>
      </c>
      <c r="E5" s="217"/>
      <c r="F5" s="218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  <c r="V5" s="197"/>
      <c r="W5" s="198"/>
    </row>
    <row r="6" spans="1:23" ht="33.75" customHeight="1">
      <c r="A6" s="4" t="s">
        <v>39</v>
      </c>
      <c r="B6" s="4" t="s">
        <v>49</v>
      </c>
      <c r="C6" s="222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  <c r="V6" s="199"/>
      <c r="W6" s="200"/>
    </row>
    <row r="7" spans="1:23" ht="26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  <c r="V7" s="201"/>
      <c r="W7" s="202"/>
    </row>
    <row r="8" spans="1:23" s="7" customFormat="1" ht="43.5" customHeight="1">
      <c r="A8" s="119"/>
      <c r="B8" s="75" t="s">
        <v>54</v>
      </c>
      <c r="C8" s="154">
        <f>SUM(C9:C43)</f>
        <v>193548.19999999998</v>
      </c>
      <c r="D8" s="154">
        <f>населення!D8+льготи!D8+субсидии!D8+'держ.бюджет'!D8+'місц.-район.бюджет'!D8+обласной!D8+'госпрозрахунк.'!D8</f>
        <v>161812.2</v>
      </c>
      <c r="E8" s="154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395305.39999999997</v>
      </c>
      <c r="H8" s="16">
        <f>населення!H8+льготи!H8+субсидии!H8+'держ.бюджет'!H8+'місц.-район.бюджет'!H8+обласной!H8+'госпрозрахунк.'!H8</f>
        <v>371989.4</v>
      </c>
      <c r="I8" s="17">
        <f>H8/G8*100</f>
        <v>94.10177548801511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63937.6</v>
      </c>
      <c r="U8" s="59">
        <f aca="true" t="shared" si="1" ref="U8:U23">C8+G8-H8</f>
        <v>216864.19999999995</v>
      </c>
      <c r="V8" s="16"/>
      <c r="W8" s="16"/>
    </row>
    <row r="9" spans="1:24" ht="39.75" customHeight="1">
      <c r="A9" s="120">
        <v>1</v>
      </c>
      <c r="B9" s="23" t="s">
        <v>55</v>
      </c>
      <c r="C9" s="155">
        <f>населення!C9+льготи!C9+субсидии!C9+'держ.бюджет'!C9+'місц.-район.бюджет'!C9+обласной!C9+'госпрозрахунк.'!C9</f>
        <v>13485.899999999998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30150.700000000004</v>
      </c>
      <c r="H9" s="24">
        <f>населення!H9+льготи!H9+субсидии!H9+'держ.бюджет'!H9+'місц.-район.бюджет'!H9+обласной!H9+'госпрозрахунк.'!H9</f>
        <v>31754.7</v>
      </c>
      <c r="I9" s="18">
        <f>H9/G9*100</f>
        <v>105.31994282056469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-1603.9999999999964</v>
      </c>
      <c r="U9" s="16">
        <f t="shared" si="1"/>
        <v>11881.900000000005</v>
      </c>
      <c r="V9" s="24"/>
      <c r="W9" s="24"/>
      <c r="X9" s="9"/>
    </row>
    <row r="10" spans="1:23" ht="44.25" customHeight="1">
      <c r="A10" s="120">
        <v>2</v>
      </c>
      <c r="B10" s="53" t="s">
        <v>89</v>
      </c>
      <c r="C10" s="155">
        <f>населення!C10+льготи!C10+субсидии!C10+'держ.бюджет'!C10+'місц.-район.бюджет'!C10+обласной!C10+'госпрозрахунк.'!C10</f>
        <v>-377.5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4636.799999999999</v>
      </c>
      <c r="H10" s="24">
        <f>населення!H10+льготи!H10+субсидии!H10+'держ.бюджет'!H10+'місц.-район.бюджет'!H10+обласной!H10+'госпрозрахунк.'!H10</f>
        <v>3077.7</v>
      </c>
      <c r="I10" s="18">
        <f>H10/G10*100</f>
        <v>66.37551759834369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1559.0999999999995</v>
      </c>
      <c r="U10" s="16">
        <f t="shared" si="1"/>
        <v>1181.5999999999995</v>
      </c>
      <c r="V10" s="24"/>
      <c r="W10" s="24"/>
    </row>
    <row r="11" spans="1:23" ht="41.25" customHeight="1">
      <c r="A11" s="120">
        <v>3</v>
      </c>
      <c r="B11" s="25" t="s">
        <v>106</v>
      </c>
      <c r="C11" s="155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1111</v>
      </c>
      <c r="H11" s="24">
        <f>населення!H11+льготи!H11+субсидии!H11+'держ.бюджет'!H11+'місц.-район.бюджет'!H11+обласной!H11+'госпрозрахунк.'!H11</f>
        <v>1159.1</v>
      </c>
      <c r="I11" s="18">
        <f aca="true" t="shared" si="6" ref="I11:I23">H11/G11*100</f>
        <v>104.32943294329434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-48.09999999999991</v>
      </c>
      <c r="U11" s="16">
        <f t="shared" si="1"/>
        <v>-48.09999999999991</v>
      </c>
      <c r="V11" s="24"/>
      <c r="W11" s="24"/>
    </row>
    <row r="12" spans="1:23" ht="24" customHeight="1">
      <c r="A12" s="120">
        <v>4</v>
      </c>
      <c r="B12" s="23" t="s">
        <v>56</v>
      </c>
      <c r="C12" s="155">
        <f>населення!C12+льготи!C12+субсидии!C12+'держ.бюджет'!C12+'місц.-район.бюджет'!C12+обласной!C12+'госпрозрахунк.'!C12</f>
        <v>1.5999999999999996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1263.8</v>
      </c>
      <c r="H12" s="24">
        <f>населення!H12+льготи!H12+субсидии!H12+'держ.бюджет'!H12+'місц.-район.бюджет'!H12+обласной!H12+'госпрозрахунк.'!H12</f>
        <v>903</v>
      </c>
      <c r="I12" s="18">
        <f t="shared" si="6"/>
        <v>71.45117898401647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360.79999999999995</v>
      </c>
      <c r="U12" s="16">
        <f t="shared" si="1"/>
        <v>362.39999999999986</v>
      </c>
      <c r="V12" s="24"/>
      <c r="W12" s="24"/>
    </row>
    <row r="13" spans="1:23" ht="24" customHeight="1">
      <c r="A13" s="121">
        <v>5</v>
      </c>
      <c r="B13" s="23" t="s">
        <v>87</v>
      </c>
      <c r="C13" s="155">
        <f>населення!C13+льготи!C13+субсидии!C13+'держ.бюджет'!C13+'місц.-район.бюджет'!C13+обласной!C13+'госпрозрахунк.'!C13</f>
        <v>3423.8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8267.6</v>
      </c>
      <c r="H13" s="24">
        <f>населення!H13+льготи!H13+субсидии!H13+'держ.бюджет'!H13+'місц.-район.бюджет'!H13+обласной!H13+'госпрозрахунк.'!H13</f>
        <v>8843.300000000001</v>
      </c>
      <c r="I13" s="18">
        <f t="shared" si="6"/>
        <v>106.96332672117666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-575.7000000000007</v>
      </c>
      <c r="U13" s="16">
        <f t="shared" si="1"/>
        <v>2848.1000000000004</v>
      </c>
      <c r="V13" s="24"/>
      <c r="W13" s="24"/>
    </row>
    <row r="14" spans="1:23" ht="24" customHeight="1">
      <c r="A14" s="120">
        <v>6</v>
      </c>
      <c r="B14" s="23" t="s">
        <v>57</v>
      </c>
      <c r="C14" s="155">
        <f>населення!C14+льготи!C14+субсидии!C14+'держ.бюджет'!C14+'місц.-район.бюджет'!C14+обласной!C14+'госпрозрахунк.'!C14</f>
        <v>142.5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2923.7000000000003</v>
      </c>
      <c r="H14" s="24">
        <f>населення!H14+льготи!H14+субсидии!H14+'держ.бюджет'!H14+'місц.-район.бюджет'!H14+обласной!H14+'госпрозрахунк.'!H14</f>
        <v>2069.2</v>
      </c>
      <c r="I14" s="18">
        <f t="shared" si="6"/>
        <v>70.77333515750588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854.5000000000005</v>
      </c>
      <c r="U14" s="16">
        <f t="shared" si="1"/>
        <v>997.0000000000005</v>
      </c>
      <c r="V14" s="24"/>
      <c r="W14" s="24"/>
    </row>
    <row r="15" spans="1:23" ht="24" customHeight="1">
      <c r="A15" s="120">
        <v>7</v>
      </c>
      <c r="B15" s="23" t="s">
        <v>58</v>
      </c>
      <c r="C15" s="155">
        <f>населення!C15+льготи!C15+субсидии!C15+'держ.бюджет'!C15+'місц.-район.бюджет'!C15+обласной!C15+'госпрозрахунк.'!C15</f>
        <v>-37.2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2423.1</v>
      </c>
      <c r="H15" s="24">
        <f>населення!H15+льготи!H15+субсидии!H15+'держ.бюджет'!H15+'місц.-район.бюджет'!H15+обласной!H15+'госпрозрахунк.'!H15</f>
        <v>2225.6000000000004</v>
      </c>
      <c r="I15" s="18">
        <f t="shared" si="6"/>
        <v>91.84928397507328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197.49999999999955</v>
      </c>
      <c r="U15" s="16">
        <f t="shared" si="1"/>
        <v>160.29999999999973</v>
      </c>
      <c r="V15" s="24"/>
      <c r="W15" s="24"/>
    </row>
    <row r="16" spans="1:23" ht="24" customHeight="1">
      <c r="A16" s="120">
        <v>8</v>
      </c>
      <c r="B16" s="23" t="s">
        <v>59</v>
      </c>
      <c r="C16" s="155">
        <f>населення!C16+льготи!C16+субсидии!C16+'держ.бюджет'!C16+'місц.-район.бюджет'!C16+обласной!C16+'госпрозрахунк.'!C16</f>
        <v>1399.5999999999997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12662.199999999999</v>
      </c>
      <c r="H16" s="24">
        <f>населення!H16+льготи!H16+субсидии!H16+'держ.бюджет'!H16+'місц.-район.бюджет'!H16+обласной!H16+'госпрозрахунк.'!H16</f>
        <v>12113.9</v>
      </c>
      <c r="I16" s="18">
        <f t="shared" si="6"/>
        <v>95.66978882026821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548.2999999999993</v>
      </c>
      <c r="U16" s="16">
        <f t="shared" si="1"/>
        <v>1947.8999999999996</v>
      </c>
      <c r="V16" s="24"/>
      <c r="W16" s="24"/>
    </row>
    <row r="17" spans="1:23" ht="24" customHeight="1">
      <c r="A17" s="121">
        <v>9</v>
      </c>
      <c r="B17" s="23" t="s">
        <v>60</v>
      </c>
      <c r="C17" s="155">
        <f>населення!C17+льготи!C17+субсидии!C17+'держ.бюджет'!C17+'місц.-район.бюджет'!C17+обласной!C17+'госпрозрахунк.'!C17</f>
        <v>-172.2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4086.8</v>
      </c>
      <c r="H17" s="24">
        <f>населення!H17+льготи!H17+субсидии!H17+'держ.бюджет'!H17+'місц.-район.бюджет'!H17+обласной!H17+'госпрозрахунк.'!H17</f>
        <v>1164.6000000000001</v>
      </c>
      <c r="I17" s="18">
        <f t="shared" si="6"/>
        <v>28.496623274933935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2922.2</v>
      </c>
      <c r="U17" s="16">
        <f t="shared" si="1"/>
        <v>2750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61</v>
      </c>
      <c r="C18" s="155">
        <f>населення!C18+льготи!C18+субсидии!C18+'держ.бюджет'!C18+'місц.-район.бюджет'!C18+обласной!C18+'госпрозрахунк.'!C18</f>
        <v>6420.3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6676.1</v>
      </c>
      <c r="H18" s="24">
        <f>населення!H18+льготи!H18+субсидии!H18+'держ.бюджет'!H18+'місц.-район.бюджет'!H18+обласной!H18+'госпрозрахунк.'!H18</f>
        <v>5045.8</v>
      </c>
      <c r="I18" s="18">
        <f t="shared" si="6"/>
        <v>75.58005422327406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1630.3000000000002</v>
      </c>
      <c r="U18" s="16">
        <f t="shared" si="1"/>
        <v>8050.600000000001</v>
      </c>
      <c r="V18" s="24"/>
      <c r="W18" s="24"/>
    </row>
    <row r="19" spans="1:23" ht="24" customHeight="1">
      <c r="A19" s="121">
        <v>11</v>
      </c>
      <c r="B19" s="25" t="s">
        <v>62</v>
      </c>
      <c r="C19" s="155">
        <f>населення!C19+льготи!C19+субсидии!C19+'держ.бюджет'!C19+'місц.-район.бюджет'!C19+обласной!C19+'госпрозрахунк.'!C19</f>
        <v>44.1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1692.8</v>
      </c>
      <c r="H19" s="24">
        <f>населення!H19+льготи!H19+субсидии!H19+'держ.бюджет'!H19+'місц.-район.бюджет'!H19+обласной!H19+'госпрозрахунк.'!H19</f>
        <v>1447.3</v>
      </c>
      <c r="I19" s="18">
        <f t="shared" si="6"/>
        <v>85.49740075614368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245.5</v>
      </c>
      <c r="U19" s="16">
        <f t="shared" si="1"/>
        <v>289.5999999999999</v>
      </c>
      <c r="V19" s="24"/>
      <c r="W19" s="24"/>
    </row>
    <row r="20" spans="1:23" ht="24" customHeight="1">
      <c r="A20" s="121">
        <v>12</v>
      </c>
      <c r="B20" s="23" t="s">
        <v>88</v>
      </c>
      <c r="C20" s="155">
        <f>населення!C20+льготи!C20+субсидии!C20+'держ.бюджет'!C20+'місц.-район.бюджет'!C20+обласной!C20+'госпрозрахунк.'!C20</f>
        <v>2675.1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9678.800000000001</v>
      </c>
      <c r="H20" s="24">
        <f>населення!H20+льготи!H20+субсидии!H20+'держ.бюджет'!H20+'місц.-район.бюджет'!H20+обласной!H20+'госпрозрахунк.'!H20</f>
        <v>7797.099999999999</v>
      </c>
      <c r="I20" s="18">
        <f t="shared" si="6"/>
        <v>80.55854031491506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1881.7000000000016</v>
      </c>
      <c r="U20" s="16">
        <f t="shared" si="1"/>
        <v>4556.800000000002</v>
      </c>
      <c r="V20" s="24"/>
      <c r="W20" s="24"/>
    </row>
    <row r="21" spans="1:23" ht="24" customHeight="1">
      <c r="A21" s="120">
        <v>13</v>
      </c>
      <c r="B21" s="25" t="s">
        <v>63</v>
      </c>
      <c r="C21" s="155">
        <f>населення!C21+льготи!C21+субсидии!C21+'держ.бюджет'!C21+'місц.-район.бюджет'!C21+обласной!C21+'госпрозрахунк.'!C21</f>
        <v>-11.7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-10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10</v>
      </c>
      <c r="U21" s="16">
        <f t="shared" si="1"/>
        <v>-1.6999999999999993</v>
      </c>
      <c r="V21" s="24"/>
      <c r="W21" s="24"/>
    </row>
    <row r="22" spans="1:23" ht="24" customHeight="1">
      <c r="A22" s="121">
        <v>14</v>
      </c>
      <c r="B22" s="25" t="s">
        <v>64</v>
      </c>
      <c r="C22" s="155">
        <f>населення!C22+льготи!C22+субсидии!C22+'держ.бюджет'!C22+'місц.-район.бюджет'!C22+обласной!C22+'госпрозрахунк.'!C22</f>
        <v>-328.6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1612.2</v>
      </c>
      <c r="H22" s="24">
        <f>населення!H22+льготи!H22+субсидии!H22+'держ.бюджет'!H22+'місц.-район.бюджет'!H22+обласной!H22+'госпрозрахунк.'!H22</f>
        <v>1142.4</v>
      </c>
      <c r="I22" s="18">
        <f t="shared" si="6"/>
        <v>70.85969482694455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469.79999999999995</v>
      </c>
      <c r="U22" s="69">
        <f t="shared" si="1"/>
        <v>141.19999999999982</v>
      </c>
      <c r="V22" s="24">
        <f>U22+U38</f>
        <v>15036.60000000001</v>
      </c>
      <c r="W22" s="24"/>
    </row>
    <row r="23" spans="1:23" ht="36.75" customHeight="1">
      <c r="A23" s="121">
        <v>15</v>
      </c>
      <c r="B23" s="25" t="s">
        <v>65</v>
      </c>
      <c r="C23" s="155">
        <f>населення!C23+льготи!C23+субсидии!C23+'держ.бюджет'!C23+'місц.-район.бюджет'!C23+обласной!C23+'госпрозрахунк.'!C23</f>
        <v>124.10000000000001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4408.800000000001</v>
      </c>
      <c r="H23" s="24">
        <f>населення!H23+льготи!H23+субсидии!H23+'держ.бюджет'!H23+'місц.-район.бюджет'!H23+обласной!H23+'госпрозрахунк.'!H23</f>
        <v>4253.099999999999</v>
      </c>
      <c r="I23" s="18">
        <f t="shared" si="6"/>
        <v>96.468426782798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155.70000000000164</v>
      </c>
      <c r="U23" s="16">
        <f t="shared" si="1"/>
        <v>279.800000000002</v>
      </c>
      <c r="V23" s="24"/>
      <c r="W23" s="24"/>
    </row>
    <row r="24" spans="1:23" ht="24" customHeight="1">
      <c r="A24" s="121">
        <v>16</v>
      </c>
      <c r="B24" s="25" t="s">
        <v>66</v>
      </c>
      <c r="C24" s="251"/>
      <c r="D24" s="243" t="s">
        <v>86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  <c r="V24" s="24"/>
      <c r="W24" s="24"/>
    </row>
    <row r="25" spans="1:23" ht="34.5" customHeight="1">
      <c r="A25" s="121">
        <v>17</v>
      </c>
      <c r="B25" s="25" t="s">
        <v>67</v>
      </c>
      <c r="C25" s="155">
        <f>населення!C25+льготи!C25+субсидии!C25+'держ.бюджет'!C25+'місц.-район.бюджет'!C25+обласной!C25+'госпрозрахунк.'!C25</f>
        <v>6500.699999999999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20107.699999999997</v>
      </c>
      <c r="H25" s="24">
        <f>населення!H25+льготи!H25+субсидии!H25+'держ.бюджет'!H25+'місц.-район.бюджет'!H25+обласной!H25+'госпрозрахунк.'!H25</f>
        <v>21825.8</v>
      </c>
      <c r="I25" s="18">
        <f>H25/G25*100</f>
        <v>108.54448793248359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-1718.1000000000022</v>
      </c>
      <c r="U25" s="16">
        <f>C25+G25-H25</f>
        <v>4782.599999999995</v>
      </c>
      <c r="V25" s="24"/>
      <c r="W25" s="24"/>
    </row>
    <row r="26" spans="1:23" ht="22.5" customHeight="1">
      <c r="A26" s="121">
        <v>18</v>
      </c>
      <c r="B26" s="23" t="s">
        <v>68</v>
      </c>
      <c r="C26" s="155">
        <f>населення!C26+льготи!C26+субсидии!C26+'держ.бюджет'!C26+'місц.-район.бюджет'!C26+обласной!C26+'госпрозрахунк.'!C26</f>
        <v>-614.2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2937.7</v>
      </c>
      <c r="H26" s="24">
        <f>населення!H26+льготи!H26+субсидии!H26+'держ.бюджет'!H26+'місц.-район.бюджет'!H26+обласной!H26+'госпрозрахунк.'!H26</f>
        <v>2282.6000000000004</v>
      </c>
      <c r="I26" s="129">
        <f>H26/G26*100</f>
        <v>77.70024168567248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655.0999999999995</v>
      </c>
      <c r="U26" s="16">
        <f>C26+G26-H26</f>
        <v>40.899999999999636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69</v>
      </c>
      <c r="C27" s="155">
        <f>населення!C27+льготи!C27+субсидии!C27+'держ.бюджет'!C27+'місц.-район.бюджет'!C27+обласной!C27+'госпрозрахунк.'!C27</f>
        <v>1581.2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3848.6</v>
      </c>
      <c r="H27" s="24">
        <f>населення!H27+льготи!H27+субсидии!H27+'держ.бюджет'!H27+'місц.-район.бюджет'!H27+обласной!H27+'госпрозрахунк.'!H27</f>
        <v>3095.2</v>
      </c>
      <c r="I27" s="18">
        <f>H27/G27*100</f>
        <v>80.42405030400664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753.4000000000001</v>
      </c>
      <c r="U27" s="16">
        <f>C27+G27-H27</f>
        <v>2334.6000000000004</v>
      </c>
      <c r="V27" s="24"/>
      <c r="W27" s="24"/>
    </row>
    <row r="28" spans="1:23" ht="30" customHeight="1">
      <c r="A28" s="121">
        <v>20</v>
      </c>
      <c r="B28" s="25" t="s">
        <v>103</v>
      </c>
      <c r="C28" s="155">
        <f>населення!C28+льготи!C28+субсидии!C28+'держ.бюджет'!C28+'місц.-район.бюджет'!C28+обласной!C28+'госпрозрахунк.'!C28</f>
        <v>2520.9999999999995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10057.5</v>
      </c>
      <c r="H28" s="24">
        <f>населення!H28+льготи!H28+субсидии!H28+'держ.бюджет'!H28+'місц.-район.бюджет'!H28+обласной!H28+'госпрозрахунк.'!H28</f>
        <v>6774.5</v>
      </c>
      <c r="I28" s="129">
        <f>H28/G28*100</f>
        <v>67.35769326373354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3283</v>
      </c>
      <c r="U28" s="16">
        <f>C28+G28-H28</f>
        <v>5804</v>
      </c>
      <c r="V28" s="24"/>
      <c r="W28" s="24"/>
    </row>
    <row r="29" spans="1:23" ht="30.75" customHeight="1">
      <c r="A29" s="121">
        <v>21</v>
      </c>
      <c r="B29" s="23" t="s">
        <v>70</v>
      </c>
      <c r="C29" s="155">
        <f>населення!C29+льготи!C29+субсидии!C29+'держ.бюджет'!C29+'місц.-район.бюджет'!C29+обласной!C29+'госпрозрахунк.'!C29</f>
        <v>428.2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6561.6</v>
      </c>
      <c r="H29" s="24">
        <f>населення!H29+льготи!H29+субсидии!H29+'держ.бюджет'!H29+'місц.-район.бюджет'!H29+обласной!H29+'госпрозрахунк.'!H29</f>
        <v>5938</v>
      </c>
      <c r="I29" s="18">
        <f>H29/G29*100</f>
        <v>90.49622043404048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623.6000000000004</v>
      </c>
      <c r="U29" s="16">
        <f>C29+G29-H29</f>
        <v>1051.8000000000002</v>
      </c>
      <c r="V29" s="24">
        <f>170.1+1616.4</f>
        <v>1786.5</v>
      </c>
      <c r="W29" s="24"/>
    </row>
    <row r="30" spans="1:23" ht="24.75" customHeight="1">
      <c r="A30" s="121">
        <v>22</v>
      </c>
      <c r="B30" s="23" t="s">
        <v>71</v>
      </c>
      <c r="C30" s="252"/>
      <c r="D30" s="245" t="s">
        <v>86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V30" s="24"/>
      <c r="W30" s="24"/>
    </row>
    <row r="31" spans="1:23" ht="24.75" customHeight="1">
      <c r="A31" s="121">
        <v>23</v>
      </c>
      <c r="B31" s="25" t="s">
        <v>72</v>
      </c>
      <c r="C31" s="253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8"/>
      <c r="V31" s="24"/>
      <c r="W31" s="24"/>
    </row>
    <row r="32" spans="1:23" ht="24.75" customHeight="1">
      <c r="A32" s="121">
        <v>24</v>
      </c>
      <c r="B32" s="25" t="s">
        <v>73</v>
      </c>
      <c r="C32" s="254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50"/>
      <c r="V32" s="24"/>
      <c r="W32" s="24"/>
    </row>
    <row r="33" spans="1:23" ht="24.75" customHeight="1">
      <c r="A33" s="121">
        <v>25</v>
      </c>
      <c r="B33" s="25" t="s">
        <v>74</v>
      </c>
      <c r="C33" s="155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0"/>
      <c r="B34" s="25" t="s">
        <v>119</v>
      </c>
      <c r="C34" s="24">
        <f>населення!C34+льготи!C34+субсидии!C34+'держ.бюджет'!C34+'місц.-район.бюджет'!C34+обласной!C34+'госпрозрахунк.'!C34</f>
        <v>22045.1</v>
      </c>
      <c r="D34" s="24">
        <f>населення!D34+льготи!D34+субсидии!D34+'держ.бюджет'!D34+'місц.-район.бюджет'!D34+обласной!D34+'госпрозрахунк.'!D34</f>
        <v>17114.899999999998</v>
      </c>
      <c r="E34" s="24">
        <f>населення!E34+льготи!E34+субсидии!E34+'держ.бюджет'!E34+'місц.-район.бюджет'!E34+обласной!E34+'госпрозрахунк.'!E34</f>
        <v>16557</v>
      </c>
      <c r="F34" s="17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42213.2</v>
      </c>
      <c r="H34" s="24">
        <f>населення!H34+льготи!H34+субсидии!H34+'держ.бюджет'!H34+'місц.-район.бюджет'!H34+обласной!H34+'госпрозрахунк.'!H34</f>
        <v>34715.6</v>
      </c>
      <c r="I34" s="18">
        <f>H34/G34*100</f>
        <v>82.23873101304805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7497.5999999999985</v>
      </c>
      <c r="U34" s="16">
        <f aca="true" t="shared" si="11" ref="U34:U44">C34+G34-H34</f>
        <v>29542.699999999997</v>
      </c>
      <c r="V34" s="24"/>
      <c r="W34" s="24"/>
    </row>
    <row r="35" spans="1:23" ht="24.75" customHeight="1">
      <c r="A35" s="121"/>
      <c r="B35" s="25" t="s">
        <v>75</v>
      </c>
      <c r="C35" s="155">
        <f>населення!C35+льготи!C35+субсидии!C35+'держ.бюджет'!C35+'місц.-район.бюджет'!C35+обласной!C35+'госпрозрахунк.'!C35</f>
        <v>149.8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3018.6000000000004</v>
      </c>
      <c r="H35" s="24">
        <f>населення!H35+льготи!H35+субсидии!H35+'держ.бюджет'!H35+'місц.-район.бюджет'!H35+обласной!H35+'госпрозрахунк.'!H35</f>
        <v>3263.1</v>
      </c>
      <c r="I35" s="18">
        <f aca="true" t="shared" si="12" ref="I35:I44">H35/G35*100</f>
        <v>108.0997813555953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-244.49999999999955</v>
      </c>
      <c r="U35" s="16">
        <f t="shared" si="11"/>
        <v>-94.69999999999936</v>
      </c>
      <c r="V35" s="24"/>
      <c r="W35" s="24"/>
    </row>
    <row r="36" spans="1:23" ht="36.75" customHeight="1">
      <c r="A36" s="121">
        <v>26</v>
      </c>
      <c r="B36" s="25" t="s">
        <v>104</v>
      </c>
      <c r="C36" s="155">
        <f>населення!C36+льготи!C36+субсидии!C36+'держ.бюджет'!C36+'місц.-район.бюджет'!C36+обласной!C36+'госпрозрахунк.'!C36</f>
        <v>8451.199999999999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14004.7</v>
      </c>
      <c r="H36" s="24">
        <f>населення!H36+льготи!H36+субсидии!H36+'держ.бюджет'!H36+'місц.-район.бюджет'!H36+обласной!H36+'госпрозрахунк.'!H36</f>
        <v>11583.9</v>
      </c>
      <c r="I36" s="18">
        <f t="shared" si="12"/>
        <v>82.7143744600027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2420.800000000001</v>
      </c>
      <c r="U36" s="16">
        <f t="shared" si="11"/>
        <v>10872.000000000002</v>
      </c>
      <c r="V36" s="24"/>
      <c r="W36" s="24"/>
    </row>
    <row r="37" spans="1:23" ht="27.75" customHeight="1">
      <c r="A37" s="121">
        <v>27</v>
      </c>
      <c r="B37" s="23" t="s">
        <v>76</v>
      </c>
      <c r="C37" s="155">
        <f>населення!C37+льготи!C37+субсидии!C37+'держ.бюджет'!C37+'місц.-район.бюджет'!C37+обласной!C37+'госпрозрахунк.'!C37</f>
        <v>-311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v>282.9</v>
      </c>
      <c r="F37" s="40">
        <f t="shared" si="0"/>
        <v>10.85613415710503</v>
      </c>
      <c r="G37" s="24">
        <f>населення!G37+льготи!G37+субсидии!G37+'держ.бюджет'!G37+'місц.-район.бюджет'!G37+обласной!G37+'госпрозрахунк.'!G37</f>
        <v>5053</v>
      </c>
      <c r="H37" s="24">
        <f>населення!H37+льготи!H37+субсидии!H37+'держ.бюджет'!H37+'місц.-район.бюджет'!H37+обласной!H37+'госпрозрахунк.'!H37</f>
        <v>3005.5</v>
      </c>
      <c r="I37" s="18">
        <f t="shared" si="12"/>
        <v>59.479517118543434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2047.5</v>
      </c>
      <c r="U37" s="16">
        <f t="shared" si="11"/>
        <v>1736.5</v>
      </c>
      <c r="V37" s="24"/>
      <c r="W37" s="24"/>
    </row>
    <row r="38" spans="1:23" ht="24.75" customHeight="1">
      <c r="A38" s="121">
        <v>28</v>
      </c>
      <c r="B38" s="25" t="s">
        <v>77</v>
      </c>
      <c r="C38" s="155">
        <f>населення!C38+льготи!C38+субсидии!C38+'держ.бюджет'!C38+'місц.-район.бюджет'!C38+обласной!C38+'госпрозрахунк.'!C38</f>
        <v>14536.2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30619.9</v>
      </c>
      <c r="H38" s="24">
        <f>населення!H38+льготи!H38+субсидии!H38+'держ.бюджет'!H38+'місц.-район.бюджет'!H38+обласной!H38+'госпрозрахунк.'!H38</f>
        <v>30260.699999999997</v>
      </c>
      <c r="I38" s="18">
        <f t="shared" si="12"/>
        <v>98.82690668486832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359.20000000000437</v>
      </c>
      <c r="U38" s="69">
        <f t="shared" si="11"/>
        <v>14895.400000000009</v>
      </c>
      <c r="V38" s="24"/>
      <c r="W38" s="24"/>
    </row>
    <row r="39" spans="1:23" ht="22.5" customHeight="1">
      <c r="A39" s="121">
        <v>29</v>
      </c>
      <c r="B39" s="25" t="s">
        <v>78</v>
      </c>
      <c r="C39" s="155">
        <f>населення!C39+льготи!C39+субсидии!C39+'держ.бюджет'!C39+'місц.-район.бюджет'!C39+обласной!C39+'госпрозрахунк.'!C39</f>
        <v>21144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35945.50000000001</v>
      </c>
      <c r="H39" s="24">
        <f>населення!H39+льготи!H39+субсидии!H39+'держ.бюджет'!H39+'місц.-район.бюджет'!H39+обласной!H39+'госпрозрахунк.'!H39</f>
        <v>30865.5</v>
      </c>
      <c r="I39" s="18">
        <f t="shared" si="12"/>
        <v>85.86749384484843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5080.000000000007</v>
      </c>
      <c r="U39" s="16">
        <f t="shared" si="11"/>
        <v>26224.000000000007</v>
      </c>
      <c r="V39" s="24"/>
      <c r="W39" s="24"/>
    </row>
    <row r="40" spans="1:23" ht="39" customHeight="1">
      <c r="A40" s="121">
        <v>30</v>
      </c>
      <c r="B40" s="25" t="s">
        <v>105</v>
      </c>
      <c r="C40" s="155">
        <f>населення!C40+льготи!C40+субсидии!C40+'держ.бюджет'!C40+'місц.-район.бюджет'!C40+обласной!C40+'госпрозрахунк.'!C40</f>
        <v>60803.5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67645</v>
      </c>
      <c r="H40" s="24">
        <f>населення!H40+льготи!H40+субсидии!H40+'держ.бюджет'!H40+'місц.-район.бюджет'!H40+обласной!H40+'госпрозрахунк.'!H40</f>
        <v>71628.7</v>
      </c>
      <c r="I40" s="18">
        <f t="shared" si="12"/>
        <v>105.8891270603888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-3983.699999999997</v>
      </c>
      <c r="U40" s="16">
        <f t="shared" si="11"/>
        <v>56819.8</v>
      </c>
      <c r="V40" s="24"/>
      <c r="W40" s="24"/>
    </row>
    <row r="41" spans="1:23" ht="24.75" customHeight="1">
      <c r="A41" s="121">
        <v>31</v>
      </c>
      <c r="B41" s="25" t="s">
        <v>79</v>
      </c>
      <c r="C41" s="155">
        <f>населення!C41+льготи!C41+субсидии!C41+'держ.бюджет'!C41+'місц.-район.бюджет'!C41+обласной!C41+'госпрозрахунк.'!C41</f>
        <v>337.09999999999997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1379.1000000000001</v>
      </c>
      <c r="H41" s="24">
        <f>населення!H41+льготи!H41+субсидии!H41+'держ.бюджет'!H41+'місц.-район.бюджет'!H41+обласной!H41+'госпрозрахунк.'!H41</f>
        <v>779.1</v>
      </c>
      <c r="I41" s="18">
        <f t="shared" si="12"/>
        <v>56.49336523819882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600.0000000000001</v>
      </c>
      <c r="U41" s="16">
        <f t="shared" si="11"/>
        <v>937.1</v>
      </c>
      <c r="V41" s="24"/>
      <c r="W41" s="24"/>
    </row>
    <row r="42" spans="1:23" ht="37.5" customHeight="1">
      <c r="A42" s="121">
        <v>32</v>
      </c>
      <c r="B42" s="23" t="s">
        <v>80</v>
      </c>
      <c r="C42" s="155">
        <f>населення!C42+льготи!C42+субсидии!C42+'держ.бюджет'!C42+'місц.-район.бюджет'!C42+обласной!C42+'госпрозрахунк.'!C42</f>
        <v>18523.3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27889.5</v>
      </c>
      <c r="H42" s="24">
        <f>населення!H42+льготи!H42+субсидии!H42+'держ.бюджет'!H42+'місц.-район.бюджет'!H42+обласной!H42+'госпрозрахунк.'!H42</f>
        <v>29614.300000000007</v>
      </c>
      <c r="I42" s="18">
        <f t="shared" si="12"/>
        <v>106.18440631778986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-1724.8000000000065</v>
      </c>
      <c r="U42" s="16">
        <f t="shared" si="11"/>
        <v>16798.499999999996</v>
      </c>
      <c r="V42" s="24"/>
      <c r="W42" s="24"/>
    </row>
    <row r="43" spans="1:23" ht="24.75" customHeight="1">
      <c r="A43" s="121">
        <v>33</v>
      </c>
      <c r="B43" s="25" t="s">
        <v>81</v>
      </c>
      <c r="C43" s="155">
        <f>населення!C43+льготи!C43+субсидии!C43+'держ.бюджет'!C43+'місц.-район.бюджет'!C43+обласной!C43+'госпрозрахунк.'!C43</f>
        <v>10662.300000000001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32429.4</v>
      </c>
      <c r="H43" s="24">
        <f>населення!H43+льготи!H43+субсидии!H43+'держ.бюджет'!H43+'місц.-район.бюджет'!H43+обласной!H43+'госпрозрахунк.'!H43</f>
        <v>33370.1</v>
      </c>
      <c r="I43" s="18">
        <f t="shared" si="12"/>
        <v>102.90076288799668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-940.6999999999971</v>
      </c>
      <c r="U43" s="16">
        <f t="shared" si="11"/>
        <v>9721.600000000006</v>
      </c>
      <c r="V43" s="24"/>
      <c r="W43" s="24"/>
    </row>
    <row r="44" spans="1:23" s="7" customFormat="1" ht="24.75" customHeight="1">
      <c r="A44" s="156">
        <v>34</v>
      </c>
      <c r="B44" s="6" t="s">
        <v>82</v>
      </c>
      <c r="C44" s="154">
        <f>SUM(C45:C47)</f>
        <v>1516241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2067915</v>
      </c>
      <c r="H44" s="16">
        <f>SUM(H45:H47)</f>
        <v>1936881</v>
      </c>
      <c r="I44" s="17">
        <f t="shared" si="12"/>
        <v>93.66347262822698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179792.8</v>
      </c>
      <c r="U44" s="59">
        <f t="shared" si="11"/>
        <v>1647275</v>
      </c>
      <c r="V44" s="24"/>
      <c r="W44" s="16"/>
    </row>
    <row r="45" spans="1:24" s="7" customFormat="1" ht="25.5" customHeight="1">
      <c r="A45" s="156"/>
      <c r="B45" s="23" t="s">
        <v>83</v>
      </c>
      <c r="C45" s="155">
        <f>населення!C45+льготи!C45+субсидии!C45+'держ.бюджет'!C45+'місц.-район.бюджет'!C45+обласной!C45+'госпрозрахунк.'!C45</f>
        <v>1499442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1994088</v>
      </c>
      <c r="H45" s="24">
        <f>населення!H45+льготи!H45+субсидии!H45+'держ.бюджет'!H45+'місц.-район.бюджет'!H45+обласной!H45+'госпрозрахунк.'!H45</f>
        <v>1856392</v>
      </c>
      <c r="I45" s="18">
        <f>H45/G45*100</f>
        <v>93.09478819390117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137696</v>
      </c>
      <c r="U45" s="24">
        <f>C45+G45-H45</f>
        <v>1637138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84</v>
      </c>
      <c r="C46" s="155">
        <f>населення!C46+льготи!C46+субсидии!C46+'держ.бюджет'!C46+'місц.-район.бюджет'!C46+обласной!C46+'госпрозрахунк.'!C46</f>
        <v>16414.600000000002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54686.8</v>
      </c>
      <c r="H46" s="24">
        <f>населення!H46+льготи!H46+субсидии!H46+'держ.бюджет'!H46+'місц.-район.бюджет'!H46+обласной!H46+'госпрозрахунк.'!H46</f>
        <v>63211.899999999994</v>
      </c>
      <c r="I46" s="18">
        <f>H46/G46*100</f>
        <v>115.58895382432321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-8525.099999999991</v>
      </c>
      <c r="U46" s="24">
        <f>C46+G46-H46</f>
        <v>7889.500000000015</v>
      </c>
      <c r="V46" s="24"/>
      <c r="W46" s="24"/>
      <c r="X46" s="1"/>
    </row>
    <row r="47" spans="1:24" s="7" customFormat="1" ht="24.75" customHeight="1">
      <c r="A47" s="122"/>
      <c r="B47" s="23" t="s">
        <v>75</v>
      </c>
      <c r="C47" s="155">
        <f>населення!C47+льготи!C47+субсидии!C47+'держ.бюджет'!C47+'місц.-район.бюджет'!C47+обласной!C47+'госпрозрахунк.'!C47</f>
        <v>384.4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19140.2</v>
      </c>
      <c r="H47" s="24">
        <f>населення!H47+льготи!H47+субсидии!H47+'держ.бюджет'!H47+'місц.-район.бюджет'!H47+обласной!H47+'госпрозрахунк.'!H47</f>
        <v>17277.100000000002</v>
      </c>
      <c r="I47" s="18">
        <f>H47/G47*100</f>
        <v>90.26603692751382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1863.0999999999985</v>
      </c>
      <c r="U47" s="24">
        <f>C47+G47-H47</f>
        <v>2247.5</v>
      </c>
      <c r="V47" s="24"/>
      <c r="W47" s="24"/>
      <c r="X47" s="1"/>
    </row>
    <row r="48" spans="1:23" s="7" customFormat="1" ht="24.75" customHeight="1">
      <c r="A48" s="156"/>
      <c r="B48" s="6" t="s">
        <v>85</v>
      </c>
      <c r="C48" s="154">
        <f>C8+C44</f>
        <v>1709789.2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2463220.4</v>
      </c>
      <c r="H48" s="16">
        <f>H8+H44</f>
        <v>2308870.4</v>
      </c>
      <c r="I48" s="17">
        <f>H48/G48*100</f>
        <v>93.73381285734723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243730.39999999997</v>
      </c>
      <c r="U48" s="59">
        <f>C48+G48-H48</f>
        <v>1864139.1999999997</v>
      </c>
      <c r="V48" s="24"/>
      <c r="W48" s="16"/>
    </row>
    <row r="49" spans="1:23" s="7" customFormat="1" ht="24.7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6"/>
      <c r="W49" s="6"/>
    </row>
    <row r="50" spans="1:23" s="7" customFormat="1" ht="15.75" customHeight="1" hidden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1"/>
      <c r="W50" s="6"/>
    </row>
    <row r="51" spans="1:23" s="7" customFormat="1" ht="6.75" customHeight="1" hidden="1">
      <c r="A51" s="100"/>
      <c r="B51" s="56"/>
      <c r="C51" s="162"/>
      <c r="D51" s="163"/>
      <c r="E51" s="16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56"/>
      <c r="B52" s="7" t="s">
        <v>90</v>
      </c>
      <c r="C52" s="164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5"/>
      <c r="B53" s="7"/>
      <c r="C53" s="164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56"/>
      <c r="B54" s="7" t="s">
        <v>91</v>
      </c>
      <c r="C54" s="164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66"/>
      <c r="D55" s="167"/>
      <c r="E55" s="167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76" customFormat="1" ht="47.25" customHeight="1">
      <c r="A56" s="168"/>
      <c r="B56" s="215" t="s">
        <v>116</v>
      </c>
      <c r="C56" s="215"/>
      <c r="D56" s="215"/>
      <c r="E56" s="215"/>
      <c r="F56" s="215"/>
      <c r="G56" s="169"/>
      <c r="H56" s="169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2"/>
      <c r="U56" s="173" t="s">
        <v>115</v>
      </c>
      <c r="V56" s="174"/>
      <c r="W56" s="175"/>
    </row>
    <row r="57" spans="1:23" ht="73.5" customHeight="1" hidden="1">
      <c r="A57" s="196" t="s">
        <v>114</v>
      </c>
      <c r="B57" s="196"/>
      <c r="C57" s="196"/>
      <c r="D57" s="196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1"/>
      <c r="W57" s="1"/>
    </row>
    <row r="58" spans="2:21" ht="18.75">
      <c r="B58" s="1" t="s">
        <v>42</v>
      </c>
      <c r="C58" s="155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4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tabSelected="1" view="pageBreakPreview" zoomScale="75" zoomScaleNormal="75" zoomScaleSheetLayoutView="75" zoomScalePageLayoutView="0" workbookViewId="0" topLeftCell="A2">
      <pane xSplit="4" ySplit="7" topLeftCell="G1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1" ht="18.75">
      <c r="B2" s="228" t="s">
        <v>99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2:21" ht="18.75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18.75">
      <c r="B4" s="220"/>
      <c r="C4" s="220"/>
      <c r="D4" s="14"/>
      <c r="E4" s="14"/>
      <c r="F4" s="14"/>
      <c r="U4" s="74" t="s">
        <v>53</v>
      </c>
    </row>
    <row r="5" spans="1:21" ht="36.75" customHeight="1">
      <c r="A5" s="117"/>
      <c r="B5" s="3"/>
      <c r="C5" s="221" t="s">
        <v>1</v>
      </c>
      <c r="D5" s="223" t="s">
        <v>108</v>
      </c>
      <c r="E5" s="224"/>
      <c r="F5" s="22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</row>
    <row r="6" spans="1:21" ht="18.75">
      <c r="A6" s="4" t="s">
        <v>39</v>
      </c>
      <c r="B6" s="4" t="s">
        <v>49</v>
      </c>
      <c r="C6" s="222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</row>
    <row r="7" spans="1:21" ht="38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</row>
    <row r="8" spans="1:23" s="7" customFormat="1" ht="36" customHeight="1">
      <c r="A8" s="119"/>
      <c r="B8" s="75" t="s">
        <v>54</v>
      </c>
      <c r="C8" s="66">
        <f>SUM(C9:C43)</f>
        <v>144051.2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70237.40000000001</v>
      </c>
      <c r="H8" s="17">
        <f>SUM(H9:H43)</f>
        <v>80887.8</v>
      </c>
      <c r="I8" s="17">
        <f>H8/G8*100</f>
        <v>115.1634314482028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1404.8999999999992</v>
      </c>
      <c r="U8" s="105">
        <f>SUMIF(U9:U43,"&gt;0",U9:U43)</f>
        <v>133710.2</v>
      </c>
      <c r="V8" s="105">
        <f>SUMIF(T9:T43,"&lt;0",T9:T43)</f>
        <v>-12055.3</v>
      </c>
      <c r="W8" s="105">
        <f>SUMIF(U9:U43,"&lt;0",U9:U43)</f>
        <v>-309.3999999999999</v>
      </c>
    </row>
    <row r="9" spans="1:21" ht="36.75" customHeight="1">
      <c r="A9" s="120">
        <v>1</v>
      </c>
      <c r="B9" s="23" t="s">
        <v>55</v>
      </c>
      <c r="C9" s="41">
        <v>11503.9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7463.3</v>
      </c>
      <c r="H9" s="18">
        <v>7974.9</v>
      </c>
      <c r="I9" s="18">
        <f aca="true" t="shared" si="1" ref="I9:I28">H9/G9*100</f>
        <v>106.8548765291493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-511.59999999999945</v>
      </c>
      <c r="U9" s="16">
        <f aca="true" t="shared" si="2" ref="U9:U22">C9+G9-H9</f>
        <v>10992.300000000001</v>
      </c>
    </row>
    <row r="10" spans="1:21" ht="41.25" customHeight="1">
      <c r="A10" s="120">
        <v>2</v>
      </c>
      <c r="B10" s="53" t="s">
        <v>89</v>
      </c>
      <c r="C10" s="41">
        <v>40.8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23.5</v>
      </c>
      <c r="H10" s="18">
        <v>50.2</v>
      </c>
      <c r="I10" s="18">
        <f t="shared" si="1"/>
        <v>213.61702127659578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-26.700000000000003</v>
      </c>
      <c r="U10" s="16">
        <f t="shared" si="2"/>
        <v>14.099999999999994</v>
      </c>
    </row>
    <row r="11" spans="1:21" ht="35.25" customHeight="1">
      <c r="A11" s="120">
        <v>3</v>
      </c>
      <c r="B11" s="25" t="s">
        <v>106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56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87</v>
      </c>
      <c r="C13" s="41">
        <v>108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507.7</v>
      </c>
      <c r="H13" s="18">
        <v>919.3</v>
      </c>
      <c r="I13" s="18">
        <f t="shared" si="1"/>
        <v>181.07149891668308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-411.59999999999997</v>
      </c>
      <c r="U13" s="16">
        <f t="shared" si="2"/>
        <v>-303.5999999999999</v>
      </c>
    </row>
    <row r="14" spans="1:21" ht="24" customHeight="1">
      <c r="A14" s="120">
        <v>6</v>
      </c>
      <c r="B14" s="23" t="s">
        <v>57</v>
      </c>
      <c r="C14" s="41">
        <v>96.9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20.7</v>
      </c>
      <c r="H14" s="18">
        <v>21.8</v>
      </c>
      <c r="I14" s="18">
        <f t="shared" si="1"/>
        <v>105.31400966183575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-1.1000000000000014</v>
      </c>
      <c r="U14" s="16">
        <f t="shared" si="2"/>
        <v>95.80000000000001</v>
      </c>
    </row>
    <row r="15" spans="1:21" ht="24" customHeight="1">
      <c r="A15" s="120">
        <v>7</v>
      </c>
      <c r="B15" s="23" t="s">
        <v>58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59</v>
      </c>
      <c r="C16" s="41">
        <v>812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1848.2</v>
      </c>
      <c r="H16" s="18">
        <v>2270.5</v>
      </c>
      <c r="I16" s="18">
        <f t="shared" si="1"/>
        <v>122.84925873823178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-422.29999999999995</v>
      </c>
      <c r="U16" s="16">
        <f t="shared" si="2"/>
        <v>389.6999999999998</v>
      </c>
    </row>
    <row r="17" spans="1:21" ht="24" customHeight="1">
      <c r="A17" s="120">
        <v>9</v>
      </c>
      <c r="B17" s="23" t="s">
        <v>60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61</v>
      </c>
      <c r="C18" s="41">
        <v>4603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1395.1</v>
      </c>
      <c r="H18" s="18">
        <v>1290.4</v>
      </c>
      <c r="I18" s="18">
        <f t="shared" si="1"/>
        <v>92.49516163715865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104.69999999999982</v>
      </c>
      <c r="U18" s="16">
        <f t="shared" si="2"/>
        <v>4707.700000000001</v>
      </c>
    </row>
    <row r="19" spans="1:21" ht="24" customHeight="1">
      <c r="A19" s="120">
        <v>11</v>
      </c>
      <c r="B19" s="25" t="s">
        <v>62</v>
      </c>
      <c r="C19" s="41">
        <v>-0.6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-3.6</v>
      </c>
      <c r="H19" s="18">
        <v>1.6</v>
      </c>
      <c r="I19" s="18">
        <f t="shared" si="1"/>
        <v>-44.44444444444445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-5.2</v>
      </c>
      <c r="U19" s="16">
        <f t="shared" si="2"/>
        <v>-5.800000000000001</v>
      </c>
    </row>
    <row r="20" spans="1:21" ht="24" customHeight="1">
      <c r="A20" s="120">
        <v>12</v>
      </c>
      <c r="B20" s="23" t="s">
        <v>88</v>
      </c>
      <c r="C20" s="41">
        <v>2026.2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935.3</v>
      </c>
      <c r="H20" s="18">
        <v>1177.1</v>
      </c>
      <c r="I20" s="18">
        <f t="shared" si="1"/>
        <v>125.85266759328557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-241.79999999999995</v>
      </c>
      <c r="U20" s="16">
        <f t="shared" si="2"/>
        <v>1784.4</v>
      </c>
    </row>
    <row r="21" spans="1:21" ht="24" customHeight="1">
      <c r="A21" s="120">
        <v>13</v>
      </c>
      <c r="B21" s="25" t="s">
        <v>63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64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65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66</v>
      </c>
      <c r="C24" s="41"/>
      <c r="D24" s="177" t="s">
        <v>100</v>
      </c>
      <c r="E24" s="178"/>
      <c r="F24" s="178"/>
      <c r="G24" s="178" t="s">
        <v>100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9"/>
    </row>
    <row r="25" spans="1:21" ht="36.75" customHeight="1">
      <c r="A25" s="120">
        <v>17</v>
      </c>
      <c r="B25" s="25" t="s">
        <v>67</v>
      </c>
      <c r="C25" s="41">
        <v>4243.5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4529.6</v>
      </c>
      <c r="H25" s="18">
        <v>5189.6</v>
      </c>
      <c r="I25" s="18">
        <f t="shared" si="1"/>
        <v>114.57082303073119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-660</v>
      </c>
      <c r="U25" s="16">
        <f>C25+G25-H25</f>
        <v>3583.5</v>
      </c>
    </row>
    <row r="26" spans="1:21" ht="24" customHeight="1">
      <c r="A26" s="120">
        <v>18</v>
      </c>
      <c r="B26" s="23" t="s">
        <v>68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69</v>
      </c>
      <c r="C27" s="41">
        <v>1527.4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305.5</v>
      </c>
      <c r="H27" s="18">
        <v>325.5</v>
      </c>
      <c r="I27" s="18">
        <f t="shared" si="1"/>
        <v>106.54664484451719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-20</v>
      </c>
      <c r="U27" s="16">
        <f>C27+G27-H27</f>
        <v>1507.4</v>
      </c>
    </row>
    <row r="28" spans="1:21" ht="36.75" customHeight="1">
      <c r="A28" s="120">
        <v>20</v>
      </c>
      <c r="B28" s="25" t="s">
        <v>103</v>
      </c>
      <c r="C28" s="41">
        <v>314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711.3</v>
      </c>
      <c r="H28" s="18">
        <v>660.1</v>
      </c>
      <c r="I28" s="18">
        <f t="shared" si="1"/>
        <v>92.80191199212709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51.19999999999993</v>
      </c>
      <c r="U28" s="16">
        <f>C28+G28-H28</f>
        <v>365.19999999999993</v>
      </c>
    </row>
    <row r="29" spans="1:21" ht="36.75" customHeight="1">
      <c r="A29" s="120">
        <v>21</v>
      </c>
      <c r="B29" s="23" t="s">
        <v>70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71</v>
      </c>
      <c r="C30" s="71"/>
      <c r="D30" s="180" t="s">
        <v>100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24" customHeight="1">
      <c r="A31" s="120">
        <v>23</v>
      </c>
      <c r="B31" s="25" t="s">
        <v>72</v>
      </c>
      <c r="C31" s="72"/>
      <c r="D31" s="182"/>
      <c r="E31" s="182"/>
      <c r="F31" s="182"/>
      <c r="G31" s="226" t="s">
        <v>100</v>
      </c>
      <c r="H31" s="226"/>
      <c r="I31" s="226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</row>
    <row r="32" spans="1:21" ht="24" customHeight="1">
      <c r="A32" s="120">
        <v>24</v>
      </c>
      <c r="B32" s="25" t="s">
        <v>73</v>
      </c>
      <c r="C32" s="7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5"/>
    </row>
    <row r="33" spans="1:21" ht="24" customHeight="1">
      <c r="A33" s="120">
        <v>25</v>
      </c>
      <c r="B33" s="25" t="s">
        <v>74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119</v>
      </c>
      <c r="C34" s="41">
        <v>19942.3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8970.1</v>
      </c>
      <c r="H34" s="18">
        <v>8140.1</v>
      </c>
      <c r="I34" s="18">
        <f>H34/G34*100</f>
        <v>90.74703737973935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830</v>
      </c>
      <c r="U34" s="16">
        <f aca="true" t="shared" si="10" ref="U34:U47">C34+G34-H34</f>
        <v>20772.300000000003</v>
      </c>
    </row>
    <row r="35" spans="1:21" ht="24.75" customHeight="1">
      <c r="A35" s="121"/>
      <c r="B35" s="25" t="s">
        <v>75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104</v>
      </c>
      <c r="C36" s="41">
        <v>5609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2690</v>
      </c>
      <c r="H36" s="18">
        <v>2924.4</v>
      </c>
      <c r="I36" s="18">
        <f aca="true" t="shared" si="12" ref="I36:I48">H36/G36*100</f>
        <v>108.71375464684014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-234.4000000000001</v>
      </c>
      <c r="U36" s="16">
        <f t="shared" si="10"/>
        <v>5374.6</v>
      </c>
    </row>
    <row r="37" spans="1:21" ht="24" customHeight="1">
      <c r="A37" s="120">
        <v>27</v>
      </c>
      <c r="B37" s="23" t="s">
        <v>76</v>
      </c>
      <c r="C37" s="41">
        <v>54.9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0.3</v>
      </c>
      <c r="H37" s="18">
        <v>0.7</v>
      </c>
      <c r="I37" s="18">
        <f t="shared" si="12"/>
        <v>233.33333333333334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-0.39999999999999997</v>
      </c>
      <c r="U37" s="16">
        <f t="shared" si="10"/>
        <v>54.49999999999999</v>
      </c>
    </row>
    <row r="38" spans="1:21" ht="24" customHeight="1">
      <c r="A38" s="120">
        <v>28</v>
      </c>
      <c r="B38" s="25" t="s">
        <v>77</v>
      </c>
      <c r="C38" s="41">
        <f>10095.2-3.1</f>
        <v>10092.1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4181</v>
      </c>
      <c r="H38" s="18">
        <v>5988.1</v>
      </c>
      <c r="I38" s="18">
        <f t="shared" si="12"/>
        <v>143.22171729251377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-1807.1000000000004</v>
      </c>
      <c r="U38" s="16">
        <f t="shared" si="10"/>
        <v>8285</v>
      </c>
    </row>
    <row r="39" spans="1:21" ht="24" customHeight="1">
      <c r="A39" s="120">
        <v>29</v>
      </c>
      <c r="B39" s="25" t="s">
        <v>78</v>
      </c>
      <c r="C39" s="41">
        <v>16503.1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5384.1</v>
      </c>
      <c r="H39" s="18">
        <v>5075.9</v>
      </c>
      <c r="I39" s="18">
        <f t="shared" si="12"/>
        <v>94.27573782061997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308.2000000000007</v>
      </c>
      <c r="U39" s="16">
        <f t="shared" si="10"/>
        <v>16811.299999999996</v>
      </c>
    </row>
    <row r="40" spans="1:21" ht="36.75" customHeight="1">
      <c r="A40" s="120">
        <v>30</v>
      </c>
      <c r="B40" s="25" t="s">
        <v>105</v>
      </c>
      <c r="C40" s="41">
        <v>45001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14325.2</v>
      </c>
      <c r="H40" s="18">
        <v>18851.6</v>
      </c>
      <c r="I40" s="18">
        <f t="shared" si="12"/>
        <v>131.59746460782395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-4526.399999999998</v>
      </c>
      <c r="U40" s="16">
        <f t="shared" si="10"/>
        <v>40474.6</v>
      </c>
    </row>
    <row r="41" spans="1:21" ht="24" customHeight="1">
      <c r="A41" s="120">
        <v>31</v>
      </c>
      <c r="B41" s="25" t="s">
        <v>79</v>
      </c>
      <c r="C41" s="41">
        <v>280.1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31.3</v>
      </c>
      <c r="H41" s="18">
        <v>24.2</v>
      </c>
      <c r="I41" s="18">
        <f t="shared" si="12"/>
        <v>77.31629392971246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7.100000000000001</v>
      </c>
      <c r="U41" s="16">
        <f t="shared" si="10"/>
        <v>287.20000000000005</v>
      </c>
    </row>
    <row r="42" spans="1:21" ht="37.5">
      <c r="A42" s="120">
        <v>32</v>
      </c>
      <c r="B42" s="23" t="s">
        <v>80</v>
      </c>
      <c r="C42" s="41">
        <v>14219.9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9156.9</v>
      </c>
      <c r="H42" s="18">
        <v>9053.2</v>
      </c>
      <c r="I42" s="18">
        <f t="shared" si="12"/>
        <v>98.86752066747482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103.69999999999891</v>
      </c>
      <c r="U42" s="16">
        <f t="shared" si="10"/>
        <v>14323.599999999999</v>
      </c>
    </row>
    <row r="43" spans="1:21" ht="24" customHeight="1">
      <c r="A43" s="120">
        <v>33</v>
      </c>
      <c r="B43" s="25" t="s">
        <v>81</v>
      </c>
      <c r="C43" s="41">
        <v>6984.9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7761.9</v>
      </c>
      <c r="H43" s="18">
        <v>10948.6</v>
      </c>
      <c r="I43" s="18">
        <f t="shared" si="12"/>
        <v>141.05566935930636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-3186.7000000000007</v>
      </c>
      <c r="U43" s="16">
        <f t="shared" si="10"/>
        <v>3798.199999999999</v>
      </c>
    </row>
    <row r="44" spans="1:23" s="7" customFormat="1" ht="24.75" customHeight="1">
      <c r="A44" s="122">
        <v>34</v>
      </c>
      <c r="B44" s="6" t="s">
        <v>82</v>
      </c>
      <c r="C44" s="42">
        <f>C45+C46</f>
        <v>1042444.6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1012354.4</v>
      </c>
      <c r="H44" s="16">
        <f>H45+H46</f>
        <v>981572.2</v>
      </c>
      <c r="I44" s="17">
        <f t="shared" si="12"/>
        <v>96.95934546241908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31069</v>
      </c>
      <c r="U44" s="105">
        <f>SUM(U45:U47)</f>
        <v>1073226.8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83</v>
      </c>
      <c r="C45" s="41">
        <v>1026634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994120</v>
      </c>
      <c r="H45" s="18">
        <f>925059+37992</f>
        <v>963051</v>
      </c>
      <c r="I45" s="18">
        <f t="shared" si="12"/>
        <v>96.8747233734358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31069</v>
      </c>
      <c r="U45" s="24">
        <f t="shared" si="10"/>
        <v>1057703</v>
      </c>
    </row>
    <row r="46" spans="1:21" s="7" customFormat="1" ht="24.75" customHeight="1">
      <c r="A46" s="122"/>
      <c r="B46" s="23" t="s">
        <v>84</v>
      </c>
      <c r="C46" s="41">
        <v>15810.6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18234.4</v>
      </c>
      <c r="H46" s="18">
        <v>18521.2</v>
      </c>
      <c r="I46" s="18">
        <f t="shared" si="12"/>
        <v>101.5728513139999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-286.7999999999993</v>
      </c>
      <c r="U46" s="24">
        <f t="shared" si="10"/>
        <v>15523.8</v>
      </c>
    </row>
    <row r="47" spans="1:21" s="7" customFormat="1" ht="24.75" customHeight="1">
      <c r="A47" s="122"/>
      <c r="B47" s="23" t="s">
        <v>75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85</v>
      </c>
      <c r="C48" s="42">
        <f>C8+C44</f>
        <v>1186495.8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1082591.8</v>
      </c>
      <c r="H48" s="16">
        <f>H8+H44</f>
        <v>1062460</v>
      </c>
      <c r="I48" s="17">
        <f t="shared" si="12"/>
        <v>98.14040712298024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32473.899999999998</v>
      </c>
      <c r="U48" s="59">
        <f>U8+U44</f>
        <v>1206937</v>
      </c>
      <c r="V48" s="111">
        <f>V8+V44</f>
        <v>-12343.599999999999</v>
      </c>
      <c r="W48" s="111">
        <f>W8+W44</f>
        <v>-309.3999999999999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90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91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196" t="s">
        <v>114</v>
      </c>
      <c r="B53" s="196"/>
      <c r="C53" s="196"/>
      <c r="D53" s="196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109</v>
      </c>
      <c r="V53" s="9"/>
      <c r="W53" s="9"/>
      <c r="X53" s="9"/>
      <c r="Y53" s="9"/>
      <c r="Z53" s="9"/>
      <c r="AA53" s="64"/>
      <c r="AB53" s="76" t="s">
        <v>109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50" customFormat="1" ht="80.25" customHeight="1">
      <c r="A55" s="142"/>
      <c r="B55" s="227" t="s">
        <v>116</v>
      </c>
      <c r="C55" s="227"/>
      <c r="D55" s="227"/>
      <c r="E55" s="227"/>
      <c r="F55" s="227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42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43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44</v>
      </c>
      <c r="C61" s="44">
        <f>C10+C18+C21+C27+C37+C39+C41</f>
        <v>23009.399999999998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23382.3</v>
      </c>
    </row>
    <row r="62" spans="2:21" ht="18.75">
      <c r="B62" s="1" t="s">
        <v>45</v>
      </c>
      <c r="C62" s="44">
        <f>C12+C14+C15+C17+C19+C20+C26</f>
        <v>2123.7000000000003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1875.6000000000001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1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6.125" style="1" customWidth="1"/>
    <col min="2" max="2" width="57.25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4" ht="18.75">
      <c r="B2" s="228" t="s">
        <v>101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X2" s="229"/>
    </row>
    <row r="3" spans="2:24" ht="18.75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X3" s="229"/>
    </row>
    <row r="4" spans="2:24" ht="18.75">
      <c r="B4" s="220"/>
      <c r="C4" s="220"/>
      <c r="D4" s="220"/>
      <c r="E4" s="220"/>
      <c r="F4" s="220"/>
      <c r="U4" s="74" t="s">
        <v>53</v>
      </c>
      <c r="X4" s="229"/>
    </row>
    <row r="5" spans="1:25" ht="36.75" customHeight="1">
      <c r="A5" s="3"/>
      <c r="B5" s="3"/>
      <c r="C5" s="221" t="s">
        <v>1</v>
      </c>
      <c r="D5" s="233" t="s">
        <v>108</v>
      </c>
      <c r="E5" s="234"/>
      <c r="F5" s="23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  <c r="V5" s="231"/>
      <c r="W5" s="231"/>
      <c r="X5" s="230"/>
      <c r="Y5" s="229"/>
    </row>
    <row r="6" spans="1:25" ht="18.75">
      <c r="A6" s="5" t="s">
        <v>39</v>
      </c>
      <c r="B6" s="4" t="s">
        <v>2</v>
      </c>
      <c r="C6" s="222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  <c r="V6" s="231"/>
      <c r="W6" s="231"/>
      <c r="X6" s="230"/>
      <c r="Y6" s="229"/>
    </row>
    <row r="7" spans="1:25" ht="39.75" customHeight="1">
      <c r="A7" s="22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  <c r="V7" s="231"/>
      <c r="W7" s="231"/>
      <c r="X7" s="230"/>
      <c r="Y7" s="229"/>
    </row>
    <row r="8" spans="1:34" s="7" customFormat="1" ht="36" customHeight="1">
      <c r="A8" s="13"/>
      <c r="B8" s="8" t="s">
        <v>7</v>
      </c>
      <c r="C8" s="40">
        <f>SUM(C9:C43)</f>
        <v>6264.7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12891.5</v>
      </c>
      <c r="H8" s="17">
        <f>SUM(H9:H43)</f>
        <v>15036.1</v>
      </c>
      <c r="I8" s="17">
        <f aca="true" t="shared" si="1" ref="I8:I45">H8/G8*100</f>
        <v>116.6357677539464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604.5</v>
      </c>
      <c r="U8" s="59">
        <f>SUMIF(U9:U43,"&gt;0",U9:U43)</f>
        <v>4120.1</v>
      </c>
      <c r="V8" s="140">
        <f>SUMIF(T9:T43,"&lt;0",T9:T43)</f>
        <v>-2749.1</v>
      </c>
      <c r="W8" s="105">
        <f>SUMIF(U9:U43,"&lt;0",U9:U43)</f>
        <v>0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883.4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1240.7</v>
      </c>
      <c r="H9" s="18">
        <v>1731.5</v>
      </c>
      <c r="I9" s="18">
        <f t="shared" si="1"/>
        <v>139.5583138550818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-490.79999999999995</v>
      </c>
      <c r="U9" s="16">
        <f aca="true" t="shared" si="2" ref="U9:U43">C9+G9-H9</f>
        <v>392.5999999999999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10.3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27.2</v>
      </c>
      <c r="H10" s="18">
        <v>26.6</v>
      </c>
      <c r="I10" s="18">
        <f t="shared" si="1"/>
        <v>97.79411764705883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0.5999999999999979</v>
      </c>
      <c r="U10" s="16">
        <f t="shared" si="2"/>
        <v>10.899999999999999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88.7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173.3</v>
      </c>
      <c r="H13" s="18">
        <v>241.8</v>
      </c>
      <c r="I13" s="18">
        <f t="shared" si="1"/>
        <v>139.5268320830929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-68.5</v>
      </c>
      <c r="U13" s="16">
        <f t="shared" si="2"/>
        <v>20.19999999999999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1.3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4</v>
      </c>
      <c r="H14" s="18">
        <v>4</v>
      </c>
      <c r="I14" s="18">
        <f t="shared" si="1"/>
        <v>100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0</v>
      </c>
      <c r="U14" s="16">
        <f t="shared" si="2"/>
        <v>1.2999999999999998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160.9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219.3</v>
      </c>
      <c r="H16" s="18">
        <v>312.5</v>
      </c>
      <c r="I16" s="18">
        <f t="shared" si="1"/>
        <v>142.4988600091199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-93.19999999999999</v>
      </c>
      <c r="U16" s="16">
        <f t="shared" si="2"/>
        <v>67.70000000000005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116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130.3</v>
      </c>
      <c r="H18" s="18">
        <v>173.5</v>
      </c>
      <c r="I18" s="18">
        <f t="shared" si="1"/>
        <v>133.1542594013814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-43.19999999999999</v>
      </c>
      <c r="U18" s="16">
        <f t="shared" si="2"/>
        <v>72.80000000000001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1.9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6.5</v>
      </c>
      <c r="H19" s="18">
        <v>6.2</v>
      </c>
      <c r="I19" s="18">
        <f t="shared" si="1"/>
        <v>95.38461538461539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0.2999999999999998</v>
      </c>
      <c r="U19" s="16">
        <f t="shared" si="2"/>
        <v>2.2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63.7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223.9</v>
      </c>
      <c r="H20" s="18">
        <v>208.4</v>
      </c>
      <c r="I20" s="18">
        <f t="shared" si="1"/>
        <v>93.07726663689147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15.5</v>
      </c>
      <c r="U20" s="16">
        <f t="shared" si="2"/>
        <v>79.20000000000002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362.4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503.9</v>
      </c>
      <c r="H25" s="18">
        <v>532.9</v>
      </c>
      <c r="I25" s="18">
        <f t="shared" si="1"/>
        <v>105.75511014090098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-29</v>
      </c>
      <c r="U25" s="16">
        <f t="shared" si="2"/>
        <v>333.4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54.3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145.1</v>
      </c>
      <c r="H27" s="18">
        <v>134.4</v>
      </c>
      <c r="I27" s="18">
        <f t="shared" si="1"/>
        <v>92.62577532736044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10.699999999999989</v>
      </c>
      <c r="U27" s="16">
        <f t="shared" si="2"/>
        <v>64.99999999999997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103</v>
      </c>
      <c r="C28" s="41">
        <v>120.6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381.4</v>
      </c>
      <c r="H28" s="18">
        <v>501.5</v>
      </c>
      <c r="I28" s="18">
        <f t="shared" si="1"/>
        <v>131.489250131096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-120.10000000000002</v>
      </c>
      <c r="U28" s="16">
        <f t="shared" si="2"/>
        <v>0.5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119</v>
      </c>
      <c r="C34" s="41">
        <v>580.3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940.4</v>
      </c>
      <c r="H34" s="18">
        <v>572.4</v>
      </c>
      <c r="I34" s="18">
        <f t="shared" si="1"/>
        <v>60.86771586558911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368</v>
      </c>
      <c r="U34" s="16">
        <f t="shared" si="2"/>
        <v>948.2999999999998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46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104</v>
      </c>
      <c r="C36" s="41">
        <v>290.9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602.6</v>
      </c>
      <c r="H36" s="18">
        <v>673.6</v>
      </c>
      <c r="I36" s="18">
        <f t="shared" si="1"/>
        <v>111.78227680053104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-71</v>
      </c>
      <c r="U36" s="16">
        <f t="shared" si="2"/>
        <v>219.89999999999998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0.8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1.7</v>
      </c>
      <c r="H37" s="18">
        <v>1.6</v>
      </c>
      <c r="I37" s="18">
        <f t="shared" si="1"/>
        <v>94.11764705882354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0.09999999999999987</v>
      </c>
      <c r="U37" s="16">
        <f t="shared" si="2"/>
        <v>0.8999999999999999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402.4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1048.3</v>
      </c>
      <c r="H38" s="18">
        <v>1077.2</v>
      </c>
      <c r="I38" s="18">
        <f t="shared" si="1"/>
        <v>102.75684441476677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-28.90000000000009</v>
      </c>
      <c r="U38" s="16">
        <f t="shared" si="2"/>
        <v>373.4999999999998</v>
      </c>
      <c r="V38" s="98">
        <f>U38+субсидии!U38</f>
        <v>2842.8999999999996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529.1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1651.7</v>
      </c>
      <c r="H39" s="18">
        <v>1442.9</v>
      </c>
      <c r="I39" s="18">
        <f t="shared" si="1"/>
        <v>87.35847914270146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208.79999999999995</v>
      </c>
      <c r="U39" s="16">
        <f t="shared" si="2"/>
        <v>737.9000000000001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105</v>
      </c>
      <c r="C40" s="41">
        <v>853.7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2515.3</v>
      </c>
      <c r="H40" s="18">
        <v>3266.6</v>
      </c>
      <c r="I40" s="18">
        <f t="shared" si="1"/>
        <v>129.86920049298294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-751.2999999999997</v>
      </c>
      <c r="U40" s="16">
        <f t="shared" si="2"/>
        <v>102.40000000000009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0.2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0.8</v>
      </c>
      <c r="H41" s="18">
        <v>0.3</v>
      </c>
      <c r="I41" s="18">
        <f t="shared" si="1"/>
        <v>37.49999999999999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0.5</v>
      </c>
      <c r="U41" s="16">
        <f t="shared" si="2"/>
        <v>0.7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426.6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986.5</v>
      </c>
      <c r="H42" s="18">
        <v>1397.6</v>
      </c>
      <c r="I42" s="18">
        <f t="shared" si="1"/>
        <v>141.6725798276736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-411.0999999999999</v>
      </c>
      <c r="U42" s="16">
        <f t="shared" si="2"/>
        <v>15.5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1317.2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2088.6</v>
      </c>
      <c r="H43" s="18">
        <v>2730.6</v>
      </c>
      <c r="I43" s="18">
        <f t="shared" si="1"/>
        <v>130.7382935937949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-642</v>
      </c>
      <c r="U43" s="16">
        <f t="shared" si="2"/>
        <v>675.2000000000003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52593.7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67869.6</v>
      </c>
      <c r="H44" s="16">
        <f>H45+H46</f>
        <v>83828.2</v>
      </c>
      <c r="I44" s="17">
        <f>H44/G44*100</f>
        <v>123.51362023645342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454.39999999999986</v>
      </c>
      <c r="U44" s="59">
        <f>SUMIF(U45:U47,"&gt;0",U45:U47)</f>
        <v>36635.1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v>52238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66732</v>
      </c>
      <c r="H45" s="18">
        <f>83145+0</f>
        <v>83145</v>
      </c>
      <c r="I45" s="18">
        <f t="shared" si="1"/>
        <v>124.5953965114188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-16413</v>
      </c>
      <c r="U45" s="24">
        <f>C45+G45-H45</f>
        <v>35825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355.7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1137.6</v>
      </c>
      <c r="H46" s="18">
        <v>683.2</v>
      </c>
      <c r="I46" s="18">
        <f>H46/G46*100</f>
        <v>60.05625879043601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454.39999999999986</v>
      </c>
      <c r="U46" s="24">
        <f>C46+G46-H46</f>
        <v>810.0999999999999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46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58858.399999999994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80761.1</v>
      </c>
      <c r="H48" s="16">
        <f>H8+H44</f>
        <v>98864.3</v>
      </c>
      <c r="I48" s="17">
        <f>H48/G48*100</f>
        <v>122.4157422323371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1058.8999999999999</v>
      </c>
      <c r="U48" s="59">
        <f>U8+U44</f>
        <v>40755.2</v>
      </c>
      <c r="V48" s="141">
        <f>V44+V8</f>
        <v>-39094.299999999996</v>
      </c>
      <c r="W48" s="108">
        <f>W44+W8</f>
        <v>0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114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  <c r="AC54" s="1"/>
      <c r="AD54" s="1"/>
      <c r="AE54" s="1"/>
      <c r="AF54" s="1"/>
      <c r="AG54" s="1"/>
      <c r="AH54" s="1"/>
    </row>
    <row r="55" spans="1:23" s="131" customFormat="1" ht="42" customHeight="1">
      <c r="A55" s="138"/>
      <c r="B55" s="232" t="s">
        <v>116</v>
      </c>
      <c r="C55" s="232"/>
      <c r="D55" s="232"/>
      <c r="E55" s="232"/>
      <c r="F55" s="232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115</v>
      </c>
      <c r="V55" s="137"/>
      <c r="W55" s="133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42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43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710.7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888.2000000000002</v>
      </c>
    </row>
    <row r="63" spans="2:21" ht="18.75">
      <c r="B63" s="1" t="s">
        <v>45</v>
      </c>
      <c r="C63" s="43">
        <f>C12+C14+C15+C17+C19+C20+C26</f>
        <v>66.9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82.70000000000002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1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6.125" style="1" customWidth="1"/>
    <col min="2" max="2" width="55.00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1" ht="18.75">
      <c r="B2" s="228" t="s">
        <v>102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2:21" ht="18.75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18.75">
      <c r="B4" s="220"/>
      <c r="C4" s="220"/>
      <c r="D4" s="220"/>
      <c r="E4" s="220"/>
      <c r="F4" s="220"/>
      <c r="U4" s="74" t="s">
        <v>53</v>
      </c>
    </row>
    <row r="5" spans="1:21" ht="42.75" customHeight="1">
      <c r="A5" s="3"/>
      <c r="B5" s="3"/>
      <c r="C5" s="221" t="s">
        <v>1</v>
      </c>
      <c r="D5" s="223" t="s">
        <v>108</v>
      </c>
      <c r="E5" s="224"/>
      <c r="F5" s="22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</row>
    <row r="6" spans="1:21" ht="18.75">
      <c r="A6" s="5" t="s">
        <v>39</v>
      </c>
      <c r="B6" s="4" t="s">
        <v>2</v>
      </c>
      <c r="C6" s="222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</row>
    <row r="7" spans="1:21" ht="32.25" customHeight="1">
      <c r="A7" s="22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</row>
    <row r="8" spans="1:23" s="7" customFormat="1" ht="36" customHeight="1">
      <c r="A8" s="13"/>
      <c r="B8" s="8" t="s">
        <v>7</v>
      </c>
      <c r="C8" s="40">
        <f>SUM(C9:C43)</f>
        <v>41563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102268.8</v>
      </c>
      <c r="H8" s="17">
        <f>SUM(H9:H43)</f>
        <v>122778.2</v>
      </c>
      <c r="I8" s="17">
        <f aca="true" t="shared" si="1" ref="I8:I48">H8/G8*100</f>
        <v>120.05440564473231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3416.0999999999995</v>
      </c>
      <c r="U8" s="59">
        <f>SUMIF(U9:U43,"&gt;0",U9:U43)</f>
        <v>21160</v>
      </c>
      <c r="V8" s="105">
        <f>SUMIF(T9:T43,"&lt;0",T9:T43)</f>
        <v>-23925.5</v>
      </c>
      <c r="W8" s="105">
        <f>SUMIF(U9:U43,"&lt;0",U9:U43)</f>
        <v>-106.40000000000077</v>
      </c>
    </row>
    <row r="9" spans="1:21" ht="36.75" customHeight="1">
      <c r="A9" s="2">
        <v>1</v>
      </c>
      <c r="B9" s="23" t="s">
        <v>13</v>
      </c>
      <c r="C9" s="41">
        <v>2654.3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7459</v>
      </c>
      <c r="H9" s="18">
        <v>10134</v>
      </c>
      <c r="I9" s="18">
        <f t="shared" si="1"/>
        <v>135.8627161817938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-2675</v>
      </c>
      <c r="U9" s="91">
        <f aca="true" t="shared" si="4" ref="U9:U43">C9+G9-H9</f>
        <v>-20.700000000000728</v>
      </c>
    </row>
    <row r="10" spans="1:21" s="52" customFormat="1" ht="41.25" customHeight="1">
      <c r="A10" s="2">
        <v>2</v>
      </c>
      <c r="B10" s="53" t="s">
        <v>38</v>
      </c>
      <c r="C10" s="41">
        <v>70.7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134.8</v>
      </c>
      <c r="H10" s="18">
        <v>182.3</v>
      </c>
      <c r="I10" s="18">
        <f t="shared" si="1"/>
        <v>135.2373887240356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-47.5</v>
      </c>
      <c r="U10" s="91">
        <f t="shared" si="4"/>
        <v>23.19999999999999</v>
      </c>
    </row>
    <row r="11" spans="1:21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2392.9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2602.3</v>
      </c>
      <c r="H13" s="18">
        <v>3799</v>
      </c>
      <c r="I13" s="18">
        <f t="shared" si="1"/>
        <v>145.98624293893863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-1196.6999999999998</v>
      </c>
      <c r="U13" s="91">
        <f t="shared" si="4"/>
        <v>1196.2000000000007</v>
      </c>
    </row>
    <row r="14" spans="1:21" ht="24" customHeight="1">
      <c r="A14" s="2">
        <v>6</v>
      </c>
      <c r="B14" s="23" t="s">
        <v>16</v>
      </c>
      <c r="C14" s="41">
        <v>18.4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50.6</v>
      </c>
      <c r="H14" s="18">
        <v>66.6</v>
      </c>
      <c r="I14" s="18">
        <f t="shared" si="1"/>
        <v>131.62055335968378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-15.999999999999993</v>
      </c>
      <c r="U14" s="91">
        <f t="shared" si="4"/>
        <v>2.4000000000000057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18"/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878.2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1764.6</v>
      </c>
      <c r="H16" s="18">
        <v>2353.3</v>
      </c>
      <c r="I16" s="18">
        <f t="shared" si="1"/>
        <v>133.36166836676867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-588.7000000000003</v>
      </c>
      <c r="U16" s="91">
        <f t="shared" si="4"/>
        <v>289.5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168.2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457.9</v>
      </c>
      <c r="H18" s="18">
        <v>711.8</v>
      </c>
      <c r="I18" s="18">
        <f t="shared" si="1"/>
        <v>155.44878794496614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-253.89999999999998</v>
      </c>
      <c r="U18" s="91">
        <f t="shared" si="4"/>
        <v>-85.70000000000005</v>
      </c>
    </row>
    <row r="19" spans="1:21" ht="24" customHeight="1">
      <c r="A19" s="2">
        <v>11</v>
      </c>
      <c r="B19" s="25" t="s">
        <v>21</v>
      </c>
      <c r="C19" s="41">
        <v>17.5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47.3</v>
      </c>
      <c r="H19" s="18">
        <v>57.4</v>
      </c>
      <c r="I19" s="18">
        <f t="shared" si="1"/>
        <v>121.35306553911205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-10.100000000000001</v>
      </c>
      <c r="U19" s="91">
        <f t="shared" si="4"/>
        <v>7.399999999999999</v>
      </c>
    </row>
    <row r="20" spans="1:21" ht="24" customHeight="1">
      <c r="A20" s="2">
        <v>12</v>
      </c>
      <c r="B20" s="23" t="s">
        <v>22</v>
      </c>
      <c r="C20" s="41">
        <v>328.2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1417.1</v>
      </c>
      <c r="H20" s="18">
        <v>1018.2</v>
      </c>
      <c r="I20" s="18">
        <f t="shared" si="1"/>
        <v>71.85096323477525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398.89999999999986</v>
      </c>
      <c r="U20" s="91">
        <f t="shared" si="4"/>
        <v>727.0999999999999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1662.2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4775.7</v>
      </c>
      <c r="H25" s="18">
        <v>6264.6</v>
      </c>
      <c r="I25" s="18">
        <f t="shared" si="1"/>
        <v>131.176581443558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-1488.9000000000005</v>
      </c>
      <c r="U25" s="91">
        <f t="shared" si="4"/>
        <v>173.29999999999927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146.3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464.4</v>
      </c>
      <c r="H27" s="18">
        <v>531.3</v>
      </c>
      <c r="I27" s="18">
        <f t="shared" si="1"/>
        <v>114.40568475452196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-66.89999999999998</v>
      </c>
      <c r="U27" s="91">
        <f t="shared" si="4"/>
        <v>79.40000000000009</v>
      </c>
    </row>
    <row r="28" spans="1:21" ht="36.75" customHeight="1">
      <c r="A28" s="2">
        <v>20</v>
      </c>
      <c r="B28" s="25" t="s">
        <v>103</v>
      </c>
      <c r="C28" s="41">
        <v>2129.7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4831.5</v>
      </c>
      <c r="H28" s="18">
        <v>4245.5</v>
      </c>
      <c r="I28" s="18">
        <f t="shared" si="1"/>
        <v>87.87126151298769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586</v>
      </c>
      <c r="U28" s="91">
        <f t="shared" si="4"/>
        <v>2715.7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119</v>
      </c>
      <c r="C34" s="41">
        <v>1051.3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4333.7</v>
      </c>
      <c r="H34" s="18">
        <v>2211.3</v>
      </c>
      <c r="I34" s="18">
        <f t="shared" si="1"/>
        <v>51.02568244225489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2122.3999999999996</v>
      </c>
      <c r="U34" s="91">
        <f t="shared" si="4"/>
        <v>3173.7</v>
      </c>
      <c r="V34" s="19">
        <f>U34+льготи!U34</f>
        <v>4122</v>
      </c>
    </row>
    <row r="35" spans="1:21" ht="24.75" customHeight="1">
      <c r="A35" s="36"/>
      <c r="B35" s="25" t="s">
        <v>46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104</v>
      </c>
      <c r="C36" s="41">
        <v>763.1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4551.8</v>
      </c>
      <c r="H36" s="18">
        <v>4243</v>
      </c>
      <c r="I36" s="18">
        <f t="shared" si="1"/>
        <v>93.21587064458016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308.8000000000002</v>
      </c>
      <c r="U36" s="91">
        <f t="shared" si="4"/>
        <v>1071.9000000000005</v>
      </c>
    </row>
    <row r="37" spans="1:21" s="38" customFormat="1" ht="24" customHeight="1">
      <c r="A37" s="2">
        <v>27</v>
      </c>
      <c r="B37" s="23" t="s">
        <v>30</v>
      </c>
      <c r="C37" s="41">
        <v>0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</v>
      </c>
      <c r="H37" s="18">
        <v>0</v>
      </c>
      <c r="I37" s="18">
        <v>0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0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4845.7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11613.1</v>
      </c>
      <c r="H38" s="18">
        <v>13989.4</v>
      </c>
      <c r="I38" s="18">
        <f t="shared" si="1"/>
        <v>120.46223661210185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-2376.2999999999993</v>
      </c>
      <c r="U38" s="91">
        <f t="shared" si="4"/>
        <v>2469.3999999999996</v>
      </c>
    </row>
    <row r="39" spans="1:21" s="38" customFormat="1" ht="24" customHeight="1">
      <c r="A39" s="2">
        <v>29</v>
      </c>
      <c r="B39" s="25" t="s">
        <v>32</v>
      </c>
      <c r="C39" s="41">
        <v>3749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12049.2</v>
      </c>
      <c r="H39" s="18">
        <v>13614.5</v>
      </c>
      <c r="I39" s="18">
        <f t="shared" si="1"/>
        <v>112.9909039604289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-1565.2999999999993</v>
      </c>
      <c r="U39" s="91">
        <f t="shared" si="4"/>
        <v>2183.7000000000007</v>
      </c>
    </row>
    <row r="40" spans="1:21" ht="36.75" customHeight="1">
      <c r="A40" s="2">
        <v>30</v>
      </c>
      <c r="B40" s="25" t="s">
        <v>105</v>
      </c>
      <c r="C40" s="41">
        <v>14922.8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27428.7</v>
      </c>
      <c r="H40" s="18">
        <v>36808.4</v>
      </c>
      <c r="I40" s="18">
        <f t="shared" si="1"/>
        <v>134.19666261981064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-9379.7</v>
      </c>
      <c r="U40" s="91">
        <f t="shared" si="4"/>
        <v>5543.0999999999985</v>
      </c>
    </row>
    <row r="41" spans="1:21" s="38" customFormat="1" ht="24" customHeight="1">
      <c r="A41" s="2">
        <v>31</v>
      </c>
      <c r="B41" s="25" t="s">
        <v>33</v>
      </c>
      <c r="C41" s="41">
        <v>1.9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5.7</v>
      </c>
      <c r="H41" s="18">
        <v>6.7</v>
      </c>
      <c r="I41" s="18">
        <f t="shared" si="1"/>
        <v>117.54385964912282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-1</v>
      </c>
      <c r="U41" s="91">
        <f t="shared" si="4"/>
        <v>0.8999999999999995</v>
      </c>
    </row>
    <row r="42" spans="1:21" ht="37.5">
      <c r="A42" s="2">
        <v>32</v>
      </c>
      <c r="B42" s="23" t="s">
        <v>120</v>
      </c>
      <c r="C42" s="41">
        <v>3676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9019.6</v>
      </c>
      <c r="H42" s="18">
        <v>12367.5</v>
      </c>
      <c r="I42" s="18">
        <f t="shared" si="1"/>
        <v>137.11805401569913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-3347.8999999999996</v>
      </c>
      <c r="U42" s="91">
        <f t="shared" si="4"/>
        <v>328.10000000000036</v>
      </c>
    </row>
    <row r="43" spans="1:21" ht="24" customHeight="1">
      <c r="A43" s="2">
        <v>33</v>
      </c>
      <c r="B43" s="25" t="s">
        <v>35</v>
      </c>
      <c r="C43" s="41">
        <v>2086.6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9261.8</v>
      </c>
      <c r="H43" s="18">
        <v>10173.4</v>
      </c>
      <c r="I43" s="18">
        <f t="shared" si="1"/>
        <v>109.84257919626855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-911.6000000000004</v>
      </c>
      <c r="U43" s="91">
        <f t="shared" si="4"/>
        <v>1175</v>
      </c>
    </row>
    <row r="44" spans="1:23" s="7" customFormat="1" ht="24.75" customHeight="1">
      <c r="A44" s="6">
        <v>34</v>
      </c>
      <c r="B44" s="6" t="s">
        <v>6</v>
      </c>
      <c r="C44" s="42">
        <f>C45+C46</f>
        <v>67005.2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267861.2</v>
      </c>
      <c r="H44" s="16">
        <f>H45+H46</f>
        <v>291636.3</v>
      </c>
      <c r="I44" s="17">
        <f t="shared" si="1"/>
        <v>108.87590289299082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0</v>
      </c>
      <c r="U44" s="59">
        <f>SUMIF(U45:U47,"&gt;0",U45:U47)</f>
        <v>43230.1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v>66031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264138</v>
      </c>
      <c r="H45" s="18">
        <f>287431+0</f>
        <v>287431</v>
      </c>
      <c r="I45" s="18">
        <f t="shared" si="1"/>
        <v>108.81849639203749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-23293</v>
      </c>
      <c r="U45" s="91">
        <f>C45+G45-H45</f>
        <v>42738</v>
      </c>
    </row>
    <row r="46" spans="1:23" s="7" customFormat="1" ht="24.75" customHeight="1">
      <c r="A46" s="6"/>
      <c r="B46" s="23" t="s">
        <v>37</v>
      </c>
      <c r="C46" s="41">
        <v>974.2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3723.2</v>
      </c>
      <c r="H46" s="18">
        <v>4205.3</v>
      </c>
      <c r="I46" s="18">
        <f t="shared" si="1"/>
        <v>112.94853889127634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-482.10000000000036</v>
      </c>
      <c r="U46" s="91">
        <f>C46+G46-H46</f>
        <v>492.09999999999945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46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108568.2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370130</v>
      </c>
      <c r="H48" s="16">
        <f>H8+H44</f>
        <v>414414.5</v>
      </c>
      <c r="I48" s="17">
        <f t="shared" si="1"/>
        <v>111.96458001242806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3416.0999999999995</v>
      </c>
      <c r="U48" s="105">
        <f>U8+U44</f>
        <v>64390.1</v>
      </c>
      <c r="V48" s="108">
        <f>V44+V8</f>
        <v>-23964.4</v>
      </c>
      <c r="W48" s="108">
        <f>W44+W8</f>
        <v>-106.40000000000077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36" t="s">
        <v>114</v>
      </c>
      <c r="B54" s="236"/>
      <c r="C54" s="236"/>
      <c r="D54" s="236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</row>
    <row r="55" spans="1:23" s="131" customFormat="1" ht="42.75" customHeight="1">
      <c r="A55" s="138"/>
      <c r="B55" s="232" t="s">
        <v>116</v>
      </c>
      <c r="C55" s="232"/>
      <c r="D55" s="232"/>
      <c r="E55" s="232"/>
      <c r="F55" s="232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115</v>
      </c>
      <c r="V55" s="137"/>
      <c r="W55" s="133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42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43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44</v>
      </c>
      <c r="C63" s="43">
        <f>C10+C18+C21+C27+C37+C39+C41</f>
        <v>4136.099999999999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2201.500000000001</v>
      </c>
    </row>
    <row r="64" spans="2:21" ht="18.75">
      <c r="B64" s="1" t="s">
        <v>45</v>
      </c>
      <c r="C64" s="43">
        <f>C12+C14+C15+C17+C19+C20+C26</f>
        <v>364.09999999999997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736.8999999999999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S5:S7"/>
    <mergeCell ref="D5:F5"/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35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B7" sqref="B7"/>
    </sheetView>
  </sheetViews>
  <sheetFormatPr defaultColWidth="7.875" defaultRowHeight="12.75"/>
  <cols>
    <col min="1" max="1" width="6.125" style="14" customWidth="1"/>
    <col min="2" max="2" width="54.87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1" ht="18.75">
      <c r="B2" s="219" t="s">
        <v>92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35.25" customHeight="1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18.75">
      <c r="B4" s="220"/>
      <c r="C4" s="220"/>
      <c r="D4" s="220"/>
      <c r="E4" s="220"/>
      <c r="F4" s="220"/>
      <c r="U4" s="74" t="s">
        <v>53</v>
      </c>
    </row>
    <row r="5" spans="1:21" ht="36.75" customHeight="1">
      <c r="A5" s="117"/>
      <c r="B5" s="3"/>
      <c r="C5" s="221" t="s">
        <v>1</v>
      </c>
      <c r="D5" s="223" t="s">
        <v>108</v>
      </c>
      <c r="E5" s="224"/>
      <c r="F5" s="22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</row>
    <row r="6" spans="1:21" ht="18.75">
      <c r="A6" s="4" t="s">
        <v>39</v>
      </c>
      <c r="B6" s="4" t="s">
        <v>49</v>
      </c>
      <c r="C6" s="222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</row>
    <row r="7" spans="1:21" ht="39.7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</row>
    <row r="8" spans="1:23" s="7" customFormat="1" ht="36" customHeight="1">
      <c r="A8" s="119"/>
      <c r="B8" s="75" t="s">
        <v>54</v>
      </c>
      <c r="C8" s="40">
        <f>SUM(C9:C43)</f>
        <v>3602.6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27150.899999999998</v>
      </c>
      <c r="H8" s="17">
        <f>SUM(H9:H43)</f>
        <v>17100.1</v>
      </c>
      <c r="I8" s="17">
        <f aca="true" t="shared" si="1" ref="I8:I18">H8/G8*100</f>
        <v>62.981705947132504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10050.799999999997</v>
      </c>
      <c r="U8" s="59">
        <f>SUMIF(U9:U43,"&gt;0",U9:U43)</f>
        <v>13653.399999999998</v>
      </c>
      <c r="V8" s="105">
        <f>SUMIF(T9:T43,"&lt;0",T9:T43)</f>
        <v>0</v>
      </c>
      <c r="W8" s="105">
        <f>SUMIF(U9:U43,"&lt;0",U9:U43)</f>
        <v>0</v>
      </c>
    </row>
    <row r="9" spans="1:22" s="27" customFormat="1" ht="36.75" customHeight="1">
      <c r="A9" s="120">
        <v>1</v>
      </c>
      <c r="B9" s="23" t="s">
        <v>55</v>
      </c>
      <c r="C9" s="41">
        <v>194.1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902.4</v>
      </c>
      <c r="H9" s="18">
        <v>681.3</v>
      </c>
      <c r="I9" s="18">
        <f>T9</f>
        <v>221.10000000000002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221.10000000000002</v>
      </c>
      <c r="U9" s="16">
        <f aca="true" t="shared" si="6" ref="U9:U23">C9+G9-H9</f>
        <v>415.20000000000005</v>
      </c>
      <c r="V9" s="116">
        <f>G9-H9</f>
        <v>221.10000000000002</v>
      </c>
    </row>
    <row r="10" spans="1:21" s="27" customFormat="1" ht="36.75" customHeight="1">
      <c r="A10" s="120">
        <v>2</v>
      </c>
      <c r="B10" s="53" t="s">
        <v>89</v>
      </c>
      <c r="C10" s="41">
        <v>-5.5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657.1</v>
      </c>
      <c r="H10" s="18">
        <v>434.2</v>
      </c>
      <c r="I10" s="18">
        <f t="shared" si="1"/>
        <v>66.07822249277126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222.90000000000003</v>
      </c>
      <c r="U10" s="16">
        <f t="shared" si="6"/>
        <v>217.40000000000003</v>
      </c>
    </row>
    <row r="11" spans="1:21" s="27" customFormat="1" ht="36.75" customHeight="1">
      <c r="A11" s="120">
        <v>3</v>
      </c>
      <c r="B11" s="25" t="s">
        <v>106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56</v>
      </c>
      <c r="C12" s="41">
        <v>12.7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315.7</v>
      </c>
      <c r="H12" s="18">
        <v>187.8</v>
      </c>
      <c r="I12" s="18">
        <f t="shared" si="1"/>
        <v>59.48685460880584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127.89999999999998</v>
      </c>
      <c r="U12" s="16">
        <f t="shared" si="6"/>
        <v>140.59999999999997</v>
      </c>
    </row>
    <row r="13" spans="1:21" s="27" customFormat="1" ht="24" customHeight="1">
      <c r="A13" s="120">
        <v>5</v>
      </c>
      <c r="B13" s="23" t="s">
        <v>87</v>
      </c>
      <c r="C13" s="41">
        <v>302.1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579.4</v>
      </c>
      <c r="H13" s="18">
        <v>488</v>
      </c>
      <c r="I13" s="18">
        <f t="shared" si="1"/>
        <v>84.22506040731793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91.39999999999998</v>
      </c>
      <c r="U13" s="16">
        <f t="shared" si="6"/>
        <v>393.5</v>
      </c>
    </row>
    <row r="14" spans="1:21" s="27" customFormat="1" ht="24" customHeight="1">
      <c r="A14" s="120">
        <v>6</v>
      </c>
      <c r="B14" s="23" t="s">
        <v>57</v>
      </c>
      <c r="C14" s="41">
        <v>33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245.9</v>
      </c>
      <c r="H14" s="18">
        <v>112.2</v>
      </c>
      <c r="I14" s="18">
        <f t="shared" si="1"/>
        <v>45.62830418869459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133.7</v>
      </c>
      <c r="U14" s="16">
        <f t="shared" si="6"/>
        <v>166.7</v>
      </c>
    </row>
    <row r="15" spans="1:21" s="27" customFormat="1" ht="24" customHeight="1">
      <c r="A15" s="120">
        <v>7</v>
      </c>
      <c r="B15" s="23" t="s">
        <v>58</v>
      </c>
      <c r="C15" s="41">
        <v>-41.2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415.2</v>
      </c>
      <c r="H15" s="18">
        <v>189.8</v>
      </c>
      <c r="I15" s="18">
        <f t="shared" si="1"/>
        <v>45.712909441233144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225.39999999999998</v>
      </c>
      <c r="U15" s="16">
        <f t="shared" si="6"/>
        <v>184.2</v>
      </c>
    </row>
    <row r="16" spans="1:21" s="27" customFormat="1" ht="24" customHeight="1">
      <c r="A16" s="120">
        <v>8</v>
      </c>
      <c r="B16" s="23" t="s">
        <v>59</v>
      </c>
      <c r="C16" s="41">
        <v>209.7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936.9</v>
      </c>
      <c r="H16" s="18">
        <v>672.5</v>
      </c>
      <c r="I16" s="18">
        <f t="shared" si="1"/>
        <v>71.77927206745652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264.4</v>
      </c>
      <c r="U16" s="16">
        <f t="shared" si="6"/>
        <v>474.0999999999999</v>
      </c>
    </row>
    <row r="17" spans="1:21" s="27" customFormat="1" ht="24" customHeight="1">
      <c r="A17" s="120">
        <v>9</v>
      </c>
      <c r="B17" s="23" t="s">
        <v>60</v>
      </c>
      <c r="C17" s="41">
        <f>-22.5+5.3</f>
        <v>-17.2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177.8</v>
      </c>
      <c r="H17" s="18">
        <v>121.7</v>
      </c>
      <c r="I17" s="18">
        <f t="shared" si="1"/>
        <v>68.44769403824522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56.10000000000001</v>
      </c>
      <c r="U17" s="16">
        <f t="shared" si="6"/>
        <v>38.90000000000002</v>
      </c>
    </row>
    <row r="18" spans="1:21" s="27" customFormat="1" ht="24" customHeight="1">
      <c r="A18" s="120">
        <v>10</v>
      </c>
      <c r="B18" s="25" t="s">
        <v>61</v>
      </c>
      <c r="C18" s="41">
        <v>1606.9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2095.1</v>
      </c>
      <c r="H18" s="18">
        <v>417.7</v>
      </c>
      <c r="I18" s="18">
        <f t="shared" si="1"/>
        <v>19.93699584745358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1677.3999999999999</v>
      </c>
      <c r="U18" s="16">
        <f t="shared" si="6"/>
        <v>3284.3</v>
      </c>
    </row>
    <row r="19" spans="1:21" ht="24" customHeight="1">
      <c r="A19" s="120">
        <v>11</v>
      </c>
      <c r="B19" s="25" t="s">
        <v>62</v>
      </c>
      <c r="C19" s="41">
        <v>25.3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262</v>
      </c>
      <c r="H19" s="18">
        <v>190.6</v>
      </c>
      <c r="I19" s="18">
        <v>0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71.4</v>
      </c>
      <c r="U19" s="16">
        <f t="shared" si="6"/>
        <v>96.70000000000002</v>
      </c>
    </row>
    <row r="20" spans="1:21" s="27" customFormat="1" ht="24" customHeight="1">
      <c r="A20" s="120">
        <v>12</v>
      </c>
      <c r="B20" s="23" t="s">
        <v>88</v>
      </c>
      <c r="C20" s="41">
        <v>22.5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v>565.9</v>
      </c>
      <c r="H20" s="18">
        <v>465.2</v>
      </c>
      <c r="I20" s="18">
        <v>0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100.69999999999999</v>
      </c>
      <c r="U20" s="16">
        <f t="shared" si="6"/>
        <v>123.19999999999999</v>
      </c>
    </row>
    <row r="21" spans="1:21" s="27" customFormat="1" ht="24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64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65</v>
      </c>
      <c r="C23" s="41">
        <v>118.4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254.1</v>
      </c>
      <c r="H23" s="18">
        <v>145.2</v>
      </c>
      <c r="I23" s="18">
        <f>H23/G23*100</f>
        <v>57.14285714285714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108.9</v>
      </c>
      <c r="U23" s="16">
        <f t="shared" si="6"/>
        <v>227.3</v>
      </c>
    </row>
    <row r="24" spans="1:21" ht="22.5" customHeight="1">
      <c r="A24" s="120">
        <v>16</v>
      </c>
      <c r="B24" s="25" t="s">
        <v>66</v>
      </c>
      <c r="C24" s="46" t="s">
        <v>100</v>
      </c>
      <c r="D24" s="186" t="s">
        <v>86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</row>
    <row r="25" spans="1:21" s="27" customFormat="1" ht="36.75" customHeight="1">
      <c r="A25" s="120">
        <v>17</v>
      </c>
      <c r="B25" s="25" t="s">
        <v>67</v>
      </c>
      <c r="C25" s="41">
        <v>-115.8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1157.8</v>
      </c>
      <c r="H25" s="18">
        <v>690.6</v>
      </c>
      <c r="I25" s="18">
        <f>H25/G25*100</f>
        <v>59.64760753152532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467.19999999999993</v>
      </c>
      <c r="U25" s="16">
        <f>C25+G25-H25</f>
        <v>351.4</v>
      </c>
    </row>
    <row r="26" spans="1:21" s="27" customFormat="1" ht="24.75" customHeight="1">
      <c r="A26" s="120">
        <v>18</v>
      </c>
      <c r="B26" s="23" t="s">
        <v>68</v>
      </c>
      <c r="C26" s="41">
        <v>16.2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v>566.1</v>
      </c>
      <c r="H26" s="18">
        <v>308.2</v>
      </c>
      <c r="I26" s="18">
        <f>H26/G26*100</f>
        <v>54.44267797208974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257.90000000000003</v>
      </c>
      <c r="U26" s="16">
        <f>C26+G26-H26</f>
        <v>274.1000000000001</v>
      </c>
    </row>
    <row r="27" spans="1:21" ht="25.5" customHeight="1">
      <c r="A27" s="120">
        <v>19</v>
      </c>
      <c r="B27" s="25" t="s">
        <v>69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103</v>
      </c>
      <c r="C28" s="41">
        <v>-18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52.9</v>
      </c>
      <c r="H28" s="18">
        <v>21.8</v>
      </c>
      <c r="I28" s="18">
        <f>H28/G28*100</f>
        <v>41.20982986767486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31.099999999999998</v>
      </c>
      <c r="U28" s="16">
        <f>C28+G28-H28</f>
        <v>13.099999999999998</v>
      </c>
    </row>
    <row r="29" spans="1:21" s="27" customFormat="1" ht="36.75" customHeight="1">
      <c r="A29" s="120">
        <v>21</v>
      </c>
      <c r="B29" s="23" t="s">
        <v>70</v>
      </c>
      <c r="C29" s="41">
        <f>139.9+185.1</f>
        <v>325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v>804.1</v>
      </c>
      <c r="H29" s="18">
        <f>488.4+152.3</f>
        <v>640.7</v>
      </c>
      <c r="I29" s="18">
        <f>H29/G29*100</f>
        <v>79.67914438502675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163.39999999999998</v>
      </c>
      <c r="U29" s="16">
        <f>C29+G29-H29</f>
        <v>488.39999999999986</v>
      </c>
    </row>
    <row r="30" spans="1:21" ht="24" customHeight="1">
      <c r="A30" s="120">
        <v>22</v>
      </c>
      <c r="B30" s="23" t="s">
        <v>71</v>
      </c>
      <c r="C30" s="71"/>
      <c r="D30" s="188" t="s">
        <v>86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1" ht="24" customHeight="1">
      <c r="A31" s="120">
        <v>23</v>
      </c>
      <c r="B31" s="25" t="s">
        <v>72</v>
      </c>
      <c r="C31" s="195" t="s">
        <v>100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24" customHeight="1">
      <c r="A32" s="120">
        <v>24</v>
      </c>
      <c r="B32" s="25" t="s">
        <v>73</v>
      </c>
      <c r="C32" s="73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s="27" customFormat="1" ht="24" customHeight="1">
      <c r="A33" s="120">
        <v>25</v>
      </c>
      <c r="B33" s="25" t="s">
        <v>74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119</v>
      </c>
      <c r="C34" s="41">
        <v>276.3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f>5018.2+71.5</f>
        <v>5089.7</v>
      </c>
      <c r="H34" s="18">
        <f>1792.9+85.1</f>
        <v>1878</v>
      </c>
      <c r="I34" s="18">
        <f aca="true" t="shared" si="12" ref="I34:I47">H34/G34*100</f>
        <v>36.898049000923436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3211.7</v>
      </c>
      <c r="U34" s="16">
        <f aca="true" t="shared" si="15" ref="U34:U43">C34+G34-H34</f>
        <v>3488</v>
      </c>
      <c r="V34" s="116">
        <f>G34-H34</f>
        <v>3211.7</v>
      </c>
    </row>
    <row r="35" spans="1:21" ht="24.75" customHeight="1">
      <c r="A35" s="121"/>
      <c r="B35" s="25" t="s">
        <v>75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104</v>
      </c>
      <c r="C36" s="41">
        <v>980.8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1226.6</v>
      </c>
      <c r="H36" s="18">
        <v>1004.1</v>
      </c>
      <c r="I36" s="18">
        <f t="shared" si="12"/>
        <v>81.86042719713029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222.4999999999999</v>
      </c>
      <c r="U36" s="16">
        <f t="shared" si="15"/>
        <v>1203.2999999999997</v>
      </c>
    </row>
    <row r="37" spans="1:21" s="27" customFormat="1" ht="24" customHeight="1">
      <c r="A37" s="120">
        <v>27</v>
      </c>
      <c r="B37" s="23" t="s">
        <v>76</v>
      </c>
      <c r="C37" s="41">
        <v>33.9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406.2</v>
      </c>
      <c r="H37" s="18">
        <v>286.8</v>
      </c>
      <c r="I37" s="18">
        <f t="shared" si="12"/>
        <v>70.6056129985229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119.39999999999998</v>
      </c>
      <c r="U37" s="16">
        <f t="shared" si="15"/>
        <v>153.29999999999995</v>
      </c>
    </row>
    <row r="38" spans="1:21" s="27" customFormat="1" ht="24" customHeight="1">
      <c r="A38" s="120">
        <v>28</v>
      </c>
      <c r="B38" s="25" t="s">
        <v>77</v>
      </c>
      <c r="C38" s="41">
        <v>-38.4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1029.7</v>
      </c>
      <c r="H38" s="18">
        <v>846.6</v>
      </c>
      <c r="I38" s="18">
        <f t="shared" si="12"/>
        <v>82.21812178304361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183.10000000000002</v>
      </c>
      <c r="U38" s="16">
        <f t="shared" si="15"/>
        <v>144.70000000000005</v>
      </c>
    </row>
    <row r="39" spans="1:21" s="27" customFormat="1" ht="24" customHeight="1">
      <c r="A39" s="120">
        <v>29</v>
      </c>
      <c r="B39" s="25" t="s">
        <v>78</v>
      </c>
      <c r="C39" s="41">
        <v>-13.8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1621.3</v>
      </c>
      <c r="H39" s="18">
        <v>1513.7</v>
      </c>
      <c r="I39" s="18">
        <f t="shared" si="12"/>
        <v>93.36335039782891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107.59999999999991</v>
      </c>
      <c r="U39" s="16">
        <f t="shared" si="15"/>
        <v>93.79999999999995</v>
      </c>
    </row>
    <row r="40" spans="1:21" ht="36.75" customHeight="1">
      <c r="A40" s="120">
        <v>30</v>
      </c>
      <c r="B40" s="25" t="s">
        <v>105</v>
      </c>
      <c r="C40" s="41">
        <v>-181.5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2335.2</v>
      </c>
      <c r="H40" s="18">
        <v>1680</v>
      </c>
      <c r="I40" s="18">
        <f t="shared" si="12"/>
        <v>71.94244604316548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655.1999999999998</v>
      </c>
      <c r="U40" s="16">
        <f t="shared" si="15"/>
        <v>473.6999999999998</v>
      </c>
    </row>
    <row r="41" spans="1:21" ht="24.75" customHeight="1">
      <c r="A41" s="120">
        <v>31</v>
      </c>
      <c r="B41" s="25" t="s">
        <v>79</v>
      </c>
      <c r="C41" s="41">
        <v>27.2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746.7</v>
      </c>
      <c r="H41" s="18">
        <v>147.8</v>
      </c>
      <c r="I41" s="18">
        <f t="shared" si="12"/>
        <v>19.79375920717825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598.9000000000001</v>
      </c>
      <c r="U41" s="16">
        <f t="shared" si="15"/>
        <v>626.1000000000001</v>
      </c>
    </row>
    <row r="42" spans="1:21" s="27" customFormat="1" ht="36.75" customHeight="1">
      <c r="A42" s="120">
        <v>32</v>
      </c>
      <c r="B42" s="23" t="s">
        <v>80</v>
      </c>
      <c r="C42" s="41">
        <v>-299.2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1489.8</v>
      </c>
      <c r="H42" s="18">
        <v>1051.9</v>
      </c>
      <c r="I42" s="18">
        <f t="shared" si="12"/>
        <v>70.60679285810177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437.89999999999986</v>
      </c>
      <c r="U42" s="16">
        <f t="shared" si="15"/>
        <v>138.69999999999982</v>
      </c>
    </row>
    <row r="43" spans="1:21" s="27" customFormat="1" ht="25.5" customHeight="1">
      <c r="A43" s="120">
        <v>33</v>
      </c>
      <c r="B43" s="25" t="s">
        <v>81</v>
      </c>
      <c r="C43" s="41">
        <v>149.1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3217.3</v>
      </c>
      <c r="H43" s="18">
        <v>2923.7</v>
      </c>
      <c r="I43" s="18">
        <f t="shared" si="12"/>
        <v>90.87433562303794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293.60000000000036</v>
      </c>
      <c r="U43" s="16">
        <f t="shared" si="15"/>
        <v>442.7000000000003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-20.80000000000001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205680.90000000002</v>
      </c>
      <c r="H44" s="16">
        <f>H45+H46+H47</f>
        <v>151457.4</v>
      </c>
      <c r="I44" s="17">
        <f t="shared" si="12"/>
        <v>73.63707568374116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54223.5</v>
      </c>
      <c r="U44" s="59">
        <f>SUMIF(U45:U47,"&gt;0",U45:U47)</f>
        <v>54472.6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113</v>
      </c>
      <c r="C45" s="41">
        <v>452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200766</v>
      </c>
      <c r="H45" s="18">
        <f>144729+2071</f>
        <v>146800</v>
      </c>
      <c r="I45" s="18">
        <f t="shared" si="12"/>
        <v>73.1199505892432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53966</v>
      </c>
      <c r="U45" s="24">
        <f>C45+G45-H45</f>
        <v>54418</v>
      </c>
    </row>
    <row r="46" spans="1:21" s="28" customFormat="1" ht="24.75" customHeight="1">
      <c r="A46" s="122"/>
      <c r="B46" s="23" t="s">
        <v>84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434.7</v>
      </c>
      <c r="H46" s="18">
        <v>380.1</v>
      </c>
      <c r="I46" s="18">
        <f t="shared" si="12"/>
        <v>87.43961352657006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54.599999999999966</v>
      </c>
      <c r="U46" s="24">
        <f>C46+G46-H46</f>
        <v>54.599999999999966</v>
      </c>
    </row>
    <row r="47" spans="1:23" s="7" customFormat="1" ht="24.75" customHeight="1">
      <c r="A47" s="122"/>
      <c r="B47" s="23" t="s">
        <v>75</v>
      </c>
      <c r="C47" s="41">
        <v>-472.8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4480.2</v>
      </c>
      <c r="H47" s="18">
        <v>4277.3</v>
      </c>
      <c r="I47" s="18">
        <f t="shared" si="12"/>
        <v>95.4711843221285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202.89999999999964</v>
      </c>
      <c r="U47" s="24">
        <f>C47+G47-H47</f>
        <v>-269.90000000000055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85</v>
      </c>
      <c r="C48" s="42">
        <f>C8+C44</f>
        <v>3581.7999999999997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232831.80000000002</v>
      </c>
      <c r="H48" s="16">
        <f>H8+H44</f>
        <v>168557.5</v>
      </c>
      <c r="I48" s="17">
        <f>H48/G48*100</f>
        <v>72.39453545434944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64274.299999999996</v>
      </c>
      <c r="U48" s="59">
        <f>U8+U44</f>
        <v>68126</v>
      </c>
      <c r="V48" s="108">
        <f>V44+V8</f>
        <v>-279.2</v>
      </c>
      <c r="W48" s="108">
        <f>W44+W8</f>
        <v>0</v>
      </c>
    </row>
    <row r="49" spans="1:21" ht="17.25" customHeight="1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</row>
    <row r="50" spans="1:21" ht="4.5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1:21" ht="18.75" customHeight="1" hidden="1">
      <c r="A51" s="120"/>
      <c r="B51" s="7" t="s">
        <v>90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91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32"/>
      <c r="C54" s="232"/>
      <c r="D54" s="232"/>
      <c r="E54" s="232"/>
      <c r="F54" s="232"/>
      <c r="T54" s="88"/>
    </row>
    <row r="55" spans="1:23" s="150" customFormat="1" ht="52.5" customHeight="1">
      <c r="A55" s="142"/>
      <c r="B55" s="227" t="s">
        <v>116</v>
      </c>
      <c r="C55" s="227"/>
      <c r="D55" s="227"/>
      <c r="E55" s="227"/>
      <c r="F55" s="227"/>
      <c r="G55" s="227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1:21" ht="49.5" customHeight="1" hidden="1">
      <c r="A56" s="125"/>
      <c r="B56" s="240" t="s">
        <v>40</v>
      </c>
      <c r="C56" s="240"/>
      <c r="D56" s="240"/>
      <c r="E56" s="240"/>
      <c r="F56" s="24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196" t="s">
        <v>114</v>
      </c>
      <c r="B57" s="196"/>
      <c r="C57" s="196"/>
      <c r="D57" s="196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43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44</v>
      </c>
      <c r="C61" s="43">
        <f>C10+C18+C21+C27+C37+C39+C41</f>
        <v>1648.7000000000003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4374.900000000001</v>
      </c>
    </row>
    <row r="62" spans="2:21" ht="18.75">
      <c r="B62" s="1" t="s">
        <v>45</v>
      </c>
      <c r="C62" s="43">
        <f>C12+C14+C15+C17+C19+C20+C26</f>
        <v>51.3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1024.4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2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2" sqref="I22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1" ht="18.75">
      <c r="B2" s="219" t="s">
        <v>93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43.5" customHeight="1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18.75">
      <c r="B4" s="77"/>
      <c r="C4" s="77"/>
      <c r="D4" s="77"/>
      <c r="E4" s="77"/>
      <c r="F4" s="77"/>
      <c r="U4" s="74" t="s">
        <v>53</v>
      </c>
    </row>
    <row r="5" spans="1:21" ht="35.25" customHeight="1">
      <c r="A5" s="117"/>
      <c r="B5" s="3"/>
      <c r="C5" s="221" t="s">
        <v>1</v>
      </c>
      <c r="D5" s="233" t="s">
        <v>108</v>
      </c>
      <c r="E5" s="234"/>
      <c r="F5" s="23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</row>
    <row r="6" spans="1:21" ht="21" customHeight="1">
      <c r="A6" s="4" t="s">
        <v>39</v>
      </c>
      <c r="B6" s="4" t="s">
        <v>49</v>
      </c>
      <c r="C6" s="222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</row>
    <row r="7" spans="1:21" ht="41.25" customHeight="1">
      <c r="A7" s="118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</row>
    <row r="8" spans="1:23" s="7" customFormat="1" ht="36" customHeight="1">
      <c r="A8" s="119"/>
      <c r="B8" s="75" t="s">
        <v>54</v>
      </c>
      <c r="C8" s="47">
        <f>SUM(C9:C43)</f>
        <v>-4209.200000000001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148610.19999999998</v>
      </c>
      <c r="H8" s="17">
        <f>SUM(H9:H43)</f>
        <v>107029.89999999998</v>
      </c>
      <c r="I8" s="17">
        <f aca="true" t="shared" si="1" ref="I8:I29">H8/G8*100</f>
        <v>72.02056117278624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41693.8</v>
      </c>
      <c r="U8" s="59">
        <f>SUMIF(U9:U43,"&gt;0",U9:U43)</f>
        <v>37798.899999999994</v>
      </c>
      <c r="V8" s="105">
        <f>SUMIF(T9:T43,"&lt;0",T9:T43)</f>
        <v>-113.49999999999994</v>
      </c>
      <c r="W8" s="105">
        <f>SUMIF(U9:U43,"&lt;0",U9:U43)</f>
        <v>-427.800000000001</v>
      </c>
    </row>
    <row r="9" spans="1:23" ht="39" customHeight="1">
      <c r="A9" s="120">
        <v>1</v>
      </c>
      <c r="B9" s="23" t="s">
        <v>55</v>
      </c>
      <c r="C9" s="41">
        <v>-2007.7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10154.4</v>
      </c>
      <c r="H9" s="18">
        <v>8311.2</v>
      </c>
      <c r="I9" s="18">
        <f t="shared" si="1"/>
        <v>81.84826282202789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1843.199999999999</v>
      </c>
      <c r="U9" s="16">
        <f aca="true" t="shared" si="5" ref="U9:U23">C9+G9-H9</f>
        <v>-164.5000000000009</v>
      </c>
      <c r="W9" s="19">
        <f>G9-H9</f>
        <v>1843.199999999999</v>
      </c>
    </row>
    <row r="10" spans="1:23" ht="36.75" customHeight="1">
      <c r="A10" s="120">
        <v>2</v>
      </c>
      <c r="B10" s="53" t="s">
        <v>89</v>
      </c>
      <c r="C10" s="41">
        <v>-332.1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3075.6</v>
      </c>
      <c r="H10" s="18">
        <v>2103.9</v>
      </c>
      <c r="I10" s="18">
        <f t="shared" si="1"/>
        <v>68.40616465079985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971.6999999999998</v>
      </c>
      <c r="U10" s="16">
        <f t="shared" si="5"/>
        <v>639.5999999999999</v>
      </c>
      <c r="W10" s="19">
        <f aca="true" t="shared" si="8" ref="W10:W43">G10-H10</f>
        <v>971.6999999999998</v>
      </c>
    </row>
    <row r="11" spans="1:23" ht="36" customHeight="1">
      <c r="A11" s="120">
        <v>3</v>
      </c>
      <c r="B11" s="25" t="s">
        <v>106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1111</v>
      </c>
      <c r="H11" s="18">
        <v>1159.1</v>
      </c>
      <c r="I11" s="18">
        <f t="shared" si="1"/>
        <v>104.32943294329434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-48.09999999999991</v>
      </c>
      <c r="U11" s="16">
        <f t="shared" si="5"/>
        <v>-48.09999999999991</v>
      </c>
      <c r="W11" s="19">
        <f t="shared" si="8"/>
        <v>-48.09999999999991</v>
      </c>
    </row>
    <row r="12" spans="1:23" ht="24" customHeight="1">
      <c r="A12" s="120">
        <v>4</v>
      </c>
      <c r="B12" s="23" t="s">
        <v>56</v>
      </c>
      <c r="C12" s="41">
        <v>-5.1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922.9</v>
      </c>
      <c r="H12" s="18">
        <v>690.5</v>
      </c>
      <c r="I12" s="18">
        <f t="shared" si="1"/>
        <v>74.81850688048543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232.39999999999998</v>
      </c>
      <c r="U12" s="16">
        <f t="shared" si="5"/>
        <v>227.29999999999995</v>
      </c>
      <c r="W12" s="19">
        <f t="shared" si="8"/>
        <v>232.39999999999998</v>
      </c>
    </row>
    <row r="13" spans="1:23" s="27" customFormat="1" ht="24" customHeight="1">
      <c r="A13" s="120">
        <v>5</v>
      </c>
      <c r="B13" s="23" t="s">
        <v>87</v>
      </c>
      <c r="C13" s="41">
        <v>489.8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4073.6</v>
      </c>
      <c r="H13" s="18">
        <v>3029.5</v>
      </c>
      <c r="I13" s="18">
        <f t="shared" si="1"/>
        <v>74.3691084053417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1044.1</v>
      </c>
      <c r="U13" s="16">
        <f t="shared" si="5"/>
        <v>1533.8999999999996</v>
      </c>
      <c r="W13" s="19">
        <f t="shared" si="8"/>
        <v>1044.1</v>
      </c>
    </row>
    <row r="14" spans="1:23" s="27" customFormat="1" ht="24" customHeight="1">
      <c r="A14" s="120">
        <v>6</v>
      </c>
      <c r="B14" s="23" t="s">
        <v>57</v>
      </c>
      <c r="C14" s="41">
        <v>20.5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2195.9</v>
      </c>
      <c r="H14" s="18">
        <v>1491.1</v>
      </c>
      <c r="I14" s="18">
        <f t="shared" si="1"/>
        <v>67.90382075686506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704.8000000000002</v>
      </c>
      <c r="U14" s="16">
        <f t="shared" si="5"/>
        <v>725.3000000000002</v>
      </c>
      <c r="W14" s="19">
        <f t="shared" si="8"/>
        <v>704.8000000000002</v>
      </c>
    </row>
    <row r="15" spans="1:23" ht="24" customHeight="1">
      <c r="A15" s="120">
        <v>7</v>
      </c>
      <c r="B15" s="23" t="s">
        <v>58</v>
      </c>
      <c r="C15" s="41">
        <v>0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2002.8</v>
      </c>
      <c r="H15" s="18">
        <v>2031.5</v>
      </c>
      <c r="I15" s="18">
        <f t="shared" si="1"/>
        <v>101.43299380866786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-28.700000000000045</v>
      </c>
      <c r="U15" s="16">
        <f t="shared" si="5"/>
        <v>-28.700000000000045</v>
      </c>
      <c r="W15" s="19">
        <f t="shared" si="8"/>
        <v>-28.700000000000045</v>
      </c>
    </row>
    <row r="16" spans="1:23" s="27" customFormat="1" ht="24" customHeight="1">
      <c r="A16" s="120">
        <v>8</v>
      </c>
      <c r="B16" s="23" t="s">
        <v>59</v>
      </c>
      <c r="C16" s="41">
        <v>-640.5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6002</v>
      </c>
      <c r="H16" s="18">
        <v>5368.5</v>
      </c>
      <c r="I16" s="18">
        <f t="shared" si="1"/>
        <v>89.44518493835389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633.5</v>
      </c>
      <c r="U16" s="16">
        <f t="shared" si="5"/>
        <v>-7</v>
      </c>
      <c r="W16" s="19">
        <f t="shared" si="8"/>
        <v>633.5</v>
      </c>
    </row>
    <row r="17" spans="1:23" s="27" customFormat="1" ht="24" customHeight="1">
      <c r="A17" s="120">
        <v>9</v>
      </c>
      <c r="B17" s="23" t="s">
        <v>60</v>
      </c>
      <c r="C17" s="41">
        <f>-126.8+(-51.7)</f>
        <v>-178.5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3909</v>
      </c>
      <c r="H17" s="18">
        <v>1042.9</v>
      </c>
      <c r="I17" s="18">
        <f t="shared" si="1"/>
        <v>26.67945766180609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2866.1</v>
      </c>
      <c r="U17" s="16">
        <f t="shared" si="5"/>
        <v>2687.6</v>
      </c>
      <c r="W17" s="19">
        <f t="shared" si="8"/>
        <v>2866.1</v>
      </c>
    </row>
    <row r="18" spans="1:23" ht="24" customHeight="1">
      <c r="A18" s="120">
        <v>10</v>
      </c>
      <c r="B18" s="25" t="s">
        <v>61</v>
      </c>
      <c r="C18" s="41">
        <v>-155.7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2475.1</v>
      </c>
      <c r="H18" s="18">
        <v>2317.1</v>
      </c>
      <c r="I18" s="18">
        <f t="shared" si="1"/>
        <v>93.6164195386045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158</v>
      </c>
      <c r="U18" s="16">
        <f t="shared" si="5"/>
        <v>2.300000000000182</v>
      </c>
      <c r="W18" s="19">
        <f t="shared" si="8"/>
        <v>158</v>
      </c>
    </row>
    <row r="19" spans="1:23" ht="24" customHeight="1">
      <c r="A19" s="120">
        <v>11</v>
      </c>
      <c r="B19" s="25" t="s">
        <v>62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1380.6</v>
      </c>
      <c r="H19" s="18">
        <v>1191.5</v>
      </c>
      <c r="I19" s="18">
        <f t="shared" si="1"/>
        <v>86.3030566420397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189.0999999999999</v>
      </c>
      <c r="U19" s="16">
        <f t="shared" si="5"/>
        <v>189.0999999999999</v>
      </c>
      <c r="W19" s="19">
        <f t="shared" si="8"/>
        <v>189.0999999999999</v>
      </c>
    </row>
    <row r="20" spans="1:23" ht="24" customHeight="1">
      <c r="A20" s="120">
        <v>12</v>
      </c>
      <c r="B20" s="23" t="s">
        <v>88</v>
      </c>
      <c r="C20" s="41">
        <f>-111.2+355.9</f>
        <v>244.7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4377+24</f>
        <v>4401</v>
      </c>
      <c r="H20" s="18">
        <f>2656.3+25</f>
        <v>2681.3</v>
      </c>
      <c r="I20" s="18">
        <f t="shared" si="1"/>
        <v>60.92478982049535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1719.6999999999998</v>
      </c>
      <c r="U20" s="16">
        <f t="shared" si="5"/>
        <v>1964.3999999999996</v>
      </c>
      <c r="W20" s="19">
        <f t="shared" si="8"/>
        <v>1719.6999999999998</v>
      </c>
    </row>
    <row r="21" spans="1:23" ht="24" customHeight="1">
      <c r="A21" s="120">
        <v>13</v>
      </c>
      <c r="B21" s="25" t="s">
        <v>63</v>
      </c>
      <c r="C21" s="41">
        <v>-0.1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0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0</v>
      </c>
      <c r="U21" s="16">
        <f t="shared" si="5"/>
        <v>-0.1</v>
      </c>
      <c r="W21" s="19">
        <f t="shared" si="8"/>
        <v>0</v>
      </c>
    </row>
    <row r="22" spans="1:23" ht="24" customHeight="1">
      <c r="A22" s="120">
        <v>14</v>
      </c>
      <c r="B22" s="25" t="s">
        <v>64</v>
      </c>
      <c r="C22" s="41">
        <v>182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335.7</v>
      </c>
      <c r="H22" s="18">
        <v>372.4</v>
      </c>
      <c r="I22" s="18">
        <f t="shared" si="1"/>
        <v>110.9323801012809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-36.69999999999999</v>
      </c>
      <c r="U22" s="16">
        <f t="shared" si="5"/>
        <v>145.30000000000007</v>
      </c>
      <c r="W22" s="19">
        <f t="shared" si="8"/>
        <v>-36.69999999999999</v>
      </c>
    </row>
    <row r="23" spans="1:23" ht="39.75" customHeight="1">
      <c r="A23" s="120">
        <v>15</v>
      </c>
      <c r="B23" s="25" t="s">
        <v>65</v>
      </c>
      <c r="C23" s="41">
        <v>5.4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4152.1</v>
      </c>
      <c r="H23" s="18">
        <v>4105</v>
      </c>
      <c r="I23" s="18">
        <f t="shared" si="1"/>
        <v>98.86563425736374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47.100000000000364</v>
      </c>
      <c r="U23" s="16">
        <f t="shared" si="5"/>
        <v>52.5</v>
      </c>
      <c r="W23" s="19">
        <f t="shared" si="8"/>
        <v>47.100000000000364</v>
      </c>
    </row>
    <row r="24" spans="1:23" ht="24" customHeight="1">
      <c r="A24" s="120">
        <v>16</v>
      </c>
      <c r="B24" s="25" t="s">
        <v>66</v>
      </c>
      <c r="C24" s="70"/>
      <c r="D24" s="186" t="s">
        <v>100</v>
      </c>
      <c r="E24" s="186"/>
      <c r="F24" s="186"/>
      <c r="G24" s="186" t="s">
        <v>100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  <c r="W24" s="19" t="e">
        <f t="shared" si="8"/>
        <v>#VALUE!</v>
      </c>
    </row>
    <row r="25" spans="1:23" ht="36" customHeight="1">
      <c r="A25" s="120">
        <v>17</v>
      </c>
      <c r="B25" s="25" t="s">
        <v>67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6775.5</v>
      </c>
      <c r="H25" s="18">
        <v>6775.5</v>
      </c>
      <c r="I25" s="18">
        <f t="shared" si="1"/>
        <v>100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0</v>
      </c>
      <c r="U25" s="16">
        <f>C25+G25-H25</f>
        <v>0</v>
      </c>
      <c r="W25" s="19">
        <f t="shared" si="8"/>
        <v>0</v>
      </c>
    </row>
    <row r="26" spans="1:23" ht="24" customHeight="1">
      <c r="A26" s="120">
        <v>18</v>
      </c>
      <c r="B26" s="23" t="s">
        <v>68</v>
      </c>
      <c r="C26" s="41">
        <v>-630.7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1835.5</v>
      </c>
      <c r="H26" s="18">
        <v>1384.2</v>
      </c>
      <c r="I26" s="18">
        <f t="shared" si="1"/>
        <v>75.41269408880414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451.29999999999995</v>
      </c>
      <c r="U26" s="16">
        <f>C26+G26-H26</f>
        <v>-179.4000000000001</v>
      </c>
      <c r="W26" s="19">
        <f t="shared" si="8"/>
        <v>451.29999999999995</v>
      </c>
    </row>
    <row r="27" spans="1:23" s="27" customFormat="1" ht="24" customHeight="1">
      <c r="A27" s="120">
        <v>19</v>
      </c>
      <c r="B27" s="25" t="s">
        <v>69</v>
      </c>
      <c r="C27" s="41">
        <v>-149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2933.6</v>
      </c>
      <c r="H27" s="18">
        <v>2104</v>
      </c>
      <c r="I27" s="18">
        <f t="shared" si="1"/>
        <v>71.7207526588492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829.5999999999999</v>
      </c>
      <c r="U27" s="16">
        <f>C27+G27-H27</f>
        <v>680.5999999999999</v>
      </c>
      <c r="W27" s="19">
        <f t="shared" si="8"/>
        <v>829.5999999999999</v>
      </c>
    </row>
    <row r="28" spans="1:23" ht="39" customHeight="1">
      <c r="A28" s="120">
        <v>20</v>
      </c>
      <c r="B28" s="25" t="s">
        <v>103</v>
      </c>
      <c r="C28" s="41">
        <v>-25.3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4080.4</v>
      </c>
      <c r="H28" s="18">
        <v>1345.6</v>
      </c>
      <c r="I28" s="18">
        <f t="shared" si="1"/>
        <v>32.977159102048816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2734.8</v>
      </c>
      <c r="U28" s="16">
        <f>C28+G28-H28</f>
        <v>2709.5</v>
      </c>
      <c r="W28" s="19">
        <f t="shared" si="8"/>
        <v>2734.8</v>
      </c>
    </row>
    <row r="29" spans="1:23" ht="39" customHeight="1">
      <c r="A29" s="120">
        <v>21</v>
      </c>
      <c r="B29" s="23" t="s">
        <v>70</v>
      </c>
      <c r="C29" s="41">
        <v>0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1145.8+3909.7+303.5</f>
        <v>5359</v>
      </c>
      <c r="H29" s="18">
        <f>943.2+3616.4+303.5</f>
        <v>4863.1</v>
      </c>
      <c r="I29" s="18">
        <f t="shared" si="1"/>
        <v>90.74640791192388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495.89999999999964</v>
      </c>
      <c r="U29" s="16">
        <f>C29+G29-H29</f>
        <v>495.89999999999964</v>
      </c>
      <c r="W29" s="19">
        <f t="shared" si="8"/>
        <v>495.89999999999964</v>
      </c>
    </row>
    <row r="30" spans="1:23" ht="24" customHeight="1">
      <c r="A30" s="120">
        <v>22</v>
      </c>
      <c r="B30" s="23" t="s">
        <v>71</v>
      </c>
      <c r="C30" s="71"/>
      <c r="D30" s="188" t="s">
        <v>100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W30" s="19">
        <f t="shared" si="8"/>
        <v>0</v>
      </c>
    </row>
    <row r="31" spans="1:23" ht="24" customHeight="1">
      <c r="A31" s="120">
        <v>23</v>
      </c>
      <c r="B31" s="25" t="s">
        <v>72</v>
      </c>
      <c r="C31" s="83"/>
      <c r="D31" s="190"/>
      <c r="E31" s="190"/>
      <c r="F31" s="190"/>
      <c r="G31" s="190" t="s">
        <v>100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W31" s="19" t="e">
        <f t="shared" si="8"/>
        <v>#VALUE!</v>
      </c>
    </row>
    <row r="32" spans="1:23" ht="24" customHeight="1">
      <c r="A32" s="120">
        <v>24</v>
      </c>
      <c r="B32" s="25" t="s">
        <v>73</v>
      </c>
      <c r="C32" s="8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W32" s="19">
        <f t="shared" si="8"/>
        <v>0</v>
      </c>
    </row>
    <row r="33" spans="1:23" ht="24" customHeight="1">
      <c r="A33" s="120">
        <v>25</v>
      </c>
      <c r="B33" s="25" t="s">
        <v>95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119</v>
      </c>
      <c r="C34" s="41">
        <f>383.4+(-35.8)</f>
        <v>347.59999999999997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f>3997.1+16981.9</f>
        <v>20979</v>
      </c>
      <c r="H34" s="18">
        <f>3960.9+16150.3</f>
        <v>20111.2</v>
      </c>
      <c r="I34" s="18">
        <f aca="true" t="shared" si="13" ref="I34:I49">H34/G34*100</f>
        <v>95.8634825301492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867.7999999999993</v>
      </c>
      <c r="U34" s="16">
        <f aca="true" t="shared" si="17" ref="U34:U43">C34+G34-H34</f>
        <v>1215.3999999999978</v>
      </c>
      <c r="W34" s="19">
        <f t="shared" si="8"/>
        <v>867.7999999999993</v>
      </c>
    </row>
    <row r="35" spans="1:23" ht="24.75" customHeight="1">
      <c r="A35" s="121"/>
      <c r="B35" s="25" t="s">
        <v>75</v>
      </c>
      <c r="C35" s="41">
        <v>65.4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517.3</v>
      </c>
      <c r="H35" s="18">
        <v>436.5</v>
      </c>
      <c r="I35" s="18">
        <f t="shared" si="13"/>
        <v>84.38043688381984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80.79999999999995</v>
      </c>
      <c r="U35" s="16">
        <f t="shared" si="17"/>
        <v>146.19999999999993</v>
      </c>
      <c r="W35" s="19">
        <f t="shared" si="8"/>
        <v>80.79999999999995</v>
      </c>
    </row>
    <row r="36" spans="1:23" ht="37.5" customHeight="1">
      <c r="A36" s="120">
        <v>26</v>
      </c>
      <c r="B36" s="25" t="s">
        <v>104</v>
      </c>
      <c r="C36" s="41">
        <v>7.9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2596.2</v>
      </c>
      <c r="H36" s="18">
        <v>1754.9</v>
      </c>
      <c r="I36" s="18">
        <f t="shared" si="13"/>
        <v>67.59494646021108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841.2999999999997</v>
      </c>
      <c r="U36" s="16">
        <f t="shared" si="17"/>
        <v>849.1999999999998</v>
      </c>
      <c r="W36" s="19">
        <f t="shared" si="8"/>
        <v>841.2999999999997</v>
      </c>
    </row>
    <row r="37" spans="1:23" ht="24" customHeight="1">
      <c r="A37" s="120">
        <v>27</v>
      </c>
      <c r="B37" s="23" t="s">
        <v>76</v>
      </c>
      <c r="C37" s="41">
        <v>-78.5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3322.1</v>
      </c>
      <c r="H37" s="18">
        <v>1719.9</v>
      </c>
      <c r="I37" s="18">
        <f t="shared" si="13"/>
        <v>51.77146985340598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1602.1999999999998</v>
      </c>
      <c r="U37" s="16">
        <f t="shared" si="17"/>
        <v>1523.6999999999998</v>
      </c>
      <c r="W37" s="19">
        <f t="shared" si="8"/>
        <v>1602.1999999999998</v>
      </c>
    </row>
    <row r="38" spans="1:23" ht="24" customHeight="1">
      <c r="A38" s="120">
        <v>28</v>
      </c>
      <c r="B38" s="25" t="s">
        <v>77</v>
      </c>
      <c r="C38" s="41">
        <v>-1152.5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9991.8</v>
      </c>
      <c r="H38" s="18">
        <v>6072.9</v>
      </c>
      <c r="I38" s="18">
        <f t="shared" si="13"/>
        <v>60.7788386476911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3918.8999999999996</v>
      </c>
      <c r="U38" s="16">
        <f t="shared" si="17"/>
        <v>2766.3999999999996</v>
      </c>
      <c r="V38" s="19"/>
      <c r="W38" s="19">
        <f t="shared" si="8"/>
        <v>3918.8999999999996</v>
      </c>
    </row>
    <row r="39" spans="1:23" ht="24" customHeight="1">
      <c r="A39" s="120">
        <v>29</v>
      </c>
      <c r="B39" s="25" t="s">
        <v>78</v>
      </c>
      <c r="C39" s="41">
        <v>92.7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12865.6</v>
      </c>
      <c r="H39" s="18">
        <v>6714.1</v>
      </c>
      <c r="I39" s="18">
        <f t="shared" si="13"/>
        <v>52.18645069021266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6151.5</v>
      </c>
      <c r="U39" s="16">
        <f t="shared" si="17"/>
        <v>6244.200000000001</v>
      </c>
      <c r="W39" s="19">
        <f t="shared" si="8"/>
        <v>6151.5</v>
      </c>
    </row>
    <row r="40" spans="1:23" s="27" customFormat="1" ht="26.25" customHeight="1">
      <c r="A40" s="120">
        <v>30</v>
      </c>
      <c r="B40" s="25" t="s">
        <v>105</v>
      </c>
      <c r="C40" s="41">
        <f>-607.1+(-44.9)</f>
        <v>-652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15945.4+455</f>
        <v>16400.4</v>
      </c>
      <c r="H40" s="18">
        <f>7264.5+432.1</f>
        <v>7696.6</v>
      </c>
      <c r="I40" s="18">
        <f t="shared" si="13"/>
        <v>46.929343186751545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8703.800000000001</v>
      </c>
      <c r="U40" s="16">
        <f t="shared" si="17"/>
        <v>8051.800000000001</v>
      </c>
      <c r="W40" s="19">
        <f t="shared" si="8"/>
        <v>8703.800000000001</v>
      </c>
    </row>
    <row r="41" spans="1:23" ht="24.75" customHeight="1">
      <c r="A41" s="120">
        <v>31</v>
      </c>
      <c r="B41" s="25" t="s">
        <v>79</v>
      </c>
      <c r="C41" s="41">
        <v>9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584.4</v>
      </c>
      <c r="H41" s="18">
        <v>577.9</v>
      </c>
      <c r="I41" s="18">
        <f t="shared" si="13"/>
        <v>98.88774811772758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6.5</v>
      </c>
      <c r="U41" s="16">
        <f t="shared" si="17"/>
        <v>15.5</v>
      </c>
      <c r="W41" s="19">
        <f t="shared" si="8"/>
        <v>6.5</v>
      </c>
    </row>
    <row r="42" spans="1:23" s="27" customFormat="1" ht="36.75" customHeight="1">
      <c r="A42" s="120">
        <v>32</v>
      </c>
      <c r="B42" s="23" t="s">
        <v>80</v>
      </c>
      <c r="C42" s="41">
        <f>-15.7+(-30)</f>
        <v>-45.7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6145.2+263.1</f>
        <v>6408.3</v>
      </c>
      <c r="H42" s="18">
        <f>4430.2+265.7</f>
        <v>4695.9</v>
      </c>
      <c r="I42" s="18">
        <f t="shared" si="13"/>
        <v>73.27840456907447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1712.4000000000005</v>
      </c>
      <c r="U42" s="16">
        <f t="shared" si="17"/>
        <v>1666.7000000000007</v>
      </c>
      <c r="W42" s="19">
        <f t="shared" si="8"/>
        <v>1712.4000000000005</v>
      </c>
    </row>
    <row r="43" spans="1:23" s="27" customFormat="1" ht="23.25" customHeight="1">
      <c r="A43" s="120">
        <v>33</v>
      </c>
      <c r="B43" s="25" t="s">
        <v>81</v>
      </c>
      <c r="C43" s="41">
        <f>94.9+284.3</f>
        <v>379.20000000000005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5214.6+2554.8</f>
        <v>7769.400000000001</v>
      </c>
      <c r="H43" s="18">
        <f>2774.9+2107.2</f>
        <v>4882.1</v>
      </c>
      <c r="I43" s="18">
        <f t="shared" si="13"/>
        <v>62.83754215254718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2887.3</v>
      </c>
      <c r="U43" s="16">
        <f t="shared" si="17"/>
        <v>3266.5</v>
      </c>
      <c r="W43" s="19">
        <f t="shared" si="8"/>
        <v>2887.3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232761.4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238926.3</v>
      </c>
      <c r="H44" s="16">
        <f>H45+H46+H47</f>
        <v>171034.7</v>
      </c>
      <c r="I44" s="17">
        <f t="shared" si="13"/>
        <v>71.58471043162683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67891.6</v>
      </c>
      <c r="U44" s="59">
        <f>SUMIF(U45:U47,"&gt;0",U45:U47)</f>
        <v>300653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83</v>
      </c>
      <c r="C45" s="41">
        <f>3728+229034</f>
        <v>232762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56728+173971</f>
        <v>230699</v>
      </c>
      <c r="H45" s="18">
        <f>42844+115429+2162+3552</f>
        <v>163987</v>
      </c>
      <c r="I45" s="18">
        <f t="shared" si="13"/>
        <v>71.08266615806744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66712</v>
      </c>
      <c r="U45" s="24">
        <f>C45+G45-H45</f>
        <v>299474</v>
      </c>
      <c r="W45" s="19"/>
    </row>
    <row r="46" spans="1:23" s="28" customFormat="1" ht="24.75" customHeight="1">
      <c r="A46" s="122"/>
      <c r="B46" s="23" t="s">
        <v>84</v>
      </c>
      <c r="C46" s="41">
        <v>-0.6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2071.4</v>
      </c>
      <c r="H46" s="18">
        <v>2069.6</v>
      </c>
      <c r="I46" s="18">
        <f t="shared" si="13"/>
        <v>99.91310224968619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1.800000000000182</v>
      </c>
      <c r="U46" s="24">
        <f>C46+G46-H46</f>
        <v>1.2000000000002728</v>
      </c>
      <c r="W46" s="19"/>
    </row>
    <row r="47" spans="1:23" s="7" customFormat="1" ht="24.75" customHeight="1">
      <c r="A47" s="122"/>
      <c r="B47" s="23" t="s">
        <v>75</v>
      </c>
      <c r="C47" s="41">
        <v>0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6155.9</v>
      </c>
      <c r="H47" s="18">
        <v>4978.1</v>
      </c>
      <c r="I47" s="18">
        <f t="shared" si="13"/>
        <v>80.86713559349569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1177.7999999999993</v>
      </c>
      <c r="U47" s="24">
        <f>C47+G47-H47</f>
        <v>1177.7999999999993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85</v>
      </c>
      <c r="C48" s="42">
        <f>C8+C44</f>
        <v>228552.19999999998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387536.5</v>
      </c>
      <c r="H48" s="16">
        <f>H44+H8</f>
        <v>278064.6</v>
      </c>
      <c r="I48" s="17">
        <f t="shared" si="13"/>
        <v>71.75184789045676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109585.40000000001</v>
      </c>
      <c r="U48" s="59">
        <f>U44+U8</f>
        <v>338451.9</v>
      </c>
      <c r="V48" s="108">
        <f>V44+V8</f>
        <v>-122.49999999999994</v>
      </c>
      <c r="W48" s="108">
        <f>W44+W8</f>
        <v>-436.800000000001</v>
      </c>
    </row>
    <row r="49" spans="2:21" ht="84.75" customHeight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114086.8</v>
      </c>
      <c r="U49" s="12"/>
    </row>
    <row r="50" spans="2:21" ht="33.75" customHeight="1">
      <c r="B50" s="241"/>
      <c r="C50" s="241"/>
      <c r="D50" s="241"/>
      <c r="E50" s="241"/>
      <c r="F50" s="241"/>
      <c r="G50" s="241"/>
      <c r="H50" s="241"/>
      <c r="I50" s="241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90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91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303004</v>
      </c>
    </row>
    <row r="55" spans="1:23" s="150" customFormat="1" ht="48.75" customHeight="1">
      <c r="A55" s="142"/>
      <c r="B55" s="227" t="s">
        <v>116</v>
      </c>
      <c r="C55" s="227"/>
      <c r="D55" s="227"/>
      <c r="E55" s="227"/>
      <c r="F55" s="227"/>
      <c r="G55" s="227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2:21" ht="46.5" customHeight="1" hidden="1">
      <c r="B56" s="242" t="s">
        <v>40</v>
      </c>
      <c r="C56" s="242"/>
      <c r="D56" s="242"/>
      <c r="E56" s="242"/>
      <c r="F56" s="24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>
      <c r="A57" s="196" t="s">
        <v>114</v>
      </c>
      <c r="B57" s="196"/>
      <c r="C57" s="196"/>
      <c r="D57" s="196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42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43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-613.7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9105.800000000001</v>
      </c>
    </row>
    <row r="63" spans="2:21" ht="18.75">
      <c r="B63" s="1" t="s">
        <v>45</v>
      </c>
      <c r="C63" s="43">
        <f>C12+C14+C15+C17+C19+C20+C26</f>
        <v>-549.1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5585.6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5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2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2" sqref="I22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2:21" ht="18.75">
      <c r="B2" s="219" t="s">
        <v>94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37.5" customHeight="1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18.75">
      <c r="B4" s="220"/>
      <c r="C4" s="220"/>
      <c r="D4" s="220"/>
      <c r="E4" s="220"/>
      <c r="F4" s="220"/>
      <c r="U4" s="74" t="s">
        <v>53</v>
      </c>
    </row>
    <row r="5" spans="1:21" ht="34.5" customHeight="1">
      <c r="A5" s="117"/>
      <c r="B5" s="3"/>
      <c r="C5" s="221" t="s">
        <v>1</v>
      </c>
      <c r="D5" s="233" t="s">
        <v>108</v>
      </c>
      <c r="E5" s="234"/>
      <c r="F5" s="23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117</v>
      </c>
      <c r="U5" s="206" t="s">
        <v>124</v>
      </c>
    </row>
    <row r="6" spans="1:21" ht="21" customHeight="1">
      <c r="A6" s="4" t="s">
        <v>39</v>
      </c>
      <c r="B6" s="4" t="s">
        <v>49</v>
      </c>
      <c r="C6" s="222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</row>
    <row r="8" spans="1:23" s="7" customFormat="1" ht="36" customHeight="1">
      <c r="A8" s="119"/>
      <c r="B8" s="75" t="s">
        <v>54</v>
      </c>
      <c r="C8" s="47">
        <f>SUM(C9:C43)</f>
        <v>-2614.8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18818.600000000002</v>
      </c>
      <c r="H8" s="17">
        <f>SUM(H9:H43)</f>
        <v>14693.899999999998</v>
      </c>
      <c r="I8" s="17">
        <f aca="true" t="shared" si="1" ref="I8:I46">H8/G8*100</f>
        <v>78.08179141912787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4614</v>
      </c>
      <c r="U8" s="60">
        <f>SUMIF(U9:U43,"&gt;0",U9:U43)</f>
        <v>2150.4</v>
      </c>
      <c r="V8" s="105">
        <f>SUMIF(T9:T43,"&lt;0",T9:T43)</f>
        <v>-489.3000000000002</v>
      </c>
      <c r="W8" s="105">
        <f>SUMIF(U9:U43,"&lt;0",U9:U43)</f>
        <v>-640.5000000000001</v>
      </c>
    </row>
    <row r="9" spans="1:23" ht="37.5" customHeight="1">
      <c r="A9" s="120">
        <v>1</v>
      </c>
      <c r="B9" s="23" t="s">
        <v>55</v>
      </c>
      <c r="C9" s="41">
        <v>-150.7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887.9</v>
      </c>
      <c r="H9" s="18">
        <v>737.1</v>
      </c>
      <c r="I9" s="18">
        <f t="shared" si="1"/>
        <v>83.01610541727672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150.79999999999995</v>
      </c>
      <c r="U9" s="16">
        <f aca="true" t="shared" si="3" ref="U9:U23">C9+G9-H9</f>
        <v>0.10000000000002274</v>
      </c>
      <c r="W9" s="19">
        <f>G9-H9</f>
        <v>150.79999999999995</v>
      </c>
    </row>
    <row r="10" spans="1:23" ht="36.75" customHeight="1">
      <c r="A10" s="120">
        <v>2</v>
      </c>
      <c r="B10" s="53" t="s">
        <v>89</v>
      </c>
      <c r="C10" s="41">
        <v>-126.5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420.2</v>
      </c>
      <c r="H10" s="18">
        <v>0</v>
      </c>
      <c r="I10" s="18">
        <f t="shared" si="1"/>
        <v>0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420.2</v>
      </c>
      <c r="U10" s="16">
        <f t="shared" si="3"/>
        <v>293.7</v>
      </c>
      <c r="W10" s="19">
        <f aca="true" t="shared" si="6" ref="W10:W46">G10-H10</f>
        <v>420.2</v>
      </c>
    </row>
    <row r="11" spans="1:23" ht="36" customHeight="1">
      <c r="A11" s="120">
        <v>3</v>
      </c>
      <c r="B11" s="25" t="s">
        <v>106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56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87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57</v>
      </c>
      <c r="C14" s="41">
        <v>-4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116.3</v>
      </c>
      <c r="H14" s="18">
        <v>95.9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20.39999999999999</v>
      </c>
      <c r="U14" s="16">
        <f t="shared" si="3"/>
        <v>16.39999999999999</v>
      </c>
      <c r="W14" s="19">
        <f t="shared" si="6"/>
        <v>20.39999999999999</v>
      </c>
    </row>
    <row r="15" spans="1:23" ht="24" customHeight="1">
      <c r="A15" s="120">
        <v>7</v>
      </c>
      <c r="B15" s="23" t="s">
        <v>58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59</v>
      </c>
      <c r="C16" s="41">
        <v>-255.9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1268.8</v>
      </c>
      <c r="H16" s="18">
        <v>490.1</v>
      </c>
      <c r="I16" s="18">
        <f t="shared" si="1"/>
        <v>38.62704918032787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778.6999999999999</v>
      </c>
      <c r="U16" s="16">
        <f t="shared" si="3"/>
        <v>522.8</v>
      </c>
      <c r="W16" s="19">
        <f t="shared" si="6"/>
        <v>778.6999999999999</v>
      </c>
    </row>
    <row r="17" spans="1:23" s="27" customFormat="1" ht="24" customHeight="1">
      <c r="A17" s="120">
        <v>9</v>
      </c>
      <c r="B17" s="23" t="s">
        <v>60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61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62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88</v>
      </c>
      <c r="C20" s="41">
        <f>-0.3+0.1</f>
        <v>-0.19999999999999998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1952.1+110.6</f>
        <v>2062.7</v>
      </c>
      <c r="H20" s="18">
        <f>2058.4+110.8</f>
        <v>2169.2000000000003</v>
      </c>
      <c r="I20" s="18">
        <f t="shared" si="1"/>
        <v>105.16313569593254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-106.50000000000045</v>
      </c>
      <c r="U20" s="16">
        <f t="shared" si="3"/>
        <v>-106.70000000000027</v>
      </c>
      <c r="W20" s="19">
        <f t="shared" si="6"/>
        <v>-106.50000000000045</v>
      </c>
    </row>
    <row r="21" spans="1:23" ht="24" customHeight="1">
      <c r="A21" s="120">
        <v>13</v>
      </c>
      <c r="B21" s="25" t="s">
        <v>63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-10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10</v>
      </c>
      <c r="U21" s="16">
        <f t="shared" si="3"/>
        <v>-1.6999999999999993</v>
      </c>
      <c r="W21" s="19">
        <f t="shared" si="6"/>
        <v>10</v>
      </c>
    </row>
    <row r="22" spans="1:23" ht="24" customHeight="1">
      <c r="A22" s="120">
        <v>14</v>
      </c>
      <c r="B22" s="25" t="s">
        <v>64</v>
      </c>
      <c r="C22" s="41">
        <v>-513.7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1276.5</v>
      </c>
      <c r="H22" s="18">
        <v>770</v>
      </c>
      <c r="I22" s="18">
        <f t="shared" si="1"/>
        <v>60.32119075597336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506.5</v>
      </c>
      <c r="U22" s="16">
        <f t="shared" si="3"/>
        <v>-7.2000000000000455</v>
      </c>
      <c r="V22" s="19">
        <f>U22+U38</f>
        <v>509.9999999999998</v>
      </c>
      <c r="W22" s="19">
        <f t="shared" si="6"/>
        <v>506.5</v>
      </c>
    </row>
    <row r="23" spans="1:23" ht="39.75" customHeight="1">
      <c r="A23" s="120">
        <v>15</v>
      </c>
      <c r="B23" s="25" t="s">
        <v>65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66</v>
      </c>
      <c r="C24" s="41"/>
      <c r="D24" s="243" t="s">
        <v>86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  <c r="W24" s="19">
        <f t="shared" si="6"/>
        <v>0</v>
      </c>
    </row>
    <row r="25" spans="1:23" ht="36" customHeight="1">
      <c r="A25" s="120">
        <v>17</v>
      </c>
      <c r="B25" s="25" t="s">
        <v>67</v>
      </c>
      <c r="C25" s="41">
        <v>-161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1276.1</v>
      </c>
      <c r="H25" s="18">
        <v>1133.5</v>
      </c>
      <c r="I25" s="18">
        <f t="shared" si="1"/>
        <v>88.8253271687172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142.5999999999999</v>
      </c>
      <c r="U25" s="16">
        <f>C25+G25-H25</f>
        <v>-18.40000000000009</v>
      </c>
      <c r="W25" s="19">
        <f t="shared" si="6"/>
        <v>142.5999999999999</v>
      </c>
    </row>
    <row r="26" spans="1:23" ht="24" customHeight="1">
      <c r="A26" s="120">
        <v>18</v>
      </c>
      <c r="B26" s="23" t="s">
        <v>68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533.1</v>
      </c>
      <c r="H26" s="18">
        <v>586.9</v>
      </c>
      <c r="I26" s="18">
        <f t="shared" si="1"/>
        <v>110.09191521290565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-53.799999999999955</v>
      </c>
      <c r="U26" s="16">
        <f>C26+G26-H26</f>
        <v>-53.799999999999955</v>
      </c>
      <c r="W26" s="19">
        <f t="shared" si="6"/>
        <v>-53.799999999999955</v>
      </c>
    </row>
    <row r="27" spans="1:23" s="27" customFormat="1" ht="24" customHeight="1">
      <c r="A27" s="120">
        <v>19</v>
      </c>
      <c r="B27" s="25" t="s">
        <v>69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103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70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71</v>
      </c>
      <c r="C30" s="71"/>
      <c r="D30" s="245" t="s">
        <v>86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W30" s="19">
        <f t="shared" si="6"/>
        <v>0</v>
      </c>
    </row>
    <row r="31" spans="1:23" ht="24" customHeight="1">
      <c r="A31" s="120">
        <v>23</v>
      </c>
      <c r="B31" s="25" t="s">
        <v>72</v>
      </c>
      <c r="C31" s="83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8"/>
      <c r="W31" s="19">
        <f t="shared" si="6"/>
        <v>0</v>
      </c>
    </row>
    <row r="32" spans="1:23" ht="24" customHeight="1">
      <c r="A32" s="120">
        <v>24</v>
      </c>
      <c r="B32" s="25" t="s">
        <v>73</v>
      </c>
      <c r="C32" s="84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50"/>
      <c r="W32" s="19">
        <f t="shared" si="6"/>
        <v>0</v>
      </c>
    </row>
    <row r="33" spans="1:23" ht="24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119</v>
      </c>
      <c r="C34" s="41">
        <v>-480.6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1433.7</v>
      </c>
      <c r="H34" s="18">
        <f>-480.6+1521.1</f>
        <v>1040.5</v>
      </c>
      <c r="I34" s="18">
        <v>0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393.20000000000005</v>
      </c>
      <c r="U34" s="16">
        <f aca="true" t="shared" si="14" ref="U34:U43">C34+G34-H34</f>
        <v>-87.39999999999998</v>
      </c>
      <c r="W34" s="19">
        <f t="shared" si="6"/>
        <v>393.20000000000005</v>
      </c>
    </row>
    <row r="35" spans="1:23" ht="24.75" customHeight="1">
      <c r="A35" s="121"/>
      <c r="B35" s="25" t="s">
        <v>75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2501.3</v>
      </c>
      <c r="H35" s="18">
        <v>2826.6</v>
      </c>
      <c r="I35" s="18">
        <f t="shared" si="1"/>
        <v>113.00523727661616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-325.2999999999997</v>
      </c>
      <c r="U35" s="16">
        <f t="shared" si="14"/>
        <v>-325.2999999999997</v>
      </c>
      <c r="W35" s="19">
        <f t="shared" si="6"/>
        <v>-325.2999999999997</v>
      </c>
    </row>
    <row r="36" spans="1:23" ht="37.5" customHeight="1">
      <c r="A36" s="120">
        <v>26</v>
      </c>
      <c r="B36" s="25" t="s">
        <v>104</v>
      </c>
      <c r="C36" s="41">
        <v>-0.1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614.8</v>
      </c>
      <c r="H36" s="18">
        <v>618.5</v>
      </c>
      <c r="I36" s="18">
        <f t="shared" si="1"/>
        <v>100.60182173064412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-3.7000000000000455</v>
      </c>
      <c r="U36" s="16">
        <f t="shared" si="14"/>
        <v>-3.800000000000068</v>
      </c>
      <c r="W36" s="19">
        <f t="shared" si="6"/>
        <v>-3.7000000000000455</v>
      </c>
    </row>
    <row r="37" spans="1:23" ht="24" customHeight="1">
      <c r="A37" s="120">
        <v>27</v>
      </c>
      <c r="B37" s="23" t="s">
        <v>76</v>
      </c>
      <c r="C37" s="41">
        <v>-369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1135.2</v>
      </c>
      <c r="H37" s="18">
        <v>770.3</v>
      </c>
      <c r="I37" s="18">
        <f t="shared" si="1"/>
        <v>67.85588442565185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364.9000000000001</v>
      </c>
      <c r="U37" s="16">
        <f t="shared" si="14"/>
        <v>-4.099999999999909</v>
      </c>
      <c r="W37" s="19">
        <f t="shared" si="6"/>
        <v>364.9000000000001</v>
      </c>
    </row>
    <row r="38" spans="1:23" ht="24" customHeight="1">
      <c r="A38" s="120">
        <v>28</v>
      </c>
      <c r="B38" s="25" t="s">
        <v>77</v>
      </c>
      <c r="C38" s="41">
        <f>-630.2-(-513.7)</f>
        <v>-116.5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2746.6-1276.5</f>
        <v>1470.1</v>
      </c>
      <c r="H38" s="18">
        <f>1606.4-770</f>
        <v>836.4000000000001</v>
      </c>
      <c r="I38" s="18">
        <f t="shared" si="1"/>
        <v>56.89408883749406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633.6999999999998</v>
      </c>
      <c r="U38" s="16">
        <f t="shared" si="14"/>
        <v>517.1999999999998</v>
      </c>
      <c r="W38" s="19">
        <f t="shared" si="6"/>
        <v>633.6999999999998</v>
      </c>
    </row>
    <row r="39" spans="1:23" ht="24" customHeight="1">
      <c r="A39" s="120">
        <v>29</v>
      </c>
      <c r="B39" s="25" t="s">
        <v>78</v>
      </c>
      <c r="C39" s="41">
        <v>-56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1111.8</v>
      </c>
      <c r="H39" s="18">
        <v>1087.9</v>
      </c>
      <c r="I39" s="18">
        <f t="shared" si="1"/>
        <v>97.85033279366793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23.899999999999864</v>
      </c>
      <c r="U39" s="16">
        <f t="shared" si="14"/>
        <v>-32.100000000000136</v>
      </c>
      <c r="W39" s="19">
        <f t="shared" si="6"/>
        <v>23.899999999999864</v>
      </c>
    </row>
    <row r="40" spans="1:23" s="27" customFormat="1" ht="37.5" customHeight="1">
      <c r="A40" s="120">
        <v>30</v>
      </c>
      <c r="B40" s="25" t="s">
        <v>105</v>
      </c>
      <c r="C40" s="41">
        <v>-80.8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1305.2</v>
      </c>
      <c r="H40" s="18">
        <v>571</v>
      </c>
      <c r="I40" s="18">
        <f t="shared" si="1"/>
        <v>43.74808458473797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734.2</v>
      </c>
      <c r="U40" s="16">
        <f t="shared" si="14"/>
        <v>653.4000000000001</v>
      </c>
      <c r="W40" s="19">
        <f t="shared" si="6"/>
        <v>734.2</v>
      </c>
    </row>
    <row r="41" spans="1:23" ht="24.75" customHeight="1">
      <c r="A41" s="120">
        <v>31</v>
      </c>
      <c r="B41" s="25" t="s">
        <v>79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80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81</v>
      </c>
      <c r="C43" s="41">
        <v>-288.1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1404.9</v>
      </c>
      <c r="H43" s="18">
        <v>970</v>
      </c>
      <c r="I43" s="18">
        <f t="shared" si="1"/>
        <v>69.0440600754502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434.9000000000001</v>
      </c>
      <c r="U43" s="16">
        <f t="shared" si="14"/>
        <v>146.80000000000018</v>
      </c>
      <c r="W43" s="19">
        <f t="shared" si="6"/>
        <v>434.9000000000001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-3700.3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58659.2</v>
      </c>
      <c r="H44" s="16">
        <f>H45+H46+H47</f>
        <v>52607.9</v>
      </c>
      <c r="I44" s="17">
        <f t="shared" si="1"/>
        <v>89.6839711417817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6051.299999999999</v>
      </c>
      <c r="U44" s="59">
        <f>SUMIF(U45:U47,"&gt;0",U45:U47)</f>
        <v>2350.9999999999995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83</v>
      </c>
      <c r="C45" s="41">
        <v>-3683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54070</v>
      </c>
      <c r="H45" s="18">
        <f>47809+709</f>
        <v>48518</v>
      </c>
      <c r="I45" s="18">
        <f t="shared" si="1"/>
        <v>89.73182911041243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5552</v>
      </c>
      <c r="U45" s="24">
        <f>C45+G45-H45</f>
        <v>1869</v>
      </c>
      <c r="W45" s="19">
        <f t="shared" si="6"/>
        <v>5552</v>
      </c>
    </row>
    <row r="46" spans="1:23" s="28" customFormat="1" ht="24.75" customHeight="1">
      <c r="A46" s="122"/>
      <c r="B46" s="23" t="s">
        <v>84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75</v>
      </c>
      <c r="C47" s="41">
        <v>-17.3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4589.2</v>
      </c>
      <c r="H47" s="18">
        <v>4089.9</v>
      </c>
      <c r="I47" s="18">
        <f>H47/G47*100</f>
        <v>89.12010807983964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499.2999999999997</v>
      </c>
      <c r="U47" s="24">
        <f>C47+G47-H47</f>
        <v>481.99999999999955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85</v>
      </c>
      <c r="C48" s="42">
        <f>C8+C44</f>
        <v>-6315.1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77477.8</v>
      </c>
      <c r="H48" s="16">
        <f>H8+H44</f>
        <v>67301.8</v>
      </c>
      <c r="I48" s="17">
        <f>H48/G48*100</f>
        <v>86.86591513956256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10665.3</v>
      </c>
      <c r="U48" s="59">
        <f>U44+U8</f>
        <v>4501.4</v>
      </c>
      <c r="V48" s="108">
        <f>V44+V8</f>
        <v>-649.2000000000002</v>
      </c>
      <c r="W48" s="108">
        <f>W44+W8</f>
        <v>-640.5000000000001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-1077.300000000001</v>
      </c>
    </row>
    <row r="50" spans="1:23" s="7" customFormat="1" ht="18.75" customHeight="1" hidden="1">
      <c r="A50" s="122"/>
      <c r="B50" s="7" t="s">
        <v>90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10176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91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10279.143789338214</v>
      </c>
      <c r="F53" s="58"/>
      <c r="G53" s="62">
        <f>G44-H44</f>
        <v>6051.299999999996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3.5" customHeight="1">
      <c r="A54" s="142"/>
      <c r="B54" s="227" t="s">
        <v>116</v>
      </c>
      <c r="C54" s="227"/>
      <c r="D54" s="227"/>
      <c r="E54" s="227"/>
      <c r="F54" s="227"/>
      <c r="G54" s="227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115</v>
      </c>
      <c r="V54" s="148"/>
      <c r="W54" s="149"/>
    </row>
    <row r="55" spans="2:21" ht="42" customHeight="1" hidden="1">
      <c r="B55" s="242" t="s">
        <v>41</v>
      </c>
      <c r="C55" s="242"/>
      <c r="D55" s="242"/>
      <c r="E55" s="242"/>
      <c r="F55" s="24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96" t="s">
        <v>114</v>
      </c>
      <c r="B56" s="196"/>
      <c r="C56" s="196"/>
      <c r="D56" s="196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42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43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-563.2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255.79999999999995</v>
      </c>
    </row>
    <row r="63" spans="2:21" ht="18.75">
      <c r="B63" s="1" t="s">
        <v>45</v>
      </c>
      <c r="C63" s="43">
        <f>C12+C14+C15+C17+C19+C20+C26</f>
        <v>-4.2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-144.10000000000025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6.75390625" style="14" customWidth="1"/>
    <col min="2" max="2" width="61.25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19" t="s">
        <v>96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2:21" ht="18.75">
      <c r="B2" s="219" t="s">
        <v>121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20"/>
      <c r="C4" s="220"/>
      <c r="D4" s="220"/>
      <c r="E4" s="220"/>
      <c r="F4" s="220"/>
      <c r="U4" s="74" t="s">
        <v>97</v>
      </c>
    </row>
    <row r="5" spans="1:21" ht="41.25" customHeight="1">
      <c r="A5" s="117"/>
      <c r="B5" s="3"/>
      <c r="C5" s="221" t="s">
        <v>1</v>
      </c>
      <c r="D5" s="233" t="s">
        <v>108</v>
      </c>
      <c r="E5" s="234"/>
      <c r="F5" s="235"/>
      <c r="G5" s="209" t="s">
        <v>122</v>
      </c>
      <c r="H5" s="210"/>
      <c r="I5" s="211"/>
      <c r="J5" s="203" t="s">
        <v>107</v>
      </c>
      <c r="K5" s="204"/>
      <c r="L5" s="205"/>
      <c r="M5" s="203" t="s">
        <v>110</v>
      </c>
      <c r="N5" s="204"/>
      <c r="O5" s="205"/>
      <c r="P5" s="203" t="s">
        <v>111</v>
      </c>
      <c r="Q5" s="204"/>
      <c r="R5" s="205"/>
      <c r="S5" s="212" t="s">
        <v>112</v>
      </c>
      <c r="T5" s="212" t="s">
        <v>123</v>
      </c>
      <c r="U5" s="206" t="s">
        <v>124</v>
      </c>
    </row>
    <row r="6" spans="1:21" ht="18.75">
      <c r="A6" s="4" t="s">
        <v>39</v>
      </c>
      <c r="B6" s="4" t="s">
        <v>49</v>
      </c>
      <c r="C6" s="222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3"/>
      <c r="T6" s="213"/>
      <c r="U6" s="207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4"/>
      <c r="T7" s="214"/>
      <c r="U7" s="208"/>
    </row>
    <row r="8" spans="1:23" s="7" customFormat="1" ht="36" customHeight="1">
      <c r="A8" s="122"/>
      <c r="B8" s="75" t="s">
        <v>54</v>
      </c>
      <c r="C8" s="40">
        <f>SUM(C9:C43)</f>
        <v>4890.699999999999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15328</v>
      </c>
      <c r="H8" s="17">
        <f>SUM(H9:H43)</f>
        <v>14463.400000000001</v>
      </c>
      <c r="I8" s="17">
        <f aca="true" t="shared" si="1" ref="I8:I29">H8/G8*100</f>
        <v>94.35934237995825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2153.5</v>
      </c>
      <c r="U8" s="60">
        <f>SUMIF(U9:U43,"&gt;0",U9:U43)</f>
        <v>5803.799999999999</v>
      </c>
      <c r="V8" s="105">
        <f>SUMIF(T9:T43,"&lt;0",T9:T43)</f>
        <v>-1288.8999999999996</v>
      </c>
      <c r="W8" s="105">
        <f>SUMIF(U9:U43,"&lt;0",U9:U43)</f>
        <v>-48.50000000000004</v>
      </c>
    </row>
    <row r="9" spans="1:21" ht="38.25" customHeight="1">
      <c r="A9" s="120">
        <v>1</v>
      </c>
      <c r="B9" s="23" t="s">
        <v>55</v>
      </c>
      <c r="C9" s="41">
        <v>408.6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2043</v>
      </c>
      <c r="H9" s="18">
        <v>2184.7</v>
      </c>
      <c r="I9" s="18">
        <f t="shared" si="1"/>
        <v>106.9358786098874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-141.69999999999982</v>
      </c>
      <c r="U9" s="16">
        <f aca="true" t="shared" si="4" ref="U9:U22">C9+G9-H9</f>
        <v>266.9000000000001</v>
      </c>
    </row>
    <row r="10" spans="1:21" ht="38.25" customHeight="1">
      <c r="A10" s="120">
        <v>2</v>
      </c>
      <c r="B10" s="53" t="s">
        <v>89</v>
      </c>
      <c r="C10" s="41">
        <v>-35.2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298.4</v>
      </c>
      <c r="H10" s="18">
        <v>280.5</v>
      </c>
      <c r="I10" s="18">
        <f t="shared" si="1"/>
        <v>94.00134048257374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17.899999999999977</v>
      </c>
      <c r="U10" s="16">
        <f t="shared" si="4"/>
        <v>-17.30000000000001</v>
      </c>
    </row>
    <row r="11" spans="1:21" ht="38.25" customHeight="1">
      <c r="A11" s="120">
        <v>3</v>
      </c>
      <c r="B11" s="25" t="s">
        <v>106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56</v>
      </c>
      <c r="C12" s="41">
        <v>-6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25.2</v>
      </c>
      <c r="H12" s="18">
        <v>24.7</v>
      </c>
      <c r="I12" s="18">
        <f t="shared" si="1"/>
        <v>98.01587301587301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0.5</v>
      </c>
      <c r="U12" s="16">
        <f t="shared" si="4"/>
        <v>-5.5</v>
      </c>
    </row>
    <row r="13" spans="1:21" ht="23.25" customHeight="1">
      <c r="A13" s="120">
        <v>5</v>
      </c>
      <c r="B13" s="23" t="s">
        <v>87</v>
      </c>
      <c r="C13" s="41">
        <v>42.3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331.3</v>
      </c>
      <c r="H13" s="18">
        <v>365.7</v>
      </c>
      <c r="I13" s="18">
        <f t="shared" si="1"/>
        <v>110.38333836402052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-34.39999999999998</v>
      </c>
      <c r="U13" s="16">
        <f t="shared" si="4"/>
        <v>7.900000000000034</v>
      </c>
    </row>
    <row r="14" spans="1:21" ht="23.25" customHeight="1">
      <c r="A14" s="120">
        <v>6</v>
      </c>
      <c r="B14" s="23" t="s">
        <v>57</v>
      </c>
      <c r="C14" s="41">
        <v>-23.6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290.3</v>
      </c>
      <c r="H14" s="18">
        <v>277.6</v>
      </c>
      <c r="I14" s="18">
        <f t="shared" si="1"/>
        <v>95.62521529452292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12.699999999999989</v>
      </c>
      <c r="U14" s="16">
        <f t="shared" si="4"/>
        <v>-10.900000000000034</v>
      </c>
    </row>
    <row r="15" spans="1:21" ht="23.25" customHeight="1">
      <c r="A15" s="120">
        <v>7</v>
      </c>
      <c r="B15" s="23" t="s">
        <v>58</v>
      </c>
      <c r="C15" s="41">
        <v>2.8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5.1</v>
      </c>
      <c r="H15" s="18">
        <v>4.3</v>
      </c>
      <c r="I15" s="18">
        <f t="shared" si="1"/>
        <v>84.31372549019608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0.7999999999999998</v>
      </c>
      <c r="U15" s="16">
        <f t="shared" si="4"/>
        <v>3.5999999999999996</v>
      </c>
    </row>
    <row r="16" spans="1:21" ht="23.25" customHeight="1">
      <c r="A16" s="120">
        <v>8</v>
      </c>
      <c r="B16" s="23" t="s">
        <v>59</v>
      </c>
      <c r="C16" s="41">
        <v>235.2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622.4</v>
      </c>
      <c r="H16" s="18">
        <v>646.5</v>
      </c>
      <c r="I16" s="18">
        <f t="shared" si="1"/>
        <v>103.87210796915167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-24.100000000000023</v>
      </c>
      <c r="U16" s="16">
        <f t="shared" si="4"/>
        <v>211.0999999999999</v>
      </c>
    </row>
    <row r="17" spans="1:21" ht="23.25" customHeight="1">
      <c r="A17" s="120">
        <v>9</v>
      </c>
      <c r="B17" s="23" t="s">
        <v>60</v>
      </c>
      <c r="C17" s="41">
        <v>23.5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23.5</v>
      </c>
    </row>
    <row r="18" spans="1:21" ht="23.25" customHeight="1">
      <c r="A18" s="120">
        <v>10</v>
      </c>
      <c r="B18" s="25" t="s">
        <v>61</v>
      </c>
      <c r="C18" s="41">
        <v>81.9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122.6</v>
      </c>
      <c r="H18" s="18">
        <v>135.3</v>
      </c>
      <c r="I18" s="18">
        <f t="shared" si="1"/>
        <v>110.3588907014682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-12.700000000000017</v>
      </c>
      <c r="U18" s="16">
        <f t="shared" si="4"/>
        <v>69.19999999999999</v>
      </c>
    </row>
    <row r="19" spans="1:21" ht="23.25" customHeight="1">
      <c r="A19" s="120">
        <v>11</v>
      </c>
      <c r="B19" s="25" t="s">
        <v>62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88</v>
      </c>
      <c r="C20" s="41">
        <f>-12.9+2.9</f>
        <v>-10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32.6+40.3</f>
        <v>72.9</v>
      </c>
      <c r="H20" s="18">
        <f>42+35.7</f>
        <v>77.7</v>
      </c>
      <c r="I20" s="18">
        <f t="shared" si="1"/>
        <v>106.58436213991769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-4.799999999999997</v>
      </c>
      <c r="U20" s="16">
        <f t="shared" si="4"/>
        <v>-14.799999999999997</v>
      </c>
    </row>
    <row r="21" spans="1:21" ht="23.25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64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65</v>
      </c>
      <c r="C23" s="41">
        <v>0.3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2.6</v>
      </c>
      <c r="H23" s="18">
        <v>2.9</v>
      </c>
      <c r="I23" s="18">
        <f t="shared" si="1"/>
        <v>111.53846153846155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-0.2999999999999998</v>
      </c>
      <c r="U23" s="16">
        <f>C23+G23-H23</f>
        <v>0</v>
      </c>
    </row>
    <row r="24" spans="1:21" ht="23.25" customHeight="1">
      <c r="A24" s="120">
        <v>16</v>
      </c>
      <c r="B24" s="25" t="s">
        <v>66</v>
      </c>
      <c r="C24" s="41"/>
      <c r="D24" s="194" t="s">
        <v>86</v>
      </c>
      <c r="E24" s="186"/>
      <c r="F24" s="186"/>
      <c r="G24" s="186" t="s">
        <v>100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</row>
    <row r="25" spans="1:21" ht="42" customHeight="1">
      <c r="A25" s="120">
        <v>17</v>
      </c>
      <c r="B25" s="25" t="s">
        <v>67</v>
      </c>
      <c r="C25" s="41">
        <v>509.4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1089.1</v>
      </c>
      <c r="H25" s="18">
        <v>1239.1</v>
      </c>
      <c r="I25" s="18">
        <f t="shared" si="1"/>
        <v>113.77283995959968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-150</v>
      </c>
      <c r="U25" s="16">
        <f>C25+G25-H25</f>
        <v>359.4000000000001</v>
      </c>
    </row>
    <row r="26" spans="1:21" ht="23.25" customHeight="1">
      <c r="A26" s="120">
        <v>18</v>
      </c>
      <c r="B26" s="23" t="s">
        <v>68</v>
      </c>
      <c r="C26" s="41">
        <v>0.3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</v>
      </c>
      <c r="H26" s="18">
        <v>3.3</v>
      </c>
      <c r="I26" s="18">
        <f t="shared" si="1"/>
        <v>109.99999999999999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>
        <f>G26-H26</f>
        <v>-0.2999999999999998</v>
      </c>
      <c r="U26" s="16">
        <f>C26+G26-H26</f>
        <v>0</v>
      </c>
    </row>
    <row r="27" spans="1:21" ht="23.25" customHeight="1">
      <c r="A27" s="120">
        <v>19</v>
      </c>
      <c r="B27" s="25" t="s">
        <v>69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30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103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70</v>
      </c>
      <c r="C29" s="41">
        <f>103.2+0</f>
        <v>103.2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398.5</v>
      </c>
      <c r="H29" s="18">
        <v>434.2</v>
      </c>
      <c r="I29" s="18">
        <f t="shared" si="1"/>
        <v>108.95859473023839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-35.69999999999999</v>
      </c>
      <c r="U29" s="16">
        <f>C29+G29-H29</f>
        <v>67.5</v>
      </c>
    </row>
    <row r="30" spans="1:21" ht="23.25" customHeight="1">
      <c r="A30" s="120">
        <v>22</v>
      </c>
      <c r="B30" s="23" t="s">
        <v>71</v>
      </c>
      <c r="C30" s="71"/>
      <c r="D30" s="188" t="s">
        <v>86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1" ht="23.25" customHeight="1">
      <c r="A31" s="120">
        <v>23</v>
      </c>
      <c r="B31" s="25" t="s">
        <v>72</v>
      </c>
      <c r="C31" s="83"/>
      <c r="D31" s="190"/>
      <c r="E31" s="190"/>
      <c r="F31" s="190"/>
      <c r="G31" s="190" t="s">
        <v>100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23.25" customHeight="1">
      <c r="A32" s="120">
        <v>24</v>
      </c>
      <c r="B32" s="25" t="s">
        <v>73</v>
      </c>
      <c r="C32" s="8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ht="23.25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119</v>
      </c>
      <c r="C34" s="41">
        <f>151.5+176.4</f>
        <v>327.9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f>466.6+0</f>
        <v>466.6</v>
      </c>
      <c r="H34" s="18">
        <f>585.7+176.4</f>
        <v>762.1</v>
      </c>
      <c r="I34" s="18">
        <f t="shared" si="10"/>
        <v>163.3304757822546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-295.5</v>
      </c>
      <c r="U34" s="16">
        <f aca="true" t="shared" si="13" ref="U34:U43">C34+G34-H34</f>
        <v>32.39999999999998</v>
      </c>
    </row>
    <row r="35" spans="1:21" ht="24.75" customHeight="1">
      <c r="A35" s="121"/>
      <c r="B35" s="25" t="s">
        <v>75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104</v>
      </c>
      <c r="C36" s="41">
        <v>799.6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1722.7</v>
      </c>
      <c r="H36" s="18">
        <v>365.4</v>
      </c>
      <c r="I36" s="18">
        <f t="shared" si="10"/>
        <v>21.21088988216172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1357.3000000000002</v>
      </c>
      <c r="U36" s="16">
        <f t="shared" si="13"/>
        <v>2156.9</v>
      </c>
    </row>
    <row r="37" spans="1:21" ht="23.25" customHeight="1">
      <c r="A37" s="120">
        <v>27</v>
      </c>
      <c r="B37" s="23" t="s">
        <v>76</v>
      </c>
      <c r="C37" s="41">
        <v>46.9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187.5</v>
      </c>
      <c r="H37" s="18">
        <v>226.2</v>
      </c>
      <c r="I37" s="18">
        <f t="shared" si="10"/>
        <v>120.63999999999999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-38.69999999999999</v>
      </c>
      <c r="U37" s="16">
        <f t="shared" si="13"/>
        <v>8.200000000000017</v>
      </c>
    </row>
    <row r="38" spans="1:21" ht="23.25" customHeight="1">
      <c r="A38" s="120">
        <v>28</v>
      </c>
      <c r="B38" s="25" t="s">
        <v>77</v>
      </c>
      <c r="C38" s="41">
        <v>503.4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1285.9</v>
      </c>
      <c r="H38" s="18">
        <v>1450.1</v>
      </c>
      <c r="I38" s="18">
        <f t="shared" si="10"/>
        <v>112.76926666148222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-164.19999999999982</v>
      </c>
      <c r="U38" s="69">
        <f t="shared" si="13"/>
        <v>339.2000000000003</v>
      </c>
    </row>
    <row r="39" spans="1:21" ht="23.25" customHeight="1">
      <c r="A39" s="120">
        <v>29</v>
      </c>
      <c r="B39" s="25" t="s">
        <v>78</v>
      </c>
      <c r="C39" s="41">
        <v>339.9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1261.8</v>
      </c>
      <c r="H39" s="18">
        <v>1416.5</v>
      </c>
      <c r="I39" s="18">
        <f t="shared" si="10"/>
        <v>112.26026311618324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-154.70000000000005</v>
      </c>
      <c r="U39" s="16">
        <f t="shared" si="13"/>
        <v>185.19999999999982</v>
      </c>
    </row>
    <row r="40" spans="1:21" ht="35.25" customHeight="1">
      <c r="A40" s="120">
        <v>30</v>
      </c>
      <c r="B40" s="25" t="s">
        <v>105</v>
      </c>
      <c r="C40" s="41">
        <v>940.3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3335</v>
      </c>
      <c r="H40" s="18">
        <v>2754.5</v>
      </c>
      <c r="I40" s="18">
        <f t="shared" si="10"/>
        <v>82.59370314842579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580.5</v>
      </c>
      <c r="U40" s="16">
        <f t="shared" si="13"/>
        <v>1520.8000000000002</v>
      </c>
    </row>
    <row r="41" spans="1:21" ht="23.25" customHeight="1">
      <c r="A41" s="120">
        <v>31</v>
      </c>
      <c r="B41" s="25" t="s">
        <v>79</v>
      </c>
      <c r="C41" s="41">
        <v>18.7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10.2</v>
      </c>
      <c r="H41" s="18">
        <v>22.2</v>
      </c>
      <c r="I41" s="18">
        <f t="shared" si="10"/>
        <v>217.64705882352945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-12</v>
      </c>
      <c r="U41" s="16">
        <f t="shared" si="13"/>
        <v>6.699999999999999</v>
      </c>
    </row>
    <row r="42" spans="1:21" ht="35.25" customHeight="1">
      <c r="A42" s="120">
        <v>32</v>
      </c>
      <c r="B42" s="23" t="s">
        <v>80</v>
      </c>
      <c r="C42" s="41">
        <v>545.7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828.4</v>
      </c>
      <c r="H42" s="18">
        <v>1048.2</v>
      </c>
      <c r="I42" s="18">
        <f t="shared" si="10"/>
        <v>126.53307580878803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-219.80000000000007</v>
      </c>
      <c r="U42" s="16">
        <f t="shared" si="13"/>
        <v>325.89999999999986</v>
      </c>
    </row>
    <row r="43" spans="1:21" ht="23.25" customHeight="1">
      <c r="A43" s="120">
        <v>33</v>
      </c>
      <c r="B43" s="25" t="s">
        <v>81</v>
      </c>
      <c r="C43" s="41">
        <v>33.4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925.5</v>
      </c>
      <c r="H43" s="18">
        <v>741.7</v>
      </c>
      <c r="I43" s="18">
        <f t="shared" si="10"/>
        <v>80.14046461372232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183.79999999999995</v>
      </c>
      <c r="U43" s="16">
        <f t="shared" si="13"/>
        <v>217.19999999999993</v>
      </c>
    </row>
    <row r="44" spans="1:23" s="7" customFormat="1" ht="23.25" customHeight="1">
      <c r="A44" s="122">
        <v>34</v>
      </c>
      <c r="B44" s="6" t="s">
        <v>82</v>
      </c>
      <c r="C44" s="42">
        <f aca="true" t="shared" si="19" ref="C44:H44">C45+C46+C47</f>
        <v>125157.2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216563.4</v>
      </c>
      <c r="H44" s="42">
        <f t="shared" si="19"/>
        <v>204744.3</v>
      </c>
      <c r="I44" s="17">
        <f t="shared" si="10"/>
        <v>94.54242960721895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20103</v>
      </c>
      <c r="U44" s="59">
        <f>SUMIF(U45:U47,"&gt;0",U45:U47)</f>
        <v>145968.6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83</v>
      </c>
      <c r="C45" s="41">
        <v>125008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183563</v>
      </c>
      <c r="H45" s="18">
        <f>160919+2541</f>
        <v>163460</v>
      </c>
      <c r="I45" s="18">
        <f t="shared" si="10"/>
        <v>89.04844658237226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20103</v>
      </c>
      <c r="U45" s="24">
        <f>C45+G45-H45</f>
        <v>145111</v>
      </c>
    </row>
    <row r="46" spans="1:21" s="7" customFormat="1" ht="23.25" customHeight="1">
      <c r="A46" s="122"/>
      <c r="B46" s="23" t="s">
        <v>84</v>
      </c>
      <c r="C46" s="41">
        <v>-725.3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29085.5</v>
      </c>
      <c r="H46" s="18">
        <v>37352.5</v>
      </c>
      <c r="I46" s="18">
        <f t="shared" si="10"/>
        <v>128.42309741967648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-8267</v>
      </c>
      <c r="U46" s="24">
        <f>C46+G46-H46</f>
        <v>-8992.3</v>
      </c>
    </row>
    <row r="47" spans="1:21" s="7" customFormat="1" ht="24.75" customHeight="1">
      <c r="A47" s="122"/>
      <c r="B47" s="23" t="s">
        <v>75</v>
      </c>
      <c r="C47" s="41">
        <v>874.5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3914.9</v>
      </c>
      <c r="H47" s="18">
        <v>3931.8</v>
      </c>
      <c r="I47" s="18">
        <f>H47/G47*100</f>
        <v>100.43168407877596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-16.90000000000009</v>
      </c>
      <c r="U47" s="24">
        <f>C47+G47-H47</f>
        <v>857.5999999999995</v>
      </c>
    </row>
    <row r="48" spans="1:23" s="7" customFormat="1" ht="23.25" customHeight="1">
      <c r="A48" s="122"/>
      <c r="B48" s="6" t="s">
        <v>85</v>
      </c>
      <c r="C48" s="42">
        <f>C8+C44</f>
        <v>130047.9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231891.4</v>
      </c>
      <c r="H48" s="16">
        <f>H8+H44</f>
        <v>219207.69999999998</v>
      </c>
      <c r="I48" s="17">
        <f t="shared" si="10"/>
        <v>94.53032755850367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22256.5</v>
      </c>
      <c r="U48" s="59">
        <f>U44+U8</f>
        <v>151772.4</v>
      </c>
      <c r="V48" s="108">
        <f>V44+V8</f>
        <v>-3289.3999999999996</v>
      </c>
      <c r="W48" s="108">
        <f>W44+W8</f>
        <v>-3718.5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90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91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5.75" customHeight="1">
      <c r="A54" s="142"/>
      <c r="B54" s="227" t="s">
        <v>116</v>
      </c>
      <c r="C54" s="227"/>
      <c r="D54" s="227"/>
      <c r="E54" s="227"/>
      <c r="F54" s="227"/>
      <c r="G54" s="227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115</v>
      </c>
      <c r="V54" s="148"/>
      <c r="W54" s="149"/>
    </row>
    <row r="55" spans="2:21" ht="46.5" customHeight="1" hidden="1">
      <c r="B55" s="242" t="s">
        <v>41</v>
      </c>
      <c r="C55" s="242"/>
      <c r="D55" s="242"/>
      <c r="E55" s="242"/>
      <c r="F55" s="24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96" t="s">
        <v>114</v>
      </c>
      <c r="B56" s="196"/>
      <c r="C56" s="196"/>
      <c r="D56" s="196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42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43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454.4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254.19999999999982</v>
      </c>
    </row>
    <row r="63" spans="2:21" ht="18.75">
      <c r="B63" s="1" t="s">
        <v>45</v>
      </c>
      <c r="C63" s="43">
        <f>C12+C14+C15+C17+C19+C20+C26</f>
        <v>-13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-4.100000000000032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2016-05-18T09:25:10Z</cp:lastPrinted>
  <dcterms:created xsi:type="dcterms:W3CDTF">2001-09-14T09:33:50Z</dcterms:created>
  <dcterms:modified xsi:type="dcterms:W3CDTF">2016-05-18T09:25:45Z</dcterms:modified>
  <cp:category/>
  <cp:version/>
  <cp:contentType/>
  <cp:contentStatus/>
</cp:coreProperties>
</file>